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oe.Williams\Documents\BUDGET 2020-21 (MTREF 20-23)\5. MTREF SUBMISSION - 26 JUNE 2020 (COUNCIL PACK)\"/>
    </mc:Choice>
  </mc:AlternateContent>
  <workbookProtection workbookPassword="FB84" lockStructure="1"/>
  <bookViews>
    <workbookView xWindow="0" yWindow="0" windowWidth="28800" windowHeight="11745" tabRatio="896" firstSheet="7" activeTab="13"/>
  </bookViews>
  <sheets>
    <sheet name="START" sheetId="337" r:id="rId1"/>
    <sheet name="Template names" sheetId="100" state="veryHidden" r:id="rId2"/>
    <sheet name="Lookup and lists" sheetId="333" state="veryHidden" r:id="rId3"/>
    <sheet name="Instructions" sheetId="338" r:id="rId4"/>
    <sheet name="Lookup and lists (2)" sheetId="346" state="veryHidden" r:id="rId5"/>
    <sheet name="D1-Sum" sheetId="279" r:id="rId6"/>
    <sheet name="D2-FinPerf" sheetId="65" r:id="rId7"/>
    <sheet name="D3-Capex" sheetId="202" r:id="rId8"/>
    <sheet name="D4-FinPos" sheetId="201" r:id="rId9"/>
    <sheet name="D5-CFlow" sheetId="200" r:id="rId10"/>
    <sheet name="SD1" sheetId="199" r:id="rId11"/>
    <sheet name="SD2" sheetId="198" r:id="rId12"/>
    <sheet name="SD3" sheetId="243" r:id="rId13"/>
    <sheet name="SD4" sheetId="285" r:id="rId14"/>
    <sheet name="SD5" sheetId="336" r:id="rId15"/>
    <sheet name="SD6" sheetId="204" r:id="rId16"/>
    <sheet name="SD7a" sheetId="284" r:id="rId17"/>
    <sheet name="SD7b" sheetId="341" r:id="rId18"/>
    <sheet name="SD7c" sheetId="342" r:id="rId19"/>
    <sheet name="SD7d" sheetId="344" r:id="rId20"/>
    <sheet name="SD7e" sheetId="343" r:id="rId21"/>
    <sheet name="SD8" sheetId="330" r:id="rId22"/>
    <sheet name="SD9" sheetId="329" r:id="rId23"/>
    <sheet name="SD10" sheetId="282" r:id="rId24"/>
  </sheets>
  <externalReferences>
    <externalReference r:id="rId25"/>
    <externalReference r:id="rId26"/>
    <externalReference r:id="rId27"/>
    <externalReference r:id="rId28"/>
    <externalReference r:id="rId29"/>
  </externalReferences>
  <definedNames>
    <definedName name="_ADJ1" localSheetId="3">'[1]Template names'!#REF!</definedName>
    <definedName name="_ADJ1" localSheetId="17">'Template names'!#REF!</definedName>
    <definedName name="_ADJ1" localSheetId="18">'Template names'!#REF!</definedName>
    <definedName name="_ADJ1" localSheetId="19">'Template names'!#REF!</definedName>
    <definedName name="_ADJ1" localSheetId="20">'Template names'!#REF!</definedName>
    <definedName name="_ADJ1">'Template names'!#REF!</definedName>
    <definedName name="_ADJ10" localSheetId="3">'[1]Template names'!#REF!</definedName>
    <definedName name="_ADJ10" localSheetId="17">'Template names'!#REF!</definedName>
    <definedName name="_ADJ10" localSheetId="18">'Template names'!#REF!</definedName>
    <definedName name="_ADJ10" localSheetId="19">'Template names'!#REF!</definedName>
    <definedName name="_ADJ10" localSheetId="20">'Template names'!#REF!</definedName>
    <definedName name="_ADJ10">'Template names'!#REF!</definedName>
    <definedName name="_ADJ11" localSheetId="3">'[1]Template names'!#REF!</definedName>
    <definedName name="_ADJ11" localSheetId="17">'Template names'!#REF!</definedName>
    <definedName name="_ADJ11" localSheetId="18">'Template names'!#REF!</definedName>
    <definedName name="_ADJ11" localSheetId="19">'Template names'!#REF!</definedName>
    <definedName name="_ADJ11" localSheetId="20">'Template names'!#REF!</definedName>
    <definedName name="_ADJ11">'Template names'!#REF!</definedName>
    <definedName name="_ADJ12" localSheetId="3">'[1]Template names'!#REF!</definedName>
    <definedName name="_ADJ12" localSheetId="17">'Template names'!#REF!</definedName>
    <definedName name="_ADJ12" localSheetId="18">'Template names'!#REF!</definedName>
    <definedName name="_ADJ12" localSheetId="19">'Template names'!#REF!</definedName>
    <definedName name="_ADJ12" localSheetId="20">'Template names'!#REF!</definedName>
    <definedName name="_ADJ12">'Template names'!#REF!</definedName>
    <definedName name="_ADJ13" localSheetId="3">'[1]Template names'!#REF!</definedName>
    <definedName name="_ADJ13" localSheetId="17">'Template names'!#REF!</definedName>
    <definedName name="_ADJ13" localSheetId="18">'Template names'!#REF!</definedName>
    <definedName name="_ADJ13" localSheetId="19">'Template names'!#REF!</definedName>
    <definedName name="_ADJ13" localSheetId="20">'Template names'!#REF!</definedName>
    <definedName name="_ADJ13">'Template names'!#REF!</definedName>
    <definedName name="_ADJ14" localSheetId="3">'[1]Template names'!#REF!</definedName>
    <definedName name="_ADJ14" localSheetId="17">'Template names'!#REF!</definedName>
    <definedName name="_ADJ14" localSheetId="18">'Template names'!#REF!</definedName>
    <definedName name="_ADJ14" localSheetId="19">'Template names'!#REF!</definedName>
    <definedName name="_ADJ14" localSheetId="20">'Template names'!#REF!</definedName>
    <definedName name="_ADJ14">'Template names'!#REF!</definedName>
    <definedName name="_ADJ16" localSheetId="3">'[1]Template names'!#REF!</definedName>
    <definedName name="_ADJ16" localSheetId="17">'Template names'!#REF!</definedName>
    <definedName name="_ADJ16" localSheetId="18">'Template names'!#REF!</definedName>
    <definedName name="_ADJ16" localSheetId="19">'Template names'!#REF!</definedName>
    <definedName name="_ADJ16" localSheetId="20">'Template names'!#REF!</definedName>
    <definedName name="_ADJ16">'Template names'!#REF!</definedName>
    <definedName name="_ADJ17" localSheetId="3">'[1]Template names'!#REF!</definedName>
    <definedName name="_ADJ17" localSheetId="17">'Template names'!#REF!</definedName>
    <definedName name="_ADJ17" localSheetId="18">'Template names'!#REF!</definedName>
    <definedName name="_ADJ17" localSheetId="19">'Template names'!#REF!</definedName>
    <definedName name="_ADJ17" localSheetId="20">'Template names'!#REF!</definedName>
    <definedName name="_ADJ17">'Template names'!#REF!</definedName>
    <definedName name="_ADJ18" localSheetId="3">'[1]Template names'!#REF!</definedName>
    <definedName name="_ADJ18" localSheetId="17">'Template names'!#REF!</definedName>
    <definedName name="_ADJ18" localSheetId="18">'Template names'!#REF!</definedName>
    <definedName name="_ADJ18" localSheetId="19">'Template names'!#REF!</definedName>
    <definedName name="_ADJ18" localSheetId="20">'Template names'!#REF!</definedName>
    <definedName name="_ADJ18">'Template names'!#REF!</definedName>
    <definedName name="_ADJ19" localSheetId="3">'[1]Template names'!#REF!</definedName>
    <definedName name="_ADJ19" localSheetId="17">'Template names'!#REF!</definedName>
    <definedName name="_ADJ19" localSheetId="18">'Template names'!#REF!</definedName>
    <definedName name="_ADJ19" localSheetId="19">'Template names'!#REF!</definedName>
    <definedName name="_ADJ19" localSheetId="20">'Template names'!#REF!</definedName>
    <definedName name="_ADJ19">'Template names'!#REF!</definedName>
    <definedName name="_ADJ2" localSheetId="3">'[1]Template names'!#REF!</definedName>
    <definedName name="_ADJ2" localSheetId="17">'Template names'!#REF!</definedName>
    <definedName name="_ADJ2" localSheetId="18">'Template names'!#REF!</definedName>
    <definedName name="_ADJ2" localSheetId="19">'Template names'!#REF!</definedName>
    <definedName name="_ADJ2" localSheetId="20">'Template names'!#REF!</definedName>
    <definedName name="_ADJ2">'Template names'!#REF!</definedName>
    <definedName name="_ADJ3" localSheetId="3">'[1]Template names'!#REF!</definedName>
    <definedName name="_ADJ3" localSheetId="17">'Template names'!#REF!</definedName>
    <definedName name="_ADJ3" localSheetId="18">'Template names'!#REF!</definedName>
    <definedName name="_ADJ3" localSheetId="19">'Template names'!#REF!</definedName>
    <definedName name="_ADJ3" localSheetId="20">'Template names'!#REF!</definedName>
    <definedName name="_ADJ3">'Template names'!#REF!</definedName>
    <definedName name="_ADJ4" localSheetId="3">'[1]Template names'!#REF!</definedName>
    <definedName name="_ADJ4" localSheetId="17">'Template names'!#REF!</definedName>
    <definedName name="_ADJ4" localSheetId="18">'Template names'!#REF!</definedName>
    <definedName name="_ADJ4" localSheetId="19">'Template names'!#REF!</definedName>
    <definedName name="_ADJ4" localSheetId="20">'Template names'!#REF!</definedName>
    <definedName name="_ADJ4">'Template names'!#REF!</definedName>
    <definedName name="_ADJ5" localSheetId="3">'[1]Template names'!#REF!</definedName>
    <definedName name="_ADJ5" localSheetId="17">'Template names'!#REF!</definedName>
    <definedName name="_ADJ5" localSheetId="18">'Template names'!#REF!</definedName>
    <definedName name="_ADJ5" localSheetId="19">'Template names'!#REF!</definedName>
    <definedName name="_ADJ5" localSheetId="20">'Template names'!#REF!</definedName>
    <definedName name="_ADJ5">'Template names'!#REF!</definedName>
    <definedName name="_ADJ6" localSheetId="3">'[1]Template names'!#REF!</definedName>
    <definedName name="_ADJ6" localSheetId="17">'Template names'!#REF!</definedName>
    <definedName name="_ADJ6" localSheetId="18">'Template names'!#REF!</definedName>
    <definedName name="_ADJ6" localSheetId="19">'Template names'!#REF!</definedName>
    <definedName name="_ADJ6" localSheetId="20">'Template names'!#REF!</definedName>
    <definedName name="_ADJ6">'Template names'!#REF!</definedName>
    <definedName name="_ADJ7" localSheetId="3">'[1]Template names'!#REF!</definedName>
    <definedName name="_ADJ7" localSheetId="17">'Template names'!#REF!</definedName>
    <definedName name="_ADJ7" localSheetId="18">'Template names'!#REF!</definedName>
    <definedName name="_ADJ7" localSheetId="19">'Template names'!#REF!</definedName>
    <definedName name="_ADJ7" localSheetId="20">'Template names'!#REF!</definedName>
    <definedName name="_ADJ7">'Template names'!#REF!</definedName>
    <definedName name="_ADJ8" localSheetId="3">'[1]Template names'!#REF!</definedName>
    <definedName name="_ADJ8" localSheetId="17">'Template names'!#REF!</definedName>
    <definedName name="_ADJ8" localSheetId="18">'Template names'!#REF!</definedName>
    <definedName name="_ADJ8" localSheetId="19">'Template names'!#REF!</definedName>
    <definedName name="_ADJ8" localSheetId="20">'Template names'!#REF!</definedName>
    <definedName name="_ADJ8">'Template names'!#REF!</definedName>
    <definedName name="_ADJ9" localSheetId="3">'[1]Template names'!#REF!</definedName>
    <definedName name="_ADJ9" localSheetId="17">'Template names'!#REF!</definedName>
    <definedName name="_ADJ9" localSheetId="18">'Template names'!#REF!</definedName>
    <definedName name="_ADJ9" localSheetId="19">'Template names'!#REF!</definedName>
    <definedName name="_ADJ9" localSheetId="20">'Template names'!#REF!</definedName>
    <definedName name="_ADJ9">'Template names'!#REF!</definedName>
    <definedName name="_ccf04" localSheetId="3">#REF!</definedName>
    <definedName name="_ccf04" localSheetId="17">#REF!</definedName>
    <definedName name="_ccf04" localSheetId="18">#REF!</definedName>
    <definedName name="_ccf04" localSheetId="19">#REF!</definedName>
    <definedName name="_ccf04" localSheetId="20">#REF!</definedName>
    <definedName name="_ccf04">#REF!</definedName>
    <definedName name="_ccf05" localSheetId="3">#REF!</definedName>
    <definedName name="_ccf05" localSheetId="17">#REF!</definedName>
    <definedName name="_ccf05" localSheetId="18">#REF!</definedName>
    <definedName name="_ccf05" localSheetId="19">#REF!</definedName>
    <definedName name="_ccf05" localSheetId="20">#REF!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'[2]Balance Sheet'!$D$50</definedName>
    <definedName name="_cpi2">'[2]Balance Sheet'!$E$50</definedName>
    <definedName name="_cpi3">'[2]Balance Sheet'!$F$50</definedName>
    <definedName name="_DEP1" localSheetId="17">'Template names'!#REF!</definedName>
    <definedName name="_DEP1" localSheetId="18">'Template names'!#REF!</definedName>
    <definedName name="_DEP1" localSheetId="19">'Template names'!#REF!</definedName>
    <definedName name="_DEP1" localSheetId="20">'Template names'!#REF!</definedName>
    <definedName name="_DEP1">'Template names'!#REF!</definedName>
    <definedName name="_DEP10" localSheetId="17">'Template names'!#REF!</definedName>
    <definedName name="_DEP10" localSheetId="18">'Template names'!#REF!</definedName>
    <definedName name="_DEP10" localSheetId="19">'Template names'!#REF!</definedName>
    <definedName name="_DEP10" localSheetId="20">'Template names'!#REF!</definedName>
    <definedName name="_DEP10">'Template names'!#REF!</definedName>
    <definedName name="_DEP11" localSheetId="17">'Template names'!#REF!</definedName>
    <definedName name="_DEP11" localSheetId="18">'Template names'!#REF!</definedName>
    <definedName name="_DEP11" localSheetId="19">'Template names'!#REF!</definedName>
    <definedName name="_DEP11" localSheetId="20">'Template names'!#REF!</definedName>
    <definedName name="_DEP11">'Template names'!#REF!</definedName>
    <definedName name="_DEP12" localSheetId="17">'Template names'!#REF!</definedName>
    <definedName name="_DEP12" localSheetId="18">'Template names'!#REF!</definedName>
    <definedName name="_DEP12" localSheetId="19">'Template names'!#REF!</definedName>
    <definedName name="_DEP12" localSheetId="20">'Template names'!#REF!</definedName>
    <definedName name="_DEP12">'Template names'!#REF!</definedName>
    <definedName name="_DEP13" localSheetId="17">'Template names'!#REF!</definedName>
    <definedName name="_DEP13" localSheetId="18">'Template names'!#REF!</definedName>
    <definedName name="_DEP13" localSheetId="19">'Template names'!#REF!</definedName>
    <definedName name="_DEP13" localSheetId="20">'Template names'!#REF!</definedName>
    <definedName name="_DEP13">'Template names'!#REF!</definedName>
    <definedName name="_DEP14" localSheetId="17">'Template names'!#REF!</definedName>
    <definedName name="_DEP14" localSheetId="18">'Template names'!#REF!</definedName>
    <definedName name="_DEP14" localSheetId="19">'Template names'!#REF!</definedName>
    <definedName name="_DEP14" localSheetId="20">'Template names'!#REF!</definedName>
    <definedName name="_DEP14">'Template names'!#REF!</definedName>
    <definedName name="_DEP2" localSheetId="17">'Template names'!#REF!</definedName>
    <definedName name="_DEP2" localSheetId="18">'Template names'!#REF!</definedName>
    <definedName name="_DEP2" localSheetId="19">'Template names'!#REF!</definedName>
    <definedName name="_DEP2" localSheetId="20">'Template names'!#REF!</definedName>
    <definedName name="_DEP2">'Template names'!#REF!</definedName>
    <definedName name="_DEP3" localSheetId="17">'Template names'!#REF!</definedName>
    <definedName name="_DEP3" localSheetId="18">'Template names'!#REF!</definedName>
    <definedName name="_DEP3" localSheetId="19">'Template names'!#REF!</definedName>
    <definedName name="_DEP3" localSheetId="20">'Template names'!#REF!</definedName>
    <definedName name="_DEP3">'Template names'!#REF!</definedName>
    <definedName name="_DEP4" localSheetId="17">'Template names'!#REF!</definedName>
    <definedName name="_DEP4" localSheetId="18">'Template names'!#REF!</definedName>
    <definedName name="_DEP4" localSheetId="19">'Template names'!#REF!</definedName>
    <definedName name="_DEP4" localSheetId="20">'Template names'!#REF!</definedName>
    <definedName name="_DEP4">'Template names'!#REF!</definedName>
    <definedName name="_DEP5" localSheetId="17">'Template names'!#REF!</definedName>
    <definedName name="_DEP5" localSheetId="18">'Template names'!#REF!</definedName>
    <definedName name="_DEP5" localSheetId="19">'Template names'!#REF!</definedName>
    <definedName name="_DEP5" localSheetId="20">'Template names'!#REF!</definedName>
    <definedName name="_DEP5">'Template names'!#REF!</definedName>
    <definedName name="_DEP6" localSheetId="17">'Template names'!#REF!</definedName>
    <definedName name="_DEP6" localSheetId="18">'Template names'!#REF!</definedName>
    <definedName name="_DEP6" localSheetId="19">'Template names'!#REF!</definedName>
    <definedName name="_DEP6" localSheetId="20">'Template names'!#REF!</definedName>
    <definedName name="_DEP6">'Template names'!#REF!</definedName>
    <definedName name="_DEP7" localSheetId="17">'Template names'!#REF!</definedName>
    <definedName name="_DEP7" localSheetId="18">'Template names'!#REF!</definedName>
    <definedName name="_DEP7" localSheetId="19">'Template names'!#REF!</definedName>
    <definedName name="_DEP7" localSheetId="20">'Template names'!#REF!</definedName>
    <definedName name="_DEP7">'Template names'!#REF!</definedName>
    <definedName name="_DEP8" localSheetId="17">'Template names'!#REF!</definedName>
    <definedName name="_DEP8" localSheetId="18">'Template names'!#REF!</definedName>
    <definedName name="_DEP8" localSheetId="19">'Template names'!#REF!</definedName>
    <definedName name="_DEP8" localSheetId="20">'Template names'!#REF!</definedName>
    <definedName name="_DEP8">'Template names'!#REF!</definedName>
    <definedName name="_DEP9" localSheetId="17">'Template names'!#REF!</definedName>
    <definedName name="_DEP9" localSheetId="18">'Template names'!#REF!</definedName>
    <definedName name="_DEP9" localSheetId="19">'Template names'!#REF!</definedName>
    <definedName name="_DEP9" localSheetId="20">'Template names'!#REF!</definedName>
    <definedName name="_DEP9">'Template names'!#REF!</definedName>
    <definedName name="_ecf04" localSheetId="3">#REF!</definedName>
    <definedName name="_ecf04" localSheetId="17">#REF!</definedName>
    <definedName name="_ecf04" localSheetId="18">#REF!</definedName>
    <definedName name="_ecf04" localSheetId="19">#REF!</definedName>
    <definedName name="_ecf04" localSheetId="20">#REF!</definedName>
    <definedName name="_ecf04">#REF!</definedName>
    <definedName name="_ecf05" localSheetId="3">#REF!</definedName>
    <definedName name="_ecf05" localSheetId="17">#REF!</definedName>
    <definedName name="_ecf05" localSheetId="18">#REF!</definedName>
    <definedName name="_ecf05" localSheetId="19">#REF!</definedName>
    <definedName name="_ecf05" localSheetId="20">#REF!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3">#REF!</definedName>
    <definedName name="_emp04" localSheetId="17">#REF!</definedName>
    <definedName name="_emp04" localSheetId="18">#REF!</definedName>
    <definedName name="_emp04" localSheetId="19">#REF!</definedName>
    <definedName name="_emp04" localSheetId="20">#REF!</definedName>
    <definedName name="_emp04">#REF!</definedName>
    <definedName name="_emp05" localSheetId="3">#REF!</definedName>
    <definedName name="_emp05" localSheetId="17">#REF!</definedName>
    <definedName name="_emp05" localSheetId="18">#REF!</definedName>
    <definedName name="_emp05" localSheetId="19">#REF!</definedName>
    <definedName name="_emp05" localSheetId="20">#REF!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7">'Template names'!#REF!</definedName>
    <definedName name="_Ent1" localSheetId="18">'Template names'!#REF!</definedName>
    <definedName name="_Ent1" localSheetId="19">'Template names'!#REF!</definedName>
    <definedName name="_Ent1" localSheetId="20">'Template names'!#REF!</definedName>
    <definedName name="_Ent1">'Template names'!#REF!</definedName>
    <definedName name="_Ent2" localSheetId="17">'Template names'!#REF!</definedName>
    <definedName name="_Ent2" localSheetId="18">'Template names'!#REF!</definedName>
    <definedName name="_Ent2" localSheetId="19">'Template names'!#REF!</definedName>
    <definedName name="_Ent2" localSheetId="20">'Template names'!#REF!</definedName>
    <definedName name="_Ent2">'Template names'!#REF!</definedName>
    <definedName name="_Ent3" localSheetId="17">'Template names'!#REF!</definedName>
    <definedName name="_Ent3" localSheetId="18">'Template names'!#REF!</definedName>
    <definedName name="_Ent3" localSheetId="19">'Template names'!#REF!</definedName>
    <definedName name="_Ent3" localSheetId="20">'Template names'!#REF!</definedName>
    <definedName name="_Ent3">'Template names'!#REF!</definedName>
    <definedName name="_inf1" localSheetId="3">#REF!</definedName>
    <definedName name="_inf1" localSheetId="17">#REF!</definedName>
    <definedName name="_inf1" localSheetId="18">#REF!</definedName>
    <definedName name="_inf1" localSheetId="19">#REF!</definedName>
    <definedName name="_inf1" localSheetId="20">#REF!</definedName>
    <definedName name="_inf1">#REF!</definedName>
    <definedName name="_inf2" localSheetId="3">#REF!</definedName>
    <definedName name="_inf2" localSheetId="17">#REF!</definedName>
    <definedName name="_inf2" localSheetId="18">#REF!</definedName>
    <definedName name="_inf2" localSheetId="19">#REF!</definedName>
    <definedName name="_inf2" localSheetId="20">#REF!</definedName>
    <definedName name="_inf2">#REF!</definedName>
    <definedName name="_inf3" localSheetId="3">#REF!</definedName>
    <definedName name="_inf3" localSheetId="17">#REF!</definedName>
    <definedName name="_inf3" localSheetId="18">#REF!</definedName>
    <definedName name="_inf3" localSheetId="19">#REF!</definedName>
    <definedName name="_inf3" localSheetId="20">#REF!</definedName>
    <definedName name="_inf3">#REF!</definedName>
    <definedName name="_int04" localSheetId="3">#REF!</definedName>
    <definedName name="_int04" localSheetId="17">#REF!</definedName>
    <definedName name="_int04" localSheetId="18">#REF!</definedName>
    <definedName name="_int04" localSheetId="19">#REF!</definedName>
    <definedName name="_int04" localSheetId="20">#REF!</definedName>
    <definedName name="_int04">#REF!</definedName>
    <definedName name="_int05" localSheetId="3">#REF!</definedName>
    <definedName name="_int05" localSheetId="17">#REF!</definedName>
    <definedName name="_int05" localSheetId="18">#REF!</definedName>
    <definedName name="_int05" localSheetId="19">#REF!</definedName>
    <definedName name="_int05" localSheetId="20">#REF!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3">#REF!</definedName>
    <definedName name="_inv04" localSheetId="17">#REF!</definedName>
    <definedName name="_inv04" localSheetId="18">#REF!</definedName>
    <definedName name="_inv04" localSheetId="19">#REF!</definedName>
    <definedName name="_inv04" localSheetId="20">#REF!</definedName>
    <definedName name="_inv04">#REF!</definedName>
    <definedName name="_inv05" localSheetId="3">#REF!</definedName>
    <definedName name="_inv05" localSheetId="17">#REF!</definedName>
    <definedName name="_inv05" localSheetId="18">#REF!</definedName>
    <definedName name="_inv05" localSheetId="19">#REF!</definedName>
    <definedName name="_inv05" localSheetId="20">#REF!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3">'[1]Template names'!#REF!</definedName>
    <definedName name="_MEB1">'Template names'!$B$81</definedName>
    <definedName name="_MEB10" localSheetId="3">'[1]Template names'!#REF!</definedName>
    <definedName name="_MEB10">'Template names'!$B$99</definedName>
    <definedName name="_MEB11" localSheetId="3">'[1]Template names'!#REF!</definedName>
    <definedName name="_MEB11">'Template names'!$B$100</definedName>
    <definedName name="_MEB12" localSheetId="3">'[1]Template names'!#REF!</definedName>
    <definedName name="_MEB12">'Template names'!$B$97</definedName>
    <definedName name="_MEB13">'Template names'!$B$98</definedName>
    <definedName name="_MEB2" localSheetId="3">'[1]Template names'!#REF!</definedName>
    <definedName name="_MEB2">'Template names'!$B$83</definedName>
    <definedName name="_MEB3" localSheetId="3">'[1]Template names'!#REF!</definedName>
    <definedName name="_MEB3">'Template names'!$B$84</definedName>
    <definedName name="_MEB4" localSheetId="3">'[1]Template names'!#REF!</definedName>
    <definedName name="_MEB4">'Template names'!$B$85</definedName>
    <definedName name="_MEB5" localSheetId="3">'[1]Template names'!#REF!</definedName>
    <definedName name="_MEB5">'Template names'!$B$88</definedName>
    <definedName name="_MEB6" localSheetId="3">'[1]Template names'!#REF!</definedName>
    <definedName name="_MEB6">'Template names'!$B$86</definedName>
    <definedName name="_MEB7" localSheetId="3">'[1]Template names'!#REF!</definedName>
    <definedName name="_MEB7">'Template names'!$B$87</definedName>
    <definedName name="_MEB8" localSheetId="3">'[1]Template names'!#REF!</definedName>
    <definedName name="_MEB8">'Template names'!$B$91</definedName>
    <definedName name="_MEB9" localSheetId="3">'[1]Template names'!#REF!</definedName>
    <definedName name="_MEB9">'Template names'!$B$92</definedName>
    <definedName name="_MER1" localSheetId="3">'[1]Template names'!#REF!</definedName>
    <definedName name="_MER1" localSheetId="17">'Template names'!#REF!</definedName>
    <definedName name="_MER1" localSheetId="18">'Template names'!#REF!</definedName>
    <definedName name="_MER1" localSheetId="19">'Template names'!#REF!</definedName>
    <definedName name="_MER1" localSheetId="20">'Template names'!#REF!</definedName>
    <definedName name="_MER1">'Template names'!#REF!</definedName>
    <definedName name="_MER10" localSheetId="3">'[1]Template names'!#REF!</definedName>
    <definedName name="_MER10" localSheetId="17">'Template names'!#REF!</definedName>
    <definedName name="_MER10" localSheetId="18">'Template names'!#REF!</definedName>
    <definedName name="_MER10" localSheetId="19">'Template names'!#REF!</definedName>
    <definedName name="_MER10" localSheetId="20">'Template names'!#REF!</definedName>
    <definedName name="_MER10">'Template names'!#REF!</definedName>
    <definedName name="_MER11" localSheetId="3">'[1]Template names'!#REF!</definedName>
    <definedName name="_MER11" localSheetId="17">'Template names'!#REF!</definedName>
    <definedName name="_MER11" localSheetId="18">'Template names'!#REF!</definedName>
    <definedName name="_MER11" localSheetId="19">'Template names'!#REF!</definedName>
    <definedName name="_MER11" localSheetId="20">'Template names'!#REF!</definedName>
    <definedName name="_MER11">'Template names'!#REF!</definedName>
    <definedName name="_MER2" localSheetId="3">'[1]Template names'!#REF!</definedName>
    <definedName name="_MER2" localSheetId="17">'Template names'!#REF!</definedName>
    <definedName name="_MER2" localSheetId="18">'Template names'!#REF!</definedName>
    <definedName name="_MER2" localSheetId="19">'Template names'!#REF!</definedName>
    <definedName name="_MER2" localSheetId="20">'Template names'!#REF!</definedName>
    <definedName name="_MER2">'Template names'!#REF!</definedName>
    <definedName name="_MER3" localSheetId="3">'[1]Template names'!#REF!</definedName>
    <definedName name="_MER3" localSheetId="17">'Template names'!#REF!</definedName>
    <definedName name="_MER3" localSheetId="18">'Template names'!#REF!</definedName>
    <definedName name="_MER3" localSheetId="19">'Template names'!#REF!</definedName>
    <definedName name="_MER3" localSheetId="20">'Template names'!#REF!</definedName>
    <definedName name="_MER3">'Template names'!#REF!</definedName>
    <definedName name="_MER4" localSheetId="3">'[1]Template names'!#REF!</definedName>
    <definedName name="_MER4" localSheetId="17">'Template names'!#REF!</definedName>
    <definedName name="_MER4" localSheetId="18">'Template names'!#REF!</definedName>
    <definedName name="_MER4" localSheetId="19">'Template names'!#REF!</definedName>
    <definedName name="_MER4" localSheetId="20">'Template names'!#REF!</definedName>
    <definedName name="_MER4">'Template names'!#REF!</definedName>
    <definedName name="_MER5" localSheetId="3">'[1]Template names'!#REF!</definedName>
    <definedName name="_MER5" localSheetId="17">'Template names'!#REF!</definedName>
    <definedName name="_MER5" localSheetId="18">'Template names'!#REF!</definedName>
    <definedName name="_MER5" localSheetId="19">'Template names'!#REF!</definedName>
    <definedName name="_MER5" localSheetId="20">'Template names'!#REF!</definedName>
    <definedName name="_MER5">'Template names'!#REF!</definedName>
    <definedName name="_MER6" localSheetId="3">'[1]Template names'!#REF!</definedName>
    <definedName name="_MER6" localSheetId="17">'Template names'!#REF!</definedName>
    <definedName name="_MER6" localSheetId="18">'Template names'!#REF!</definedName>
    <definedName name="_MER6" localSheetId="19">'Template names'!#REF!</definedName>
    <definedName name="_MER6" localSheetId="20">'Template names'!#REF!</definedName>
    <definedName name="_MER6">'Template names'!#REF!</definedName>
    <definedName name="_MER7" localSheetId="3">'[1]Template names'!#REF!</definedName>
    <definedName name="_MER7" localSheetId="17">'Template names'!#REF!</definedName>
    <definedName name="_MER7" localSheetId="18">'Template names'!#REF!</definedName>
    <definedName name="_MER7" localSheetId="19">'Template names'!#REF!</definedName>
    <definedName name="_MER7" localSheetId="20">'Template names'!#REF!</definedName>
    <definedName name="_MER7">'Template names'!#REF!</definedName>
    <definedName name="_MER8" localSheetId="3">'[1]Template names'!#REF!</definedName>
    <definedName name="_MER8" localSheetId="17">'Template names'!#REF!</definedName>
    <definedName name="_MER8" localSheetId="18">'Template names'!#REF!</definedName>
    <definedName name="_MER8" localSheetId="19">'Template names'!#REF!</definedName>
    <definedName name="_MER8" localSheetId="20">'Template names'!#REF!</definedName>
    <definedName name="_MER8">'Template names'!#REF!</definedName>
    <definedName name="_MER9" localSheetId="3">'[1]Template names'!#REF!</definedName>
    <definedName name="_MER9" localSheetId="17">'Template names'!#REF!</definedName>
    <definedName name="_MER9" localSheetId="18">'Template names'!#REF!</definedName>
    <definedName name="_MER9" localSheetId="19">'Template names'!#REF!</definedName>
    <definedName name="_MER9" localSheetId="20">'Template names'!#REF!</definedName>
    <definedName name="_MER9">'Template names'!#REF!</definedName>
    <definedName name="_rat03" localSheetId="3">#REF!</definedName>
    <definedName name="_rat03" localSheetId="17">#REF!</definedName>
    <definedName name="_rat03" localSheetId="18">#REF!</definedName>
    <definedName name="_rat03" localSheetId="19">#REF!</definedName>
    <definedName name="_rat03" localSheetId="20">#REF!</definedName>
    <definedName name="_rat03">#REF!</definedName>
    <definedName name="_rat04" localSheetId="3">#REF!</definedName>
    <definedName name="_rat04" localSheetId="17">#REF!</definedName>
    <definedName name="_rat04" localSheetId="18">#REF!</definedName>
    <definedName name="_rat04" localSheetId="19">#REF!</definedName>
    <definedName name="_rat04" localSheetId="20">#REF!</definedName>
    <definedName name="_rat04">#REF!</definedName>
    <definedName name="_rat05" localSheetId="3">#REF!</definedName>
    <definedName name="_rat05" localSheetId="17">#REF!</definedName>
    <definedName name="_rat05" localSheetId="18">#REF!</definedName>
    <definedName name="_rat05" localSheetId="19">#REF!</definedName>
    <definedName name="_rat05" localSheetId="20">#REF!</definedName>
    <definedName name="_rat05">#REF!</definedName>
    <definedName name="_rat06" localSheetId="3">#REF!</definedName>
    <definedName name="_rat06" localSheetId="17">#REF!</definedName>
    <definedName name="_rat06" localSheetId="18">#REF!</definedName>
    <definedName name="_rat06" localSheetId="19">#REF!</definedName>
    <definedName name="_rat06" localSheetId="20">#REF!</definedName>
    <definedName name="_rat06">#REF!</definedName>
    <definedName name="_rat07" localSheetId="3">#REF!</definedName>
    <definedName name="_rat07" localSheetId="17">#REF!</definedName>
    <definedName name="_rat07" localSheetId="18">#REF!</definedName>
    <definedName name="_rat07" localSheetId="19">#REF!</definedName>
    <definedName name="_rat07" localSheetId="20">#REF!</definedName>
    <definedName name="_rat07">#REF!</definedName>
    <definedName name="_rat08" localSheetId="3">#REF!</definedName>
    <definedName name="_rat08" localSheetId="17">#REF!</definedName>
    <definedName name="_rat08" localSheetId="18">#REF!</definedName>
    <definedName name="_rat08" localSheetId="19">#REF!</definedName>
    <definedName name="_rat08" localSheetId="20">#REF!</definedName>
    <definedName name="_rat08">#REF!</definedName>
    <definedName name="_rat09" localSheetId="3">#REF!</definedName>
    <definedName name="_rat09" localSheetId="17">#REF!</definedName>
    <definedName name="_rat09" localSheetId="18">#REF!</definedName>
    <definedName name="_rat09" localSheetId="19">#REF!</definedName>
    <definedName name="_rat09" localSheetId="20">#REF!</definedName>
    <definedName name="_rat09">#REF!</definedName>
    <definedName name="_rat10" localSheetId="3">#REF!</definedName>
    <definedName name="_rat10" localSheetId="17">#REF!</definedName>
    <definedName name="_rat10" localSheetId="18">#REF!</definedName>
    <definedName name="_rat10" localSheetId="19">#REF!</definedName>
    <definedName name="_rat10" localSheetId="20">#REF!</definedName>
    <definedName name="_rat10">#REF!</definedName>
    <definedName name="_rat11" localSheetId="3">#REF!</definedName>
    <definedName name="_rat11" localSheetId="17">#REF!</definedName>
    <definedName name="_rat11" localSheetId="18">#REF!</definedName>
    <definedName name="_rat11" localSheetId="19">#REF!</definedName>
    <definedName name="_rat11" localSheetId="20">#REF!</definedName>
    <definedName name="_rat11">#REF!</definedName>
    <definedName name="_rat12" localSheetId="3">#REF!</definedName>
    <definedName name="_rat12" localSheetId="17">#REF!</definedName>
    <definedName name="_rat12" localSheetId="18">#REF!</definedName>
    <definedName name="_rat12" localSheetId="19">#REF!</definedName>
    <definedName name="_rat12" localSheetId="20">#REF!</definedName>
    <definedName name="_rat12">#REF!</definedName>
    <definedName name="_rat13" localSheetId="3">#REF!</definedName>
    <definedName name="_rat13" localSheetId="17">#REF!</definedName>
    <definedName name="_rat13" localSheetId="18">#REF!</definedName>
    <definedName name="_rat13" localSheetId="19">#REF!</definedName>
    <definedName name="_rat13" localSheetId="20">#REF!</definedName>
    <definedName name="_rat13">#REF!</definedName>
    <definedName name="_rgr05" localSheetId="3">#REF!</definedName>
    <definedName name="_rgr05" localSheetId="17">#REF!</definedName>
    <definedName name="_rgr05" localSheetId="18">#REF!</definedName>
    <definedName name="_rgr05" localSheetId="19">#REF!</definedName>
    <definedName name="_rgr05" localSheetId="20">#REF!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3">#REF!</definedName>
    <definedName name="_rmc05" localSheetId="17">#REF!</definedName>
    <definedName name="_rmc05" localSheetId="18">#REF!</definedName>
    <definedName name="_rmc05" localSheetId="19">#REF!</definedName>
    <definedName name="_rmc05" localSheetId="20">#REF!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7">'Template names'!#REF!</definedName>
    <definedName name="_Sch1" localSheetId="18">'Template names'!#REF!</definedName>
    <definedName name="_Sch1" localSheetId="19">'Template names'!#REF!</definedName>
    <definedName name="_Sch1" localSheetId="20">'Template names'!#REF!</definedName>
    <definedName name="_Sch1">'Template names'!#REF!</definedName>
    <definedName name="_Sch10" localSheetId="17">'Template names'!#REF!</definedName>
    <definedName name="_Sch10" localSheetId="18">'Template names'!#REF!</definedName>
    <definedName name="_Sch10" localSheetId="19">'Template names'!#REF!</definedName>
    <definedName name="_Sch10" localSheetId="20">'Template names'!#REF!</definedName>
    <definedName name="_Sch10">'Template names'!#REF!</definedName>
    <definedName name="_sch11" localSheetId="17">'Template names'!#REF!</definedName>
    <definedName name="_sch11" localSheetId="18">'Template names'!#REF!</definedName>
    <definedName name="_sch11" localSheetId="19">'Template names'!#REF!</definedName>
    <definedName name="_sch11" localSheetId="20">'Template names'!#REF!</definedName>
    <definedName name="_sch11">'Template names'!#REF!</definedName>
    <definedName name="_Sch2" localSheetId="17">'Template names'!#REF!</definedName>
    <definedName name="_Sch2" localSheetId="18">'Template names'!#REF!</definedName>
    <definedName name="_Sch2" localSheetId="19">'Template names'!#REF!</definedName>
    <definedName name="_Sch2" localSheetId="20">'Template names'!#REF!</definedName>
    <definedName name="_Sch2">'Template names'!#REF!</definedName>
    <definedName name="_Sch3" localSheetId="17">'Template names'!#REF!</definedName>
    <definedName name="_Sch3" localSheetId="18">'Template names'!#REF!</definedName>
    <definedName name="_Sch3" localSheetId="19">'Template names'!#REF!</definedName>
    <definedName name="_Sch3" localSheetId="20">'Template names'!#REF!</definedName>
    <definedName name="_Sch3">'Template names'!#REF!</definedName>
    <definedName name="_Sch4" localSheetId="17">'Template names'!#REF!</definedName>
    <definedName name="_Sch4" localSheetId="18">'Template names'!#REF!</definedName>
    <definedName name="_Sch4" localSheetId="19">'Template names'!#REF!</definedName>
    <definedName name="_Sch4" localSheetId="20">'Template names'!#REF!</definedName>
    <definedName name="_Sch4">'Template names'!#REF!</definedName>
    <definedName name="_Sch5" localSheetId="17">'Template names'!#REF!</definedName>
    <definedName name="_Sch5" localSheetId="18">'Template names'!#REF!</definedName>
    <definedName name="_Sch5" localSheetId="19">'Template names'!#REF!</definedName>
    <definedName name="_Sch5" localSheetId="20">'Template names'!#REF!</definedName>
    <definedName name="_Sch5">'Template names'!#REF!</definedName>
    <definedName name="_Sch6" localSheetId="17">'Template names'!#REF!</definedName>
    <definedName name="_Sch6" localSheetId="18">'Template names'!#REF!</definedName>
    <definedName name="_Sch6" localSheetId="19">'Template names'!#REF!</definedName>
    <definedName name="_Sch6" localSheetId="20">'Template names'!#REF!</definedName>
    <definedName name="_Sch6">'Template names'!#REF!</definedName>
    <definedName name="_Sch7" localSheetId="17">'Template names'!#REF!</definedName>
    <definedName name="_Sch7" localSheetId="18">'Template names'!#REF!</definedName>
    <definedName name="_Sch7" localSheetId="19">'Template names'!#REF!</definedName>
    <definedName name="_Sch7" localSheetId="20">'Template names'!#REF!</definedName>
    <definedName name="_Sch7">'Template names'!#REF!</definedName>
    <definedName name="_Sch8" localSheetId="17">'Template names'!#REF!</definedName>
    <definedName name="_Sch8" localSheetId="18">'Template names'!#REF!</definedName>
    <definedName name="_Sch8" localSheetId="19">'Template names'!#REF!</definedName>
    <definedName name="_Sch8" localSheetId="20">'Template names'!#REF!</definedName>
    <definedName name="_Sch8">'Template names'!#REF!</definedName>
    <definedName name="_Sch9" localSheetId="17">'Template names'!#REF!</definedName>
    <definedName name="_Sch9" localSheetId="18">'Template names'!#REF!</definedName>
    <definedName name="_Sch9" localSheetId="19">'Template names'!#REF!</definedName>
    <definedName name="_Sch9" localSheetId="20">'Template names'!#REF!</definedName>
    <definedName name="_Sch9">'Template names'!#REF!</definedName>
    <definedName name="_sdc05" localSheetId="3">#REF!</definedName>
    <definedName name="_sdc05" localSheetId="17">#REF!</definedName>
    <definedName name="_sdc05" localSheetId="18">#REF!</definedName>
    <definedName name="_sdc05" localSheetId="19">#REF!</definedName>
    <definedName name="_sdc05" localSheetId="20">#REF!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3">#REF!</definedName>
    <definedName name="_wc05" localSheetId="17">#REF!</definedName>
    <definedName name="_wc05" localSheetId="18">#REF!</definedName>
    <definedName name="_wc05" localSheetId="19">#REF!</definedName>
    <definedName name="_wc05" localSheetId="20">#REF!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3">'[1]Template names'!#REF!</definedName>
    <definedName name="ADJ10plus" localSheetId="17">'Template names'!#REF!</definedName>
    <definedName name="ADJ10plus" localSheetId="18">'Template names'!#REF!</definedName>
    <definedName name="ADJ10plus" localSheetId="19">'Template names'!#REF!</definedName>
    <definedName name="ADJ10plus" localSheetId="20">'Template names'!#REF!</definedName>
    <definedName name="ADJ10plus">'Template names'!#REF!</definedName>
    <definedName name="ADJ18A" localSheetId="3">'[1]Template names'!#REF!</definedName>
    <definedName name="ADJ18A" localSheetId="17">'Template names'!#REF!</definedName>
    <definedName name="ADJ18A" localSheetId="18">'Template names'!#REF!</definedName>
    <definedName name="ADJ18A" localSheetId="19">'Template names'!#REF!</definedName>
    <definedName name="ADJ18A" localSheetId="20">'Template names'!#REF!</definedName>
    <definedName name="ADJ18A">'Template names'!#REF!</definedName>
    <definedName name="ADJ18B" localSheetId="3">'[1]Template names'!#REF!</definedName>
    <definedName name="ADJ18B" localSheetId="17">'Template names'!#REF!</definedName>
    <definedName name="ADJ18B" localSheetId="18">'Template names'!#REF!</definedName>
    <definedName name="ADJ18B" localSheetId="19">'Template names'!#REF!</definedName>
    <definedName name="ADJ18B" localSheetId="20">'Template names'!#REF!</definedName>
    <definedName name="ADJ18B">'Template names'!#REF!</definedName>
    <definedName name="ADJ19B" localSheetId="3">'[1]Template names'!#REF!</definedName>
    <definedName name="ADJ19B" localSheetId="17">'Template names'!#REF!</definedName>
    <definedName name="ADJ19B" localSheetId="18">'Template names'!#REF!</definedName>
    <definedName name="ADJ19B" localSheetId="19">'Template names'!#REF!</definedName>
    <definedName name="ADJ19B" localSheetId="20">'Template names'!#REF!</definedName>
    <definedName name="ADJ19B">'Template names'!#REF!</definedName>
    <definedName name="ADJ8A" localSheetId="3">'[1]Template names'!#REF!</definedName>
    <definedName name="ADJ8A" localSheetId="17">'Template names'!#REF!</definedName>
    <definedName name="ADJ8A" localSheetId="18">'Template names'!#REF!</definedName>
    <definedName name="ADJ8A" localSheetId="19">'Template names'!#REF!</definedName>
    <definedName name="ADJ8A" localSheetId="20">'Template names'!#REF!</definedName>
    <definedName name="ADJ8A">'Template names'!#REF!</definedName>
    <definedName name="ADJ8B" localSheetId="3">'[1]Template names'!#REF!</definedName>
    <definedName name="ADJ8B" localSheetId="17">'Template names'!#REF!</definedName>
    <definedName name="ADJ8B" localSheetId="18">'Template names'!#REF!</definedName>
    <definedName name="ADJ8B" localSheetId="19">'Template names'!#REF!</definedName>
    <definedName name="ADJ8B" localSheetId="20">'Template names'!#REF!</definedName>
    <definedName name="ADJ8B">'Template names'!#REF!</definedName>
    <definedName name="ADJP1" localSheetId="3">'[1]Template names'!#REF!</definedName>
    <definedName name="ADJP1" localSheetId="17">'Template names'!#REF!</definedName>
    <definedName name="ADJP1" localSheetId="18">'Template names'!#REF!</definedName>
    <definedName name="ADJP1" localSheetId="19">'Template names'!#REF!</definedName>
    <definedName name="ADJP1" localSheetId="20">'Template names'!#REF!</definedName>
    <definedName name="ADJP1">'Template names'!#REF!</definedName>
    <definedName name="adjsum" localSheetId="3">'[1]Template names'!#REF!</definedName>
    <definedName name="adjsum" localSheetId="17">'Template names'!#REF!</definedName>
    <definedName name="adjsum" localSheetId="18">'Template names'!#REF!</definedName>
    <definedName name="adjsum" localSheetId="19">'Template names'!#REF!</definedName>
    <definedName name="adjsum" localSheetId="20">'Template names'!#REF!</definedName>
    <definedName name="adjsum">'Template names'!#REF!</definedName>
    <definedName name="ADJTB1" localSheetId="3">'[1]Template names'!#REF!</definedName>
    <definedName name="ADJTB1" localSheetId="17">'Template names'!#REF!</definedName>
    <definedName name="ADJTB1" localSheetId="18">'Template names'!#REF!</definedName>
    <definedName name="ADJTB1" localSheetId="19">'Template names'!#REF!</definedName>
    <definedName name="ADJTB1" localSheetId="20">'Template names'!#REF!</definedName>
    <definedName name="ADJTB1">'Template names'!#REF!</definedName>
    <definedName name="ADJXX" localSheetId="3">'[1]Template names'!#REF!</definedName>
    <definedName name="ADJXX" localSheetId="17">'Template names'!#REF!</definedName>
    <definedName name="ADJXX" localSheetId="18">'Template names'!#REF!</definedName>
    <definedName name="ADJXX" localSheetId="19">'Template names'!#REF!</definedName>
    <definedName name="ADJXX" localSheetId="20">'Template names'!#REF!</definedName>
    <definedName name="ADJXX">'Template names'!#REF!</definedName>
    <definedName name="Approve1">#REF!</definedName>
    <definedName name="Approve10">#REF!</definedName>
    <definedName name="Approve2">#REF!</definedName>
    <definedName name="Approve3">#REF!</definedName>
    <definedName name="Approve4">#REF!</definedName>
    <definedName name="Approve5">#REF!</definedName>
    <definedName name="Approve6">#REF!</definedName>
    <definedName name="Approve7">#REF!</definedName>
    <definedName name="Approve8">#REF!</definedName>
    <definedName name="Approve9">#REF!</definedName>
    <definedName name="Asset_Class">'Lookup and lists (2)'!$Z$15:$Z$29</definedName>
    <definedName name="asset_class1">'Lookup and lists (2)'!$Z$16:$Z$40</definedName>
    <definedName name="Asset_sub_class">'Lookup and lists (2)'!$AA$15:$AA$59</definedName>
    <definedName name="asset_subclass1">'Lookup and lists (2)'!$AB$16:$AB$124</definedName>
    <definedName name="assetsched" localSheetId="17">'Template names'!#REF!</definedName>
    <definedName name="assetsched" localSheetId="18">'Template names'!#REF!</definedName>
    <definedName name="assetsched" localSheetId="19">'Template names'!#REF!</definedName>
    <definedName name="assetsched" localSheetId="20">'Template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3">#REF!</definedName>
    <definedName name="balloon" localSheetId="17">#REF!</definedName>
    <definedName name="balloon" localSheetId="18">#REF!</definedName>
    <definedName name="balloon" localSheetId="19">#REF!</definedName>
    <definedName name="balloon" localSheetId="20">#REF!</definedName>
    <definedName name="balloon">#REF!</definedName>
    <definedName name="basedesc">'Template names'!$D$40:$D$40</definedName>
    <definedName name="baseindex" localSheetId="17">'Template names'!#REF!</definedName>
    <definedName name="baseindex" localSheetId="18">'Template names'!#REF!</definedName>
    <definedName name="baseindex" localSheetId="19">'Template names'!#REF!</definedName>
    <definedName name="baseindex" localSheetId="20">'Template names'!#REF!</definedName>
    <definedName name="baseindex">'Template names'!#REF!</definedName>
    <definedName name="Bus" localSheetId="3">#REF!</definedName>
    <definedName name="Bus" localSheetId="17">#REF!</definedName>
    <definedName name="Bus" localSheetId="18">#REF!</definedName>
    <definedName name="Bus" localSheetId="19">#REF!</definedName>
    <definedName name="Bus" localSheetId="20">#REF!</definedName>
    <definedName name="Bus">#REF!</definedName>
    <definedName name="Capex" localSheetId="19">'D3-Capex'!#REF!</definedName>
    <definedName name="Capex" localSheetId="20">'D3-Capex'!#REF!</definedName>
    <definedName name="Capex">'D3-Capex'!#REF!</definedName>
    <definedName name="capexfactor" localSheetId="3">#REF!</definedName>
    <definedName name="capexfactor" localSheetId="17">#REF!</definedName>
    <definedName name="capexfactor" localSheetId="18">#REF!</definedName>
    <definedName name="capexfactor" localSheetId="19">#REF!</definedName>
    <definedName name="capexfactor" localSheetId="20">#REF!</definedName>
    <definedName name="capexfactor">#REF!</definedName>
    <definedName name="capexlimit06">#REF!</definedName>
    <definedName name="capexlimit07">#REF!</definedName>
    <definedName name="capexlimit08">#REF!</definedName>
    <definedName name="capexlimit09">#REF!</definedName>
    <definedName name="capexrate04" localSheetId="3">#REF!</definedName>
    <definedName name="capexrate04" localSheetId="17">#REF!</definedName>
    <definedName name="capexrate04" localSheetId="18">#REF!</definedName>
    <definedName name="capexrate04" localSheetId="19">#REF!</definedName>
    <definedName name="capexrate04" localSheetId="20">#REF!</definedName>
    <definedName name="capexrate04">#REF!</definedName>
    <definedName name="capexrate05" localSheetId="3">#REF!</definedName>
    <definedName name="capexrate05" localSheetId="17">#REF!</definedName>
    <definedName name="capexrate05" localSheetId="18">#REF!</definedName>
    <definedName name="capexrate05" localSheetId="19">#REF!</definedName>
    <definedName name="capexrate05" localSheetId="20">#REF!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3">#REF!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7">'Template names'!#REF!</definedName>
    <definedName name="Charges1" localSheetId="18">'Template names'!#REF!</definedName>
    <definedName name="Charges1" localSheetId="19">'Template names'!#REF!</definedName>
    <definedName name="Charges1" localSheetId="20">'Template names'!#REF!</definedName>
    <definedName name="Charges1">'Template names'!#REF!</definedName>
    <definedName name="ChartA1">#REF!</definedName>
    <definedName name="ChartA10">#REF!</definedName>
    <definedName name="ChartA11">#REF!</definedName>
    <definedName name="ChartA12">#REF!</definedName>
    <definedName name="ChartA13">#REF!</definedName>
    <definedName name="ChartA2">#REF!</definedName>
    <definedName name="ChartA3">#REF!</definedName>
    <definedName name="ChartA4">#REF!</definedName>
    <definedName name="ChartA5">#REF!</definedName>
    <definedName name="ChartA6">#REF!</definedName>
    <definedName name="ChartA7">#REF!</definedName>
    <definedName name="ChartA8">#REF!</definedName>
    <definedName name="ChartA9">#REF!</definedName>
    <definedName name="choosebase" localSheetId="17">'Template names'!#REF!</definedName>
    <definedName name="choosebase" localSheetId="18">'Template names'!#REF!</definedName>
    <definedName name="choosebase" localSheetId="19">'Template names'!#REF!</definedName>
    <definedName name="choosebase" localSheetId="20">'Template names'!#REF!</definedName>
    <definedName name="choosebase">'Template names'!#REF!</definedName>
    <definedName name="Consolques" localSheetId="17">'Template names'!#REF!</definedName>
    <definedName name="Consolques" localSheetId="18">'Template names'!#REF!</definedName>
    <definedName name="Consolques" localSheetId="19">'Template names'!#REF!</definedName>
    <definedName name="Consolques" localSheetId="20">'Template names'!#REF!</definedName>
    <definedName name="Consolques">'Template names'!#REF!</definedName>
    <definedName name="cpix04" localSheetId="3">#REF!</definedName>
    <definedName name="cpix04" localSheetId="17">#REF!</definedName>
    <definedName name="cpix04" localSheetId="18">#REF!</definedName>
    <definedName name="cpix04" localSheetId="19">#REF!</definedName>
    <definedName name="cpix04" localSheetId="20">#REF!</definedName>
    <definedName name="cpix04">#REF!</definedName>
    <definedName name="cpix05" localSheetId="3">#REF!</definedName>
    <definedName name="cpix05" localSheetId="17">#REF!</definedName>
    <definedName name="cpix05" localSheetId="18">#REF!</definedName>
    <definedName name="cpix05" localSheetId="19">#REF!</definedName>
    <definedName name="cpix05" localSheetId="20">#REF!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3">#REF!</definedName>
    <definedName name="credit06" localSheetId="17">#REF!</definedName>
    <definedName name="credit06" localSheetId="18">#REF!</definedName>
    <definedName name="credit06" localSheetId="19">#REF!</definedName>
    <definedName name="credit06" localSheetId="20">#REF!</definedName>
    <definedName name="credit06">#REF!</definedName>
    <definedName name="date">[3]Data!$B$2</definedName>
    <definedName name="debt03" localSheetId="3">#REF!</definedName>
    <definedName name="debt03" localSheetId="17">#REF!</definedName>
    <definedName name="debt03" localSheetId="18">#REF!</definedName>
    <definedName name="debt03" localSheetId="19">#REF!</definedName>
    <definedName name="debt03" localSheetId="20">#REF!</definedName>
    <definedName name="debt03">#REF!</definedName>
    <definedName name="debt04" localSheetId="3">#REF!</definedName>
    <definedName name="debt04" localSheetId="17">#REF!</definedName>
    <definedName name="debt04" localSheetId="18">#REF!</definedName>
    <definedName name="debt04" localSheetId="19">#REF!</definedName>
    <definedName name="debt04" localSheetId="20">#REF!</definedName>
    <definedName name="debt04">#REF!</definedName>
    <definedName name="debt05" localSheetId="3">#REF!</definedName>
    <definedName name="debt05" localSheetId="17">#REF!</definedName>
    <definedName name="debt05" localSheetId="18">#REF!</definedName>
    <definedName name="debt05" localSheetId="19">#REF!</definedName>
    <definedName name="debt05" localSheetId="20">#REF!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3">#REF!</definedName>
    <definedName name="debtrev04" localSheetId="17">#REF!</definedName>
    <definedName name="debtrev04" localSheetId="18">#REF!</definedName>
    <definedName name="debtrev04" localSheetId="19">#REF!</definedName>
    <definedName name="debtrev04" localSheetId="20">#REF!</definedName>
    <definedName name="debtrev04">#REF!</definedName>
    <definedName name="debtrev05" localSheetId="3">#REF!</definedName>
    <definedName name="debtrev05" localSheetId="17">#REF!</definedName>
    <definedName name="debtrev05" localSheetId="18">#REF!</definedName>
    <definedName name="debtrev05" localSheetId="19">#REF!</definedName>
    <definedName name="debtrev05" localSheetId="20">#REF!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3">#REF!</definedName>
    <definedName name="ecchoice" localSheetId="17">#REF!</definedName>
    <definedName name="ecchoice" localSheetId="18">#REF!</definedName>
    <definedName name="ecchoice" localSheetId="19">#REF!</definedName>
    <definedName name="ecchoice" localSheetId="20">#REF!</definedName>
    <definedName name="ecchoice">#REF!</definedName>
    <definedName name="elec05" localSheetId="3">#REF!</definedName>
    <definedName name="elec05" localSheetId="17">#REF!</definedName>
    <definedName name="elec05" localSheetId="18">#REF!</definedName>
    <definedName name="elec05" localSheetId="19">#REF!</definedName>
    <definedName name="elec05" localSheetId="20">#REF!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3">#REF!</definedName>
    <definedName name="eskom07" localSheetId="17">#REF!</definedName>
    <definedName name="eskom07" localSheetId="18">#REF!</definedName>
    <definedName name="eskom07" localSheetId="19">#REF!</definedName>
    <definedName name="eskom07" localSheetId="20">#REF!</definedName>
    <definedName name="eskom07">#REF!</definedName>
    <definedName name="fdil">'Template names'!$B$32</definedName>
    <definedName name="FinYear" localSheetId="3">Instructions!$X$36</definedName>
    <definedName name="finyear">[3]Data!$B$4</definedName>
    <definedName name="finyears" localSheetId="3">#REF!</definedName>
    <definedName name="finyears" localSheetId="17">#REF!</definedName>
    <definedName name="finyears" localSheetId="18">#REF!</definedName>
    <definedName name="finyears" localSheetId="19">#REF!</definedName>
    <definedName name="finyears" localSheetId="20">#REF!</definedName>
    <definedName name="finyears">#REF!</definedName>
    <definedName name="Fundnote" localSheetId="17">'Template names'!#REF!</definedName>
    <definedName name="Fundnote" localSheetId="18">'Template names'!#REF!</definedName>
    <definedName name="Fundnote" localSheetId="19">'Template names'!#REF!</definedName>
    <definedName name="Fundnote" localSheetId="20">'Template names'!#REF!</definedName>
    <definedName name="Fundnote">'Template names'!#REF!</definedName>
    <definedName name="GrantNatCapex">'Lookup and lists (2)'!$AB$2:$AB$9</definedName>
    <definedName name="GrantNatOpex">'Lookup and lists (2)'!$Z$2:$Z$13</definedName>
    <definedName name="GrantProvCapex">'Lookup and lists (2)'!$AC$2:$AC$9</definedName>
    <definedName name="GrantProvOpex">'Lookup and lists (2)'!$AA$2:$AA$6</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5">#REF!</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3">#REF!</definedName>
    <definedName name="hhgr05" localSheetId="17">#REF!</definedName>
    <definedName name="hhgr05" localSheetId="18">#REF!</definedName>
    <definedName name="hhgr05" localSheetId="19">#REF!</definedName>
    <definedName name="hhgr05" localSheetId="20">#REF!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3">#REF!</definedName>
    <definedName name="incentive" localSheetId="17">#REF!</definedName>
    <definedName name="incentive" localSheetId="18">#REF!</definedName>
    <definedName name="incentive" localSheetId="19">#REF!</definedName>
    <definedName name="incentive" localSheetId="20">#REF!</definedName>
    <definedName name="incentive">#REF!</definedName>
    <definedName name="infra">#REF!</definedName>
    <definedName name="Infrarenewal">#REF!</definedName>
    <definedName name="infrastratnum">#REF!</definedName>
    <definedName name="Instructions" localSheetId="3">#REF!</definedName>
    <definedName name="Instructions">#REF!</definedName>
    <definedName name="inventory" localSheetId="3">#REF!</definedName>
    <definedName name="inventory" localSheetId="17">#REF!</definedName>
    <definedName name="inventory" localSheetId="18">#REF!</definedName>
    <definedName name="inventory" localSheetId="19">#REF!</definedName>
    <definedName name="inventory" localSheetId="20">#REF!</definedName>
    <definedName name="inventory">#REF!</definedName>
    <definedName name="IUDF">'Lookup and lists (2)'!$AC$16:$AC$19</definedName>
    <definedName name="List1">'Lookup and lists (2)'!$Q$2:$Q$4</definedName>
    <definedName name="List2">'Lookup and lists (2)'!$R$2:$R$8</definedName>
    <definedName name="List3">'Lookup and lists (2)'!$S$2:$S$7</definedName>
    <definedName name="List4">'Lookup and lists (2)'!$T$2:$T$4</definedName>
    <definedName name="List5">'Lookup and lists (2)'!$U$2:$U$4</definedName>
    <definedName name="List6">'Lookup and lists (2)'!$V$2:$V$3</definedName>
    <definedName name="List7">'Lookup and lists (2)'!$W$2:$W$3</definedName>
    <definedName name="List8">'Lookup and lists (2)'!$X$2:$X$3</definedName>
    <definedName name="longterm" localSheetId="3">#REF!</definedName>
    <definedName name="longterm" localSheetId="17">#REF!</definedName>
    <definedName name="longterm" localSheetId="18">#REF!</definedName>
    <definedName name="longterm" localSheetId="19">#REF!</definedName>
    <definedName name="longterm" localSheetId="20">#REF!</definedName>
    <definedName name="longterm">#REF!</definedName>
    <definedName name="MEAB1" localSheetId="3">'[1]Template names'!#REF!</definedName>
    <definedName name="MEAB1" localSheetId="17">'Template names'!#REF!</definedName>
    <definedName name="MEAB1" localSheetId="18">'Template names'!#REF!</definedName>
    <definedName name="MEAB1" localSheetId="19">'Template names'!#REF!</definedName>
    <definedName name="MEAB1" localSheetId="20">'Template names'!#REF!</definedName>
    <definedName name="MEAB1">'Template names'!#REF!</definedName>
    <definedName name="MEAB10" localSheetId="3">'[1]Template names'!#REF!</definedName>
    <definedName name="MEAB10" localSheetId="17">'Template names'!#REF!</definedName>
    <definedName name="MEAB10" localSheetId="18">'Template names'!#REF!</definedName>
    <definedName name="MEAB10" localSheetId="19">'Template names'!#REF!</definedName>
    <definedName name="MEAB10" localSheetId="20">'Template names'!#REF!</definedName>
    <definedName name="MEAB10">'Template names'!#REF!</definedName>
    <definedName name="MEAB11" localSheetId="3">'[1]Template names'!#REF!</definedName>
    <definedName name="MEAB11" localSheetId="17">'Template names'!#REF!</definedName>
    <definedName name="MEAB11" localSheetId="18">'Template names'!#REF!</definedName>
    <definedName name="MEAB11" localSheetId="19">'Template names'!#REF!</definedName>
    <definedName name="MEAB11" localSheetId="20">'Template names'!#REF!</definedName>
    <definedName name="MEAB11">'Template names'!#REF!</definedName>
    <definedName name="MEAB2" localSheetId="3">'[1]Template names'!#REF!</definedName>
    <definedName name="MEAB2" localSheetId="17">'Template names'!#REF!</definedName>
    <definedName name="MEAB2" localSheetId="18">'Template names'!#REF!</definedName>
    <definedName name="MEAB2" localSheetId="19">'Template names'!#REF!</definedName>
    <definedName name="MEAB2" localSheetId="20">'Template names'!#REF!</definedName>
    <definedName name="MEAB2">'Template names'!#REF!</definedName>
    <definedName name="MEAB3" localSheetId="3">'[1]Template names'!#REF!</definedName>
    <definedName name="MEAB3" localSheetId="17">'Template names'!#REF!</definedName>
    <definedName name="MEAB3" localSheetId="18">'Template names'!#REF!</definedName>
    <definedName name="MEAB3" localSheetId="19">'Template names'!#REF!</definedName>
    <definedName name="MEAB3" localSheetId="20">'Template names'!#REF!</definedName>
    <definedName name="MEAB3">'Template names'!#REF!</definedName>
    <definedName name="MEAB4" localSheetId="3">'[1]Template names'!#REF!</definedName>
    <definedName name="MEAB4" localSheetId="17">'Template names'!#REF!</definedName>
    <definedName name="MEAB4" localSheetId="18">'Template names'!#REF!</definedName>
    <definedName name="MEAB4" localSheetId="19">'Template names'!#REF!</definedName>
    <definedName name="MEAB4" localSheetId="20">'Template names'!#REF!</definedName>
    <definedName name="MEAB4">'Template names'!#REF!</definedName>
    <definedName name="MEAB5" localSheetId="3">'[1]Template names'!#REF!</definedName>
    <definedName name="MEAB5" localSheetId="17">'Template names'!#REF!</definedName>
    <definedName name="MEAB5" localSheetId="18">'Template names'!#REF!</definedName>
    <definedName name="MEAB5" localSheetId="19">'Template names'!#REF!</definedName>
    <definedName name="MEAB5" localSheetId="20">'Template names'!#REF!</definedName>
    <definedName name="MEAB5">'Template names'!#REF!</definedName>
    <definedName name="MEAB6" localSheetId="3">'[1]Template names'!#REF!</definedName>
    <definedName name="MEAB6" localSheetId="17">'Template names'!#REF!</definedName>
    <definedName name="MEAB6" localSheetId="18">'Template names'!#REF!</definedName>
    <definedName name="MEAB6" localSheetId="19">'Template names'!#REF!</definedName>
    <definedName name="MEAB6" localSheetId="20">'Template names'!#REF!</definedName>
    <definedName name="MEAB6">'Template names'!#REF!</definedName>
    <definedName name="MEAB7" localSheetId="3">'[1]Template names'!#REF!</definedName>
    <definedName name="MEAB7" localSheetId="17">'Template names'!#REF!</definedName>
    <definedName name="MEAB7" localSheetId="18">'Template names'!#REF!</definedName>
    <definedName name="MEAB7" localSheetId="19">'Template names'!#REF!</definedName>
    <definedName name="MEAB7" localSheetId="20">'Template names'!#REF!</definedName>
    <definedName name="MEAB7">'Template names'!#REF!</definedName>
    <definedName name="MEAB8" localSheetId="3">'[1]Template names'!#REF!</definedName>
    <definedName name="MEAB8" localSheetId="17">'Template names'!#REF!</definedName>
    <definedName name="MEAB8" localSheetId="18">'Template names'!#REF!</definedName>
    <definedName name="MEAB8" localSheetId="19">'Template names'!#REF!</definedName>
    <definedName name="MEAB8" localSheetId="20">'Template names'!#REF!</definedName>
    <definedName name="MEAB8">'Template names'!#REF!</definedName>
    <definedName name="MEAB9" localSheetId="3">'[1]Template names'!#REF!</definedName>
    <definedName name="MEAB9" localSheetId="17">'Template names'!#REF!</definedName>
    <definedName name="MEAB9" localSheetId="18">'Template names'!#REF!</definedName>
    <definedName name="MEAB9" localSheetId="19">'Template names'!#REF!</definedName>
    <definedName name="MEAB9" localSheetId="20">'Template names'!#REF!</definedName>
    <definedName name="MEAB9">'Template names'!#REF!</definedName>
    <definedName name="MEABsum" localSheetId="3">'[1]Template names'!#REF!</definedName>
    <definedName name="MEABsum" localSheetId="17">'Template names'!#REF!</definedName>
    <definedName name="MEABsum" localSheetId="18">'Template names'!#REF!</definedName>
    <definedName name="MEABsum" localSheetId="19">'Template names'!#REF!</definedName>
    <definedName name="MEABsum" localSheetId="20">'Template names'!#REF!</definedName>
    <definedName name="MEABsum">'Template names'!#REF!</definedName>
    <definedName name="MEB1A" localSheetId="3">'[1]Template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3">'[1]Template names'!#REF!</definedName>
    <definedName name="MEBsum">'Template names'!$B$80</definedName>
    <definedName name="MERsum" localSheetId="3">'[1]Template names'!#REF!</definedName>
    <definedName name="MERsum" localSheetId="17">'Template names'!#REF!</definedName>
    <definedName name="MERsum" localSheetId="18">'Template names'!#REF!</definedName>
    <definedName name="MERsum" localSheetId="19">'Template names'!#REF!</definedName>
    <definedName name="MERsum" localSheetId="20">'Template names'!#REF!</definedName>
    <definedName name="MERsum">'Template names'!#REF!</definedName>
    <definedName name="month">[3]Data!$B$1</definedName>
    <definedName name="MTREF" localSheetId="3">Instructions!$X$34</definedName>
    <definedName name="MTREF">Instructions!$X$34</definedName>
    <definedName name="MTSF">'Lookup and lists (2)'!$AD$16:$AD$29</definedName>
    <definedName name="muni" localSheetId="3">'[1]Template names'!$B$93</definedName>
    <definedName name="muni">'Template names'!$B$97</definedName>
    <definedName name="MuniEntities">'[1]Template names'!$B$94</definedName>
    <definedName name="MuniType">'[1]Template names'!$D$94</definedName>
    <definedName name="nersa07" localSheetId="3">#REF!</definedName>
    <definedName name="nersa07" localSheetId="17">#REF!</definedName>
    <definedName name="nersa07" localSheetId="18">#REF!</definedName>
    <definedName name="nersa07" localSheetId="19">#REF!</definedName>
    <definedName name="nersa07" localSheetId="20">#REF!</definedName>
    <definedName name="nersa07">#REF!</definedName>
    <definedName name="nersa08" localSheetId="3">#REF!</definedName>
    <definedName name="nersa08" localSheetId="17">#REF!</definedName>
    <definedName name="nersa08" localSheetId="18">#REF!</definedName>
    <definedName name="nersa08" localSheetId="19">#REF!</definedName>
    <definedName name="nersa08" localSheetId="20">#REF!</definedName>
    <definedName name="nersa08">#REF!</definedName>
    <definedName name="nethhgr05" localSheetId="3">#REF!</definedName>
    <definedName name="nethhgr05" localSheetId="17">#REF!</definedName>
    <definedName name="nethhgr05" localSheetId="18">#REF!</definedName>
    <definedName name="nethhgr05" localSheetId="19">#REF!</definedName>
    <definedName name="nethhgr05" localSheetId="20">#REF!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7">'Template names'!#REF!</definedName>
    <definedName name="newTable25" localSheetId="18">'Template names'!#REF!</definedName>
    <definedName name="newTable25" localSheetId="19">'Template names'!#REF!</definedName>
    <definedName name="newTable25" localSheetId="20">'Template names'!#REF!</definedName>
    <definedName name="newTable25">'Template names'!#REF!</definedName>
    <definedName name="ninety" localSheetId="3">#REF!</definedName>
    <definedName name="ninety">#REF!</definedName>
    <definedName name="Note20">[4]Names!$B$89</definedName>
    <definedName name="poorgr06">#REF!</definedName>
    <definedName name="_xlnm.Print_Area" localSheetId="5">'D1-Sum'!$A$1:$J$46</definedName>
    <definedName name="_xlnm.Print_Area" localSheetId="6">'D2-FinPerf'!$A$1:$K$50</definedName>
    <definedName name="_xlnm.Print_Area" localSheetId="8">'D4-FinPos'!$A$1:$K$53</definedName>
    <definedName name="_xlnm.Print_Area" localSheetId="9">'D5-CFlow'!$A$1:$K$46</definedName>
    <definedName name="_xlnm.Print_Area" localSheetId="3">Instructions!$A$1:$M$47</definedName>
    <definedName name="_xlnm.Print_Area" localSheetId="10">'SD1'!$A$1:$K$36</definedName>
    <definedName name="_xlnm.Print_Area" localSheetId="23">'SD10'!$A$1:$F$24</definedName>
    <definedName name="_xlnm.Print_Area" localSheetId="11">'SD2'!$A$1:$L$40</definedName>
    <definedName name="_xlnm.Print_Area" localSheetId="12">'SD3'!$A$1:$I$8</definedName>
    <definedName name="_xlnm.Print_Area" localSheetId="13">'SD4'!$A$1:$K$57</definedName>
    <definedName name="_xlnm.Print_Area" localSheetId="15">'SD6'!$A$1:$P$36</definedName>
    <definedName name="_xlnm.Print_Area" localSheetId="16">SD7a!$A$1:$K$167</definedName>
    <definedName name="_xlnm.Print_Area" localSheetId="17">SD7b!$A$1:$K$167</definedName>
    <definedName name="_xlnm.Print_Area" localSheetId="18">SD7c!$A$1:$K$167</definedName>
    <definedName name="_xlnm.Print_Area" localSheetId="19">SD7d!$A$1:$K$167</definedName>
    <definedName name="_xlnm.Print_Area" localSheetId="20">SD7e!$A$1:$K$167</definedName>
    <definedName name="_xlnm.Print_Area" localSheetId="21">'SD8'!$A$1:$I$25</definedName>
    <definedName name="_xlnm.Print_Area" localSheetId="22">'SD9'!$A$1:$O$1</definedName>
    <definedName name="proptax07">#REF!</definedName>
    <definedName name="Rand000" localSheetId="3">#REF!</definedName>
    <definedName name="Rand000" localSheetId="17">#REF!</definedName>
    <definedName name="Rand000" localSheetId="18">#REF!</definedName>
    <definedName name="Rand000" localSheetId="19">#REF!</definedName>
    <definedName name="Rand000" localSheetId="20">#REF!</definedName>
    <definedName name="Rand000">#REF!</definedName>
    <definedName name="RandM">'Template names'!$B$74</definedName>
    <definedName name="Rates1" localSheetId="17">'Template names'!#REF!</definedName>
    <definedName name="Rates1" localSheetId="18">'Template names'!#REF!</definedName>
    <definedName name="Rates1" localSheetId="19">'Template names'!#REF!</definedName>
    <definedName name="Rates1" localSheetId="20">'Template names'!#REF!</definedName>
    <definedName name="Rates1">'Template names'!#REF!</definedName>
    <definedName name="Rates2" localSheetId="17">'Template names'!#REF!</definedName>
    <definedName name="Rates2" localSheetId="18">'Template names'!#REF!</definedName>
    <definedName name="Rates2" localSheetId="19">'Template names'!#REF!</definedName>
    <definedName name="Rates2" localSheetId="20">'Template names'!#REF!</definedName>
    <definedName name="Rates2">'Template names'!#REF!</definedName>
    <definedName name="Rates3" localSheetId="17">'Template names'!#REF!</definedName>
    <definedName name="Rates3" localSheetId="18">'Template names'!#REF!</definedName>
    <definedName name="Rates3" localSheetId="19">'Template names'!#REF!</definedName>
    <definedName name="Rates3" localSheetId="20">'Template names'!#REF!</definedName>
    <definedName name="Rates3">'Template names'!#REF!</definedName>
    <definedName name="REDHHGR06" localSheetId="3">#REF!</definedName>
    <definedName name="REDHHGR06" localSheetId="17">#REF!</definedName>
    <definedName name="REDHHGR06" localSheetId="18">#REF!</definedName>
    <definedName name="REDHHGR06" localSheetId="19">#REF!</definedName>
    <definedName name="REDHHGR06" localSheetId="20">#REF!</definedName>
    <definedName name="REDHHGR06">#REF!</definedName>
    <definedName name="redhhgr07" localSheetId="3">#REF!</definedName>
    <definedName name="redhhgr07" localSheetId="17">#REF!</definedName>
    <definedName name="redhhgr07" localSheetId="18">#REF!</definedName>
    <definedName name="redhhgr07" localSheetId="19">#REF!</definedName>
    <definedName name="redhhgr07" localSheetId="20">#REF!</definedName>
    <definedName name="redhhgr07">#REF!</definedName>
    <definedName name="redrev06" localSheetId="3">#REF!</definedName>
    <definedName name="redrev06" localSheetId="17">#REF!</definedName>
    <definedName name="redrev06" localSheetId="18">#REF!</definedName>
    <definedName name="redrev06" localSheetId="19">#REF!</definedName>
    <definedName name="redrev06" localSheetId="20">#REF!</definedName>
    <definedName name="redrev06">#REF!</definedName>
    <definedName name="redrev07" localSheetId="3">#REF!</definedName>
    <definedName name="redrev07" localSheetId="17">#REF!</definedName>
    <definedName name="redrev07" localSheetId="18">#REF!</definedName>
    <definedName name="redrev07" localSheetId="19">#REF!</definedName>
    <definedName name="redrev07" localSheetId="20">#REF!</definedName>
    <definedName name="redrev07">#REF!</definedName>
    <definedName name="Reds" localSheetId="3">#REF!</definedName>
    <definedName name="Reds" localSheetId="17">#REF!</definedName>
    <definedName name="Reds" localSheetId="18">#REF!</definedName>
    <definedName name="Reds" localSheetId="19">#REF!</definedName>
    <definedName name="Reds" localSheetId="20">#REF!</definedName>
    <definedName name="Reds">#REF!</definedName>
    <definedName name="renewyears">#REF!</definedName>
    <definedName name="Request0506" localSheetId="3">#REF!</definedName>
    <definedName name="Request0506" localSheetId="17">#REF!</definedName>
    <definedName name="Request0506" localSheetId="18">#REF!</definedName>
    <definedName name="Request0506" localSheetId="19">#REF!</definedName>
    <definedName name="Request0506" localSheetId="20">#REF!</definedName>
    <definedName name="Request0506">#REF!</definedName>
    <definedName name="resiprop">#REF!</definedName>
    <definedName name="result">'Template names'!$B$36</definedName>
    <definedName name="rmcRED06" localSheetId="3">#REF!</definedName>
    <definedName name="rmcRED06" localSheetId="17">#REF!</definedName>
    <definedName name="rmcRED06" localSheetId="18">#REF!</definedName>
    <definedName name="rmcRED06" localSheetId="19">#REF!</definedName>
    <definedName name="rmcRED06" localSheetId="20">#REF!</definedName>
    <definedName name="rmcRED06">#REF!</definedName>
    <definedName name="rmcred07" localSheetId="3">#REF!</definedName>
    <definedName name="rmcred07" localSheetId="17">#REF!</definedName>
    <definedName name="rmcred07" localSheetId="18">#REF!</definedName>
    <definedName name="rmcred07" localSheetId="19">#REF!</definedName>
    <definedName name="rmcred07" localSheetId="20">#REF!</definedName>
    <definedName name="rmcred07">#REF!</definedName>
    <definedName name="roundfactor" localSheetId="3">#REF!</definedName>
    <definedName name="roundfactor" localSheetId="17">#REF!</definedName>
    <definedName name="roundfactor" localSheetId="18">#REF!</definedName>
    <definedName name="roundfactor" localSheetId="19">#REF!</definedName>
    <definedName name="roundfactor" localSheetId="20">#REF!</definedName>
    <definedName name="roundfactor">#REF!</definedName>
    <definedName name="S71A" localSheetId="3">'[1]Template names'!#REF!</definedName>
    <definedName name="S71A" localSheetId="17">'Template names'!#REF!</definedName>
    <definedName name="S71A" localSheetId="18">'Template names'!#REF!</definedName>
    <definedName name="S71A" localSheetId="19">'Template names'!#REF!</definedName>
    <definedName name="S71A" localSheetId="20">'Template names'!#REF!</definedName>
    <definedName name="S71A">'Template names'!#REF!</definedName>
    <definedName name="S71B" localSheetId="3">'[1]Template names'!#REF!</definedName>
    <definedName name="S71B" localSheetId="17">'Template names'!#REF!</definedName>
    <definedName name="S71B" localSheetId="18">'Template names'!#REF!</definedName>
    <definedName name="S71B" localSheetId="19">'Template names'!#REF!</definedName>
    <definedName name="S71B" localSheetId="20">'Template names'!#REF!</definedName>
    <definedName name="S71B">'Template names'!#REF!</definedName>
    <definedName name="s71B8" localSheetId="3">'[1]Template names'!#REF!</definedName>
    <definedName name="s71B8" localSheetId="17">'Template names'!#REF!</definedName>
    <definedName name="s71B8" localSheetId="18">'Template names'!#REF!</definedName>
    <definedName name="s71B8" localSheetId="19">'Template names'!#REF!</definedName>
    <definedName name="s71B8" localSheetId="20">'Template names'!#REF!</definedName>
    <definedName name="s71B8">'Template names'!#REF!</definedName>
    <definedName name="s71B9" localSheetId="3">'[1]Template names'!#REF!</definedName>
    <definedName name="s71B9" localSheetId="17">'Template names'!#REF!</definedName>
    <definedName name="s71B9" localSheetId="18">'Template names'!#REF!</definedName>
    <definedName name="s71B9" localSheetId="19">'Template names'!#REF!</definedName>
    <definedName name="s71B9" localSheetId="20">'Template names'!#REF!</definedName>
    <definedName name="s71B9">'Template names'!#REF!</definedName>
    <definedName name="S71C" localSheetId="3">'[1]Template names'!#REF!</definedName>
    <definedName name="S71C" localSheetId="17">'Template names'!#REF!</definedName>
    <definedName name="S71C" localSheetId="18">'Template names'!#REF!</definedName>
    <definedName name="S71C" localSheetId="19">'Template names'!#REF!</definedName>
    <definedName name="S71C" localSheetId="20">'Template names'!#REF!</definedName>
    <definedName name="S71C">'Template names'!#REF!</definedName>
    <definedName name="S71D" localSheetId="3">'[1]Template names'!#REF!</definedName>
    <definedName name="S71D" localSheetId="17">'Template names'!#REF!</definedName>
    <definedName name="S71D" localSheetId="18">'Template names'!#REF!</definedName>
    <definedName name="S71D" localSheetId="19">'Template names'!#REF!</definedName>
    <definedName name="S71D" localSheetId="20">'Template names'!#REF!</definedName>
    <definedName name="S71D">'Template names'!#REF!</definedName>
    <definedName name="S71E" localSheetId="3">'[1]Template names'!#REF!</definedName>
    <definedName name="S71E" localSheetId="17">'Template names'!#REF!</definedName>
    <definedName name="S71E" localSheetId="18">'Template names'!#REF!</definedName>
    <definedName name="S71E" localSheetId="19">'Template names'!#REF!</definedName>
    <definedName name="S71E" localSheetId="20">'Template names'!#REF!</definedName>
    <definedName name="S71E">'Template names'!#REF!</definedName>
    <definedName name="S71F" localSheetId="3">'[1]Template names'!#REF!</definedName>
    <definedName name="S71F" localSheetId="17">'Template names'!#REF!</definedName>
    <definedName name="S71F" localSheetId="18">'Template names'!#REF!</definedName>
    <definedName name="S71F" localSheetId="19">'Template names'!#REF!</definedName>
    <definedName name="S71F" localSheetId="20">'Template names'!#REF!</definedName>
    <definedName name="S71F">'Template names'!#REF!</definedName>
    <definedName name="S71G" localSheetId="3">'[1]Template names'!#REF!</definedName>
    <definedName name="S71G" localSheetId="17">'Template names'!#REF!</definedName>
    <definedName name="S71G" localSheetId="18">'Template names'!#REF!</definedName>
    <definedName name="S71G" localSheetId="19">'Template names'!#REF!</definedName>
    <definedName name="S71G" localSheetId="20">'Template names'!#REF!</definedName>
    <definedName name="S71G">'Template names'!#REF!</definedName>
    <definedName name="S71H" localSheetId="3">'[1]Template names'!#REF!</definedName>
    <definedName name="S71H" localSheetId="17">'Template names'!#REF!</definedName>
    <definedName name="S71H" localSheetId="18">'Template names'!#REF!</definedName>
    <definedName name="S71H" localSheetId="19">'Template names'!#REF!</definedName>
    <definedName name="S71H" localSheetId="20">'Template names'!#REF!</definedName>
    <definedName name="S71H">'Template names'!#REF!</definedName>
    <definedName name="S71I" localSheetId="3">'[1]Template names'!#REF!</definedName>
    <definedName name="S71I" localSheetId="17">'Template names'!#REF!</definedName>
    <definedName name="S71I" localSheetId="18">'Template names'!#REF!</definedName>
    <definedName name="S71I" localSheetId="19">'Template names'!#REF!</definedName>
    <definedName name="S71I" localSheetId="20">'Template names'!#REF!</definedName>
    <definedName name="S71I">'Template names'!#REF!</definedName>
    <definedName name="S71J" localSheetId="3">'[1]Template names'!#REF!</definedName>
    <definedName name="S71J" localSheetId="17">'Template names'!#REF!</definedName>
    <definedName name="S71J" localSheetId="18">'Template names'!#REF!</definedName>
    <definedName name="S71J" localSheetId="19">'Template names'!#REF!</definedName>
    <definedName name="S71J" localSheetId="20">'Template names'!#REF!</definedName>
    <definedName name="S71J">'Template names'!#REF!</definedName>
    <definedName name="S71K" localSheetId="3">'[1]Template names'!#REF!</definedName>
    <definedName name="S71K" localSheetId="17">'Template names'!#REF!</definedName>
    <definedName name="S71K" localSheetId="18">'Template names'!#REF!</definedName>
    <definedName name="S71K" localSheetId="19">'Template names'!#REF!</definedName>
    <definedName name="S71K" localSheetId="20">'Template names'!#REF!</definedName>
    <definedName name="S71K">'Template names'!#REF!</definedName>
    <definedName name="S71L" localSheetId="3">'[1]Template names'!#REF!</definedName>
    <definedName name="S71L" localSheetId="17">'Template names'!#REF!</definedName>
    <definedName name="S71L" localSheetId="18">'Template names'!#REF!</definedName>
    <definedName name="S71L" localSheetId="19">'Template names'!#REF!</definedName>
    <definedName name="S71L" localSheetId="20">'Template names'!#REF!</definedName>
    <definedName name="S71L">'Template names'!#REF!</definedName>
    <definedName name="S71M" localSheetId="3">'[1]Template names'!#REF!</definedName>
    <definedName name="S71M" localSheetId="17">'Template names'!#REF!</definedName>
    <definedName name="S71M" localSheetId="18">'Template names'!#REF!</definedName>
    <definedName name="S71M" localSheetId="19">'Template names'!#REF!</definedName>
    <definedName name="S71M" localSheetId="20">'Template names'!#REF!</definedName>
    <definedName name="S71M">'Template names'!#REF!</definedName>
    <definedName name="S71N" localSheetId="3">'[1]Template names'!#REF!</definedName>
    <definedName name="S71N" localSheetId="17">'Template names'!#REF!</definedName>
    <definedName name="S71N" localSheetId="18">'Template names'!#REF!</definedName>
    <definedName name="S71N" localSheetId="19">'Template names'!#REF!</definedName>
    <definedName name="S71N" localSheetId="20">'Template names'!#REF!</definedName>
    <definedName name="S71N">'Template names'!#REF!</definedName>
    <definedName name="S71O" localSheetId="3">'[1]Template names'!#REF!</definedName>
    <definedName name="S71O" localSheetId="17">'Template names'!#REF!</definedName>
    <definedName name="S71O" localSheetId="18">'Template names'!#REF!</definedName>
    <definedName name="S71O" localSheetId="19">'Template names'!#REF!</definedName>
    <definedName name="S71O" localSheetId="20">'Template names'!#REF!</definedName>
    <definedName name="S71O">'Template names'!#REF!</definedName>
    <definedName name="S71P" localSheetId="3">'[1]Template names'!#REF!</definedName>
    <definedName name="S71P" localSheetId="17">'Template names'!#REF!</definedName>
    <definedName name="S71P" localSheetId="18">'Template names'!#REF!</definedName>
    <definedName name="S71P" localSheetId="19">'Template names'!#REF!</definedName>
    <definedName name="S71P" localSheetId="20">'Template names'!#REF!</definedName>
    <definedName name="S71P">'Template names'!#REF!</definedName>
    <definedName name="S71Q" localSheetId="3">'[1]Template names'!#REF!</definedName>
    <definedName name="S71Q" localSheetId="17">'Template names'!#REF!</definedName>
    <definedName name="S71Q" localSheetId="18">'Template names'!#REF!</definedName>
    <definedName name="S71Q" localSheetId="19">'Template names'!#REF!</definedName>
    <definedName name="S71Q" localSheetId="20">'Template names'!#REF!</definedName>
    <definedName name="S71Q">'Template names'!#REF!</definedName>
    <definedName name="S71SDBIP" localSheetId="3">'[1]Template names'!#REF!</definedName>
    <definedName name="S71SDBIP" localSheetId="17">'Template names'!#REF!</definedName>
    <definedName name="S71SDBIP" localSheetId="18">'Template names'!#REF!</definedName>
    <definedName name="S71SDBIP" localSheetId="19">'Template names'!#REF!</definedName>
    <definedName name="S71SDBIP" localSheetId="20">'Template names'!#REF!</definedName>
    <definedName name="S71SDBIP">'Template names'!#REF!</definedName>
    <definedName name="s71sum" localSheetId="3">'[1]Template names'!#REF!</definedName>
    <definedName name="s71sum" localSheetId="17">'Template names'!#REF!</definedName>
    <definedName name="s71sum" localSheetId="18">'Template names'!#REF!</definedName>
    <definedName name="s71sum" localSheetId="19">'Template names'!#REF!</definedName>
    <definedName name="s71sum" localSheetId="20">'Template names'!#REF!</definedName>
    <definedName name="s71sum">'Template names'!#REF!</definedName>
    <definedName name="Scale" localSheetId="17">'Template names'!#REF!</definedName>
    <definedName name="Scale" localSheetId="18">'Template names'!#REF!</definedName>
    <definedName name="Scale" localSheetId="19">'Template names'!#REF!</definedName>
    <definedName name="Scale" localSheetId="20">'Template names'!#REF!</definedName>
    <definedName name="Scale">'Template names'!#REF!</definedName>
    <definedName name="scenario" localSheetId="3">#REF!</definedName>
    <definedName name="scenario" localSheetId="17">#REF!</definedName>
    <definedName name="scenario" localSheetId="18">#REF!</definedName>
    <definedName name="scenario" localSheetId="19">#REF!</definedName>
    <definedName name="scenario" localSheetId="20">#REF!</definedName>
    <definedName name="scenario">#REF!</definedName>
    <definedName name="Sch1a" localSheetId="17">'Template names'!#REF!</definedName>
    <definedName name="Sch1a" localSheetId="18">'Template names'!#REF!</definedName>
    <definedName name="Sch1a" localSheetId="19">'Template names'!#REF!</definedName>
    <definedName name="Sch1a" localSheetId="20">'Template names'!#REF!</definedName>
    <definedName name="Sch1a">'Template names'!#REF!</definedName>
    <definedName name="Sch2N" localSheetId="17">'Template names'!#REF!</definedName>
    <definedName name="Sch2N" localSheetId="18">'Template names'!#REF!</definedName>
    <definedName name="Sch2N" localSheetId="19">'Template names'!#REF!</definedName>
    <definedName name="Sch2N" localSheetId="20">'Template names'!#REF!</definedName>
    <definedName name="Sch2N">'Template names'!#REF!</definedName>
    <definedName name="Sch5N" localSheetId="17">'Template names'!#REF!</definedName>
    <definedName name="Sch5N" localSheetId="18">'Template names'!#REF!</definedName>
    <definedName name="Sch5N" localSheetId="19">'Template names'!#REF!</definedName>
    <definedName name="Sch5N" localSheetId="20">'Template names'!#REF!</definedName>
    <definedName name="Sch5N">'Template names'!#REF!</definedName>
    <definedName name="Sch7N" localSheetId="17">'Template names'!#REF!</definedName>
    <definedName name="Sch7N" localSheetId="18">'Template names'!#REF!</definedName>
    <definedName name="Sch7N" localSheetId="19">'Template names'!#REF!</definedName>
    <definedName name="Sch7N" localSheetId="20">'Template names'!#REF!</definedName>
    <definedName name="Sch7N">'Template names'!#REF!</definedName>
    <definedName name="SDBIP1" localSheetId="3">'[1]Template names'!#REF!</definedName>
    <definedName name="SDBIP1" localSheetId="17">'Template names'!#REF!</definedName>
    <definedName name="SDBIP1" localSheetId="18">'Template names'!#REF!</definedName>
    <definedName name="SDBIP1" localSheetId="19">'Template names'!#REF!</definedName>
    <definedName name="SDBIP1" localSheetId="20">'Template names'!#REF!</definedName>
    <definedName name="SDBIP1">'Template names'!#REF!</definedName>
    <definedName name="SDBIP10" localSheetId="3">'[1]Template names'!#REF!</definedName>
    <definedName name="SDBIP10" localSheetId="17">'Template names'!#REF!</definedName>
    <definedName name="SDBIP10" localSheetId="18">'Template names'!#REF!</definedName>
    <definedName name="SDBIP10" localSheetId="19">'Template names'!#REF!</definedName>
    <definedName name="SDBIP10" localSheetId="20">'Template names'!#REF!</definedName>
    <definedName name="SDBIP10">'Template names'!#REF!</definedName>
    <definedName name="SDBIP2" localSheetId="3">'[1]Template names'!#REF!</definedName>
    <definedName name="SDBIP2" localSheetId="17">'Template names'!#REF!</definedName>
    <definedName name="SDBIP2" localSheetId="18">'Template names'!#REF!</definedName>
    <definedName name="SDBIP2" localSheetId="19">'Template names'!#REF!</definedName>
    <definedName name="SDBIP2" localSheetId="20">'Template names'!#REF!</definedName>
    <definedName name="SDBIP2">'Template names'!#REF!</definedName>
    <definedName name="SDBIP3" localSheetId="3">'[1]Template names'!#REF!</definedName>
    <definedName name="SDBIP3" localSheetId="17">'Template names'!#REF!</definedName>
    <definedName name="SDBIP3" localSheetId="18">'Template names'!#REF!</definedName>
    <definedName name="SDBIP3" localSheetId="19">'Template names'!#REF!</definedName>
    <definedName name="SDBIP3" localSheetId="20">'Template names'!#REF!</definedName>
    <definedName name="SDBIP3">'Template names'!#REF!</definedName>
    <definedName name="SDBIP4" localSheetId="3">'[1]Template names'!#REF!</definedName>
    <definedName name="SDBIP4" localSheetId="17">'Template names'!#REF!</definedName>
    <definedName name="SDBIP4" localSheetId="18">'Template names'!#REF!</definedName>
    <definedName name="SDBIP4" localSheetId="19">'Template names'!#REF!</definedName>
    <definedName name="SDBIP4" localSheetId="20">'Template names'!#REF!</definedName>
    <definedName name="SDBIP4">'Template names'!#REF!</definedName>
    <definedName name="SDBIP8" localSheetId="3">'[1]Template names'!#REF!</definedName>
    <definedName name="SDBIP8" localSheetId="17">'Template names'!#REF!</definedName>
    <definedName name="SDBIP8" localSheetId="18">'Template names'!#REF!</definedName>
    <definedName name="SDBIP8" localSheetId="19">'Template names'!#REF!</definedName>
    <definedName name="SDBIP8" localSheetId="20">'Template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7">'Template names'!#REF!</definedName>
    <definedName name="TabC19" localSheetId="18">'Template names'!#REF!</definedName>
    <definedName name="TabC19" localSheetId="19">'Template names'!#REF!</definedName>
    <definedName name="TabC19" localSheetId="20">'Template names'!#REF!</definedName>
    <definedName name="TabC19">'Template names'!#REF!</definedName>
    <definedName name="TabC3" localSheetId="3">'[1]Template names'!#REF!</definedName>
    <definedName name="TabC3" localSheetId="17">'Template names'!#REF!</definedName>
    <definedName name="TabC3" localSheetId="18">'Template names'!#REF!</definedName>
    <definedName name="TabC3" localSheetId="19">'Template names'!#REF!</definedName>
    <definedName name="TabC3" localSheetId="20">'Template names'!#REF!</definedName>
    <definedName name="TabC3">'Template names'!#REF!</definedName>
    <definedName name="TabC4" localSheetId="3">'[1]Template names'!#REF!</definedName>
    <definedName name="TabC4" localSheetId="17">'Template names'!#REF!</definedName>
    <definedName name="TabC4" localSheetId="18">'Template names'!#REF!</definedName>
    <definedName name="TabC4" localSheetId="19">'Template names'!#REF!</definedName>
    <definedName name="TabC4" localSheetId="20">'Template names'!#REF!</definedName>
    <definedName name="TabC4">'Template names'!#REF!</definedName>
    <definedName name="TabC5" localSheetId="3">'[1]Template names'!#REF!</definedName>
    <definedName name="TabC5" localSheetId="17">'Template names'!#REF!</definedName>
    <definedName name="TabC5" localSheetId="18">'Template names'!#REF!</definedName>
    <definedName name="TabC5" localSheetId="19">'Template names'!#REF!</definedName>
    <definedName name="TabC5" localSheetId="20">'Template names'!#REF!</definedName>
    <definedName name="TabC5">'Template names'!#REF!</definedName>
    <definedName name="TabC6" localSheetId="3">'[1]Template names'!#REF!</definedName>
    <definedName name="TabC6" localSheetId="17">'Template names'!#REF!</definedName>
    <definedName name="TabC6" localSheetId="18">'Template names'!#REF!</definedName>
    <definedName name="TabC6" localSheetId="19">'Template names'!#REF!</definedName>
    <definedName name="TabC6" localSheetId="20">'Template names'!#REF!</definedName>
    <definedName name="TabC6">'Template names'!#REF!</definedName>
    <definedName name="Tabc7" localSheetId="3">'[1]Template names'!#REF!</definedName>
    <definedName name="Tabc7" localSheetId="17">'Template names'!#REF!</definedName>
    <definedName name="Tabc7" localSheetId="18">'Template names'!#REF!</definedName>
    <definedName name="Tabc7" localSheetId="19">'Template names'!#REF!</definedName>
    <definedName name="Tabc7" localSheetId="20">'Template names'!#REF!</definedName>
    <definedName name="Tabc7">'Template names'!#REF!</definedName>
    <definedName name="Tabc8" localSheetId="3">'[1]Template names'!#REF!</definedName>
    <definedName name="Tabc8" localSheetId="17">'Template names'!#REF!</definedName>
    <definedName name="Tabc8" localSheetId="18">'Template names'!#REF!</definedName>
    <definedName name="Tabc8" localSheetId="19">'Template names'!#REF!</definedName>
    <definedName name="Tabc8" localSheetId="20">'Template names'!#REF!</definedName>
    <definedName name="Tabc8">'Template names'!#REF!</definedName>
    <definedName name="Tabc9" localSheetId="3">'[1]Template names'!#REF!</definedName>
    <definedName name="Tabc9" localSheetId="17">'Template names'!#REF!</definedName>
    <definedName name="Tabc9" localSheetId="18">'Template names'!#REF!</definedName>
    <definedName name="Tabc9" localSheetId="19">'Template names'!#REF!</definedName>
    <definedName name="Tabc9" localSheetId="20">'Template names'!#REF!</definedName>
    <definedName name="Tabc9">'Template names'!#REF!</definedName>
    <definedName name="Tablc8" localSheetId="3">'[1]Template names'!#REF!</definedName>
    <definedName name="Tablc8" localSheetId="17">'Template names'!#REF!</definedName>
    <definedName name="Tablc8" localSheetId="18">'Template names'!#REF!</definedName>
    <definedName name="Tablc8" localSheetId="19">'Template names'!#REF!</definedName>
    <definedName name="Tablc8" localSheetId="20">'Template names'!#REF!</definedName>
    <definedName name="Tablc8">'Template names'!#REF!</definedName>
    <definedName name="Table1" localSheetId="17">'Template names'!#REF!</definedName>
    <definedName name="Table1" localSheetId="18">'Template names'!#REF!</definedName>
    <definedName name="Table1" localSheetId="19">'Template names'!#REF!</definedName>
    <definedName name="Table1" localSheetId="20">'Template names'!#REF!</definedName>
    <definedName name="Table1">'Template names'!#REF!</definedName>
    <definedName name="Table10" localSheetId="17">'Template names'!#REF!</definedName>
    <definedName name="Table10" localSheetId="18">'Template names'!#REF!</definedName>
    <definedName name="Table10" localSheetId="19">'Template names'!#REF!</definedName>
    <definedName name="Table10" localSheetId="20">'Template names'!#REF!</definedName>
    <definedName name="Table10">'Template names'!#REF!</definedName>
    <definedName name="Table11" localSheetId="17">'Template names'!#REF!</definedName>
    <definedName name="Table11" localSheetId="18">'Template names'!#REF!</definedName>
    <definedName name="Table11" localSheetId="19">'Template names'!#REF!</definedName>
    <definedName name="Table11" localSheetId="20">'Template names'!#REF!</definedName>
    <definedName name="Table11">'Template names'!#REF!</definedName>
    <definedName name="Table12" localSheetId="17">'Template names'!#REF!</definedName>
    <definedName name="Table12" localSheetId="18">'Template names'!#REF!</definedName>
    <definedName name="Table12" localSheetId="19">'Template names'!#REF!</definedName>
    <definedName name="Table12" localSheetId="20">'Template names'!#REF!</definedName>
    <definedName name="Table12">'Template names'!#REF!</definedName>
    <definedName name="Table13" localSheetId="17">'Template names'!#REF!</definedName>
    <definedName name="Table13" localSheetId="18">'Template names'!#REF!</definedName>
    <definedName name="Table13" localSheetId="19">'Template names'!#REF!</definedName>
    <definedName name="Table13" localSheetId="20">'Template names'!#REF!</definedName>
    <definedName name="Table13">'Template names'!#REF!</definedName>
    <definedName name="Table14" localSheetId="17">'Template names'!#REF!</definedName>
    <definedName name="Table14" localSheetId="18">'Template names'!#REF!</definedName>
    <definedName name="Table14" localSheetId="19">'Template names'!#REF!</definedName>
    <definedName name="Table14" localSheetId="20">'Template names'!#REF!</definedName>
    <definedName name="Table14">'Template names'!#REF!</definedName>
    <definedName name="Table14A" localSheetId="17">'Template names'!#REF!</definedName>
    <definedName name="Table14A" localSheetId="18">'Template names'!#REF!</definedName>
    <definedName name="Table14A" localSheetId="19">'Template names'!#REF!</definedName>
    <definedName name="Table14A" localSheetId="20">'Template names'!#REF!</definedName>
    <definedName name="Table14A">'Template names'!#REF!</definedName>
    <definedName name="Table14B" localSheetId="17">'Template names'!#REF!</definedName>
    <definedName name="Table14B" localSheetId="18">'Template names'!#REF!</definedName>
    <definedName name="Table14B" localSheetId="19">'Template names'!#REF!</definedName>
    <definedName name="Table14B" localSheetId="20">'Template names'!#REF!</definedName>
    <definedName name="Table14B">'Template names'!#REF!</definedName>
    <definedName name="Table15" localSheetId="17">'Template names'!#REF!</definedName>
    <definedName name="Table15" localSheetId="18">'Template names'!#REF!</definedName>
    <definedName name="Table15" localSheetId="19">'Template names'!#REF!</definedName>
    <definedName name="Table15" localSheetId="20">'Template names'!#REF!</definedName>
    <definedName name="Table15">'Template names'!#REF!</definedName>
    <definedName name="Table15A" localSheetId="17">'Template names'!#REF!</definedName>
    <definedName name="Table15A" localSheetId="18">'Template names'!#REF!</definedName>
    <definedName name="Table15A" localSheetId="19">'Template names'!#REF!</definedName>
    <definedName name="Table15A" localSheetId="20">'Template names'!#REF!</definedName>
    <definedName name="Table15A">'Template names'!#REF!</definedName>
    <definedName name="Table15New" localSheetId="17">'Template names'!#REF!</definedName>
    <definedName name="Table15New" localSheetId="18">'Template names'!#REF!</definedName>
    <definedName name="Table15New" localSheetId="19">'Template names'!#REF!</definedName>
    <definedName name="Table15New" localSheetId="20">'Template names'!#REF!</definedName>
    <definedName name="Table15New">'Template names'!#REF!</definedName>
    <definedName name="Table16" localSheetId="17">'Template names'!#REF!</definedName>
    <definedName name="Table16" localSheetId="18">'Template names'!#REF!</definedName>
    <definedName name="Table16" localSheetId="19">'Template names'!#REF!</definedName>
    <definedName name="Table16" localSheetId="20">'Template names'!#REF!</definedName>
    <definedName name="Table16">'Template names'!#REF!</definedName>
    <definedName name="Table17" localSheetId="17">'Template names'!#REF!</definedName>
    <definedName name="Table17" localSheetId="18">'Template names'!#REF!</definedName>
    <definedName name="Table17" localSheetId="19">'Template names'!#REF!</definedName>
    <definedName name="Table17" localSheetId="20">'Template names'!#REF!</definedName>
    <definedName name="Table17">'Template names'!#REF!</definedName>
    <definedName name="Table18" localSheetId="17">'Template names'!#REF!</definedName>
    <definedName name="Table18" localSheetId="18">'Template names'!#REF!</definedName>
    <definedName name="Table18" localSheetId="19">'Template names'!#REF!</definedName>
    <definedName name="Table18" localSheetId="20">'Template names'!#REF!</definedName>
    <definedName name="Table18">'Template names'!#REF!</definedName>
    <definedName name="Table19" localSheetId="17">'Template names'!#REF!</definedName>
    <definedName name="Table19" localSheetId="18">'Template names'!#REF!</definedName>
    <definedName name="Table19" localSheetId="19">'Template names'!#REF!</definedName>
    <definedName name="Table19" localSheetId="20">'Template names'!#REF!</definedName>
    <definedName name="Table19">'Template names'!#REF!</definedName>
    <definedName name="Table2" localSheetId="17">'Template names'!#REF!</definedName>
    <definedName name="Table2" localSheetId="18">'Template names'!#REF!</definedName>
    <definedName name="Table2" localSheetId="19">'Template names'!#REF!</definedName>
    <definedName name="Table2" localSheetId="20">'Template names'!#REF!</definedName>
    <definedName name="Table2">'Template names'!#REF!</definedName>
    <definedName name="Table20" localSheetId="17">'Template names'!#REF!</definedName>
    <definedName name="Table20" localSheetId="18">'Template names'!#REF!</definedName>
    <definedName name="Table20" localSheetId="19">'Template names'!#REF!</definedName>
    <definedName name="Table20" localSheetId="20">'Template names'!#REF!</definedName>
    <definedName name="Table20">'Template names'!#REF!</definedName>
    <definedName name="Table21" localSheetId="17">'Template names'!#REF!</definedName>
    <definedName name="Table21" localSheetId="18">'Template names'!#REF!</definedName>
    <definedName name="Table21" localSheetId="19">'Template names'!#REF!</definedName>
    <definedName name="Table21" localSheetId="20">'Template names'!#REF!</definedName>
    <definedName name="Table21">'Template names'!#REF!</definedName>
    <definedName name="Table22" localSheetId="17">'Template names'!#REF!</definedName>
    <definedName name="Table22" localSheetId="18">'Template names'!#REF!</definedName>
    <definedName name="Table22" localSheetId="19">'Template names'!#REF!</definedName>
    <definedName name="Table22" localSheetId="20">'Template names'!#REF!</definedName>
    <definedName name="Table22">'Template names'!#REF!</definedName>
    <definedName name="Table23" localSheetId="17">'Template names'!#REF!</definedName>
    <definedName name="Table23" localSheetId="18">'Template names'!#REF!</definedName>
    <definedName name="Table23" localSheetId="19">'Template names'!#REF!</definedName>
    <definedName name="Table23" localSheetId="20">'Template names'!#REF!</definedName>
    <definedName name="Table23">'Template names'!#REF!</definedName>
    <definedName name="Table24">'Template names'!$B$90</definedName>
    <definedName name="Table24A" localSheetId="17">'Template names'!#REF!</definedName>
    <definedName name="Table24A" localSheetId="18">'Template names'!#REF!</definedName>
    <definedName name="Table24A" localSheetId="19">'Template names'!#REF!</definedName>
    <definedName name="Table24A" localSheetId="20">'Template names'!#REF!</definedName>
    <definedName name="Table24A">'Template names'!#REF!</definedName>
    <definedName name="Table25" localSheetId="17">'Template names'!#REF!</definedName>
    <definedName name="Table25" localSheetId="18">'Template names'!#REF!</definedName>
    <definedName name="Table25" localSheetId="19">'Template names'!#REF!</definedName>
    <definedName name="Table25" localSheetId="20">'Template names'!#REF!</definedName>
    <definedName name="Table25">'Template names'!#REF!</definedName>
    <definedName name="Table26" localSheetId="17">'Template names'!#REF!</definedName>
    <definedName name="Table26" localSheetId="18">'Template names'!#REF!</definedName>
    <definedName name="Table26" localSheetId="19">'Template names'!#REF!</definedName>
    <definedName name="Table26" localSheetId="20">'Template names'!#REF!</definedName>
    <definedName name="Table26">'Template names'!#REF!</definedName>
    <definedName name="Table27" localSheetId="17">'Template names'!#REF!</definedName>
    <definedName name="Table27" localSheetId="18">'Template names'!#REF!</definedName>
    <definedName name="Table27" localSheetId="19">'Template names'!#REF!</definedName>
    <definedName name="Table27" localSheetId="20">'Template names'!#REF!</definedName>
    <definedName name="Table27">'Template names'!#REF!</definedName>
    <definedName name="Table28" localSheetId="17">'Template names'!#REF!</definedName>
    <definedName name="Table28" localSheetId="18">'Template names'!#REF!</definedName>
    <definedName name="Table28" localSheetId="19">'Template names'!#REF!</definedName>
    <definedName name="Table28" localSheetId="20">'Template names'!#REF!</definedName>
    <definedName name="Table28">'Template names'!#REF!</definedName>
    <definedName name="Table29" localSheetId="17">'Template names'!#REF!</definedName>
    <definedName name="Table29" localSheetId="18">'Template names'!#REF!</definedName>
    <definedName name="Table29" localSheetId="19">'Template names'!#REF!</definedName>
    <definedName name="Table29" localSheetId="20">'Template names'!#REF!</definedName>
    <definedName name="Table29">'Template names'!#REF!</definedName>
    <definedName name="Table3" localSheetId="17">'Template names'!#REF!</definedName>
    <definedName name="Table3" localSheetId="18">'Template names'!#REF!</definedName>
    <definedName name="Table3" localSheetId="19">'Template names'!#REF!</definedName>
    <definedName name="Table3" localSheetId="20">'Template names'!#REF!</definedName>
    <definedName name="Table3">'Template names'!#REF!</definedName>
    <definedName name="Table30" localSheetId="17">'Template names'!#REF!</definedName>
    <definedName name="Table30" localSheetId="18">'Template names'!#REF!</definedName>
    <definedName name="Table30" localSheetId="19">'Template names'!#REF!</definedName>
    <definedName name="Table30" localSheetId="20">'Template names'!#REF!</definedName>
    <definedName name="Table30">'Template names'!#REF!</definedName>
    <definedName name="Table31" localSheetId="17">'Template names'!#REF!</definedName>
    <definedName name="Table31" localSheetId="18">'Template names'!#REF!</definedName>
    <definedName name="Table31" localSheetId="19">'Template names'!#REF!</definedName>
    <definedName name="Table31" localSheetId="20">'Template names'!#REF!</definedName>
    <definedName name="Table31">'Template names'!#REF!</definedName>
    <definedName name="Table32" localSheetId="17">'Template names'!#REF!</definedName>
    <definedName name="Table32" localSheetId="18">'Template names'!#REF!</definedName>
    <definedName name="Table32" localSheetId="19">'Template names'!#REF!</definedName>
    <definedName name="Table32" localSheetId="20">'Template names'!#REF!</definedName>
    <definedName name="Table32">'Template names'!#REF!</definedName>
    <definedName name="Table33" localSheetId="17">'Template names'!#REF!</definedName>
    <definedName name="Table33" localSheetId="18">'Template names'!#REF!</definedName>
    <definedName name="Table33" localSheetId="19">'Template names'!#REF!</definedName>
    <definedName name="Table33" localSheetId="20">'Template names'!#REF!</definedName>
    <definedName name="Table33">'Template names'!#REF!</definedName>
    <definedName name="Table4" localSheetId="17">'Template names'!#REF!</definedName>
    <definedName name="Table4" localSheetId="18">'Template names'!#REF!</definedName>
    <definedName name="Table4" localSheetId="19">'Template names'!#REF!</definedName>
    <definedName name="Table4" localSheetId="20">'Template names'!#REF!</definedName>
    <definedName name="Table4">'Template names'!#REF!</definedName>
    <definedName name="Table5" localSheetId="17">'Template names'!#REF!</definedName>
    <definedName name="Table5" localSheetId="18">'Template names'!#REF!</definedName>
    <definedName name="Table5" localSheetId="19">'Template names'!#REF!</definedName>
    <definedName name="Table5" localSheetId="20">'Template names'!#REF!</definedName>
    <definedName name="Table5">'Template names'!#REF!</definedName>
    <definedName name="Table6" localSheetId="17">'Template names'!#REF!</definedName>
    <definedName name="Table6" localSheetId="18">'Template names'!#REF!</definedName>
    <definedName name="Table6" localSheetId="19">'Template names'!#REF!</definedName>
    <definedName name="Table6" localSheetId="20">'Template names'!#REF!</definedName>
    <definedName name="Table6">'Template names'!#REF!</definedName>
    <definedName name="Table7" localSheetId="17">'Template names'!#REF!</definedName>
    <definedName name="Table7" localSheetId="18">'Template names'!#REF!</definedName>
    <definedName name="Table7" localSheetId="19">'Template names'!#REF!</definedName>
    <definedName name="Table7" localSheetId="20">'Template names'!#REF!</definedName>
    <definedName name="Table7">'Template names'!#REF!</definedName>
    <definedName name="Table8" localSheetId="17">'Template names'!#REF!</definedName>
    <definedName name="Table8" localSheetId="18">'Template names'!#REF!</definedName>
    <definedName name="Table8" localSheetId="19">'Template names'!#REF!</definedName>
    <definedName name="Table8" localSheetId="20">'Template names'!#REF!</definedName>
    <definedName name="Table8">'Template names'!#REF!</definedName>
    <definedName name="Table9" localSheetId="17">'Template names'!#REF!</definedName>
    <definedName name="Table9" localSheetId="18">'Template names'!#REF!</definedName>
    <definedName name="Table9" localSheetId="19">'Template names'!#REF!</definedName>
    <definedName name="Table9" localSheetId="20">'Template names'!#REF!</definedName>
    <definedName name="Table9">'Template names'!#REF!</definedName>
    <definedName name="TableA1">#REF!</definedName>
    <definedName name="TableA10">#REF!</definedName>
    <definedName name="TableA11">#REF!</definedName>
    <definedName name="TableA12a">#REF!</definedName>
    <definedName name="TableA12b">#REF!</definedName>
    <definedName name="TableA13a">#REF!</definedName>
    <definedName name="TableA13b">#REF!</definedName>
    <definedName name="TableA14">#REF!</definedName>
    <definedName name="TableA15">#REF!</definedName>
    <definedName name="TableA16">#REF!</definedName>
    <definedName name="TableA17">#REF!</definedName>
    <definedName name="TableA18">#REF!</definedName>
    <definedName name="TableA19">#REF!</definedName>
    <definedName name="TableA2">#REF!</definedName>
    <definedName name="TableA20">#REF!</definedName>
    <definedName name="TableA21">#REF!</definedName>
    <definedName name="TableA22">#REF!</definedName>
    <definedName name="TableA23">#REF!</definedName>
    <definedName name="TableA24">'Template names'!$B$139</definedName>
    <definedName name="TableA25">#REF!</definedName>
    <definedName name="TableA26">#REF!</definedName>
    <definedName name="TableA27">#REF!</definedName>
    <definedName name="TableA28">#REF!</definedName>
    <definedName name="TableA29">#REF!</definedName>
    <definedName name="TableA3">#REF!</definedName>
    <definedName name="TableA30">#REF!</definedName>
    <definedName name="TableA31">#REF!</definedName>
    <definedName name="TableA32">#REF!</definedName>
    <definedName name="TableA33">#REF!</definedName>
    <definedName name="TableA34a">#REF!</definedName>
    <definedName name="TableA34b">#REF!</definedName>
    <definedName name="TableA34c">#REF!</definedName>
    <definedName name="TableA34d">#REF!</definedName>
    <definedName name="TableA34e">#REF!</definedName>
    <definedName name="TableA35">#REF!</definedName>
    <definedName name="TableA36">#REF!</definedName>
    <definedName name="TableA37">#REF!</definedName>
    <definedName name="TableA38">#REF!</definedName>
    <definedName name="TableA4">#REF!</definedName>
    <definedName name="TableA5">#REF!</definedName>
    <definedName name="TableA6">#REF!</definedName>
    <definedName name="TableA7">#REF!</definedName>
    <definedName name="TableA8">#REF!</definedName>
    <definedName name="TableA9">#REF!</definedName>
    <definedName name="TableD7" localSheetId="3">'[1]Template names'!#REF!</definedName>
    <definedName name="TableD7">'Template names'!$B$97</definedName>
    <definedName name="TableD8" localSheetId="3">'[1]Template names'!#REF!</definedName>
    <definedName name="TableD8">'Template names'!$B$98</definedName>
    <definedName name="TableE4" localSheetId="3">'[1]Template names'!#REF!</definedName>
    <definedName name="TableE4" localSheetId="17">'Template names'!#REF!</definedName>
    <definedName name="TableE4" localSheetId="18">'Template names'!#REF!</definedName>
    <definedName name="TableE4" localSheetId="19">'Template names'!#REF!</definedName>
    <definedName name="TableE4" localSheetId="20">'Template names'!#REF!</definedName>
    <definedName name="TableE4">'Template names'!#REF!</definedName>
    <definedName name="TableE7" localSheetId="3">'[1]Template names'!#REF!</definedName>
    <definedName name="TableE7" localSheetId="17">'Template names'!#REF!</definedName>
    <definedName name="TableE7" localSheetId="18">'Template names'!#REF!</definedName>
    <definedName name="TableE7" localSheetId="19">'Template names'!#REF!</definedName>
    <definedName name="TableE7" localSheetId="20">'Template names'!#REF!</definedName>
    <definedName name="TableE7">'Template names'!#REF!</definedName>
    <definedName name="TableE9" localSheetId="3">'[1]Template names'!#REF!</definedName>
    <definedName name="TableE9" localSheetId="17">'Template names'!#REF!</definedName>
    <definedName name="TableE9" localSheetId="18">'Template names'!#REF!</definedName>
    <definedName name="TableE9" localSheetId="19">'Template names'!#REF!</definedName>
    <definedName name="TableE9" localSheetId="20">'Template names'!#REF!</definedName>
    <definedName name="TableE9">'Template names'!#REF!</definedName>
    <definedName name="TableF6" localSheetId="3">'[1]Template names'!#REF!</definedName>
    <definedName name="TableF6" localSheetId="17">'Template names'!#REF!</definedName>
    <definedName name="TableF6" localSheetId="18">'Template names'!#REF!</definedName>
    <definedName name="TableF6" localSheetId="19">'Template names'!#REF!</definedName>
    <definedName name="TableF6" localSheetId="20">'Template names'!#REF!</definedName>
    <definedName name="TableF6">'Template names'!#REF!</definedName>
    <definedName name="tariffdisc05" localSheetId="3">#REF!</definedName>
    <definedName name="tariffdisc05" localSheetId="17">#REF!</definedName>
    <definedName name="tariffdisc05" localSheetId="18">#REF!</definedName>
    <definedName name="tariffdisc05" localSheetId="19">#REF!</definedName>
    <definedName name="tariffdisc05" localSheetId="20">#REF!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 name="Vote">'[5]Org structure'!$A$2:$A$16</definedName>
    <definedName name="Vote1">'[5]Org structure'!$D$3:$D$12</definedName>
    <definedName name="Vote10">'[5]Org structure'!$D$102:$D$111</definedName>
    <definedName name="Vote11">'[5]Org structure'!$D$113:$D$122</definedName>
    <definedName name="Vote12">'[5]Org structure'!$D$124:$D$133</definedName>
    <definedName name="Vote13">'[5]Org structure'!$D$135:$D$144</definedName>
    <definedName name="Vote14">'[5]Org structure'!$D$146:$D$155</definedName>
    <definedName name="Vote15">'[5]Org structure'!$D$157:$D$166</definedName>
    <definedName name="Vote2">'[5]Org structure'!$D$14:$D$23</definedName>
    <definedName name="Vote3">'[5]Org structure'!$D$25:$D$34</definedName>
    <definedName name="Vote4">'[5]Org structure'!$D$36:$D$45</definedName>
    <definedName name="Vote5">'[5]Org structure'!$D$47:$D$56</definedName>
    <definedName name="Vote6">'[5]Org structure'!$D$58:$D$67</definedName>
    <definedName name="Vote7">'[5]Org structure'!$D$69:$D$78</definedName>
    <definedName name="Vote8">'[5]Org structure'!$D$80:$D$89</definedName>
    <definedName name="Vote9">'[5]Org structure'!$D$91:$D$100</definedName>
    <definedName name="yrend">[3]Data!$B$3</definedName>
  </definedNames>
  <calcPr calcId="152511"/>
  <fileRecoveryPr autoRecover="0"/>
</workbook>
</file>

<file path=xl/calcChain.xml><?xml version="1.0" encoding="utf-8"?>
<calcChain xmlns="http://schemas.openxmlformats.org/spreadsheetml/2006/main">
  <c r="P205" i="204" l="1"/>
  <c r="O205" i="204"/>
  <c r="N205" i="204"/>
  <c r="N204" i="204"/>
  <c r="B204" i="204"/>
  <c r="N38" i="204"/>
  <c r="B38" i="204"/>
  <c r="P39" i="204"/>
  <c r="O39" i="204"/>
  <c r="N39" i="204"/>
  <c r="N41" i="204"/>
  <c r="O41" i="204"/>
  <c r="P41" i="204"/>
  <c r="L38" i="198"/>
  <c r="M242" i="204"/>
  <c r="M241" i="204"/>
  <c r="N241" i="204"/>
  <c r="O241" i="204"/>
  <c r="P241" i="204"/>
  <c r="M243" i="204"/>
  <c r="N242" i="204"/>
  <c r="O242" i="204"/>
  <c r="P242" i="204"/>
  <c r="N243" i="204"/>
  <c r="O243" i="204"/>
  <c r="P243" i="204"/>
  <c r="N236" i="204"/>
  <c r="O236" i="204"/>
  <c r="P236" i="204"/>
  <c r="E36" i="204" l="1"/>
  <c r="F36" i="204"/>
  <c r="G36" i="204"/>
  <c r="H36" i="204"/>
  <c r="I36" i="204"/>
  <c r="J36" i="204"/>
  <c r="K36" i="204"/>
  <c r="L36" i="204"/>
  <c r="M13" i="204" l="1"/>
  <c r="M14" i="204"/>
  <c r="H3" i="199" l="1"/>
  <c r="G3" i="199"/>
  <c r="F3" i="199"/>
  <c r="E3" i="199"/>
  <c r="D3" i="199"/>
  <c r="C3" i="199"/>
  <c r="I2" i="199"/>
  <c r="M210" i="204" l="1"/>
  <c r="M21" i="204"/>
  <c r="M20" i="204"/>
  <c r="M19" i="204"/>
  <c r="M18" i="204"/>
  <c r="M16" i="204"/>
  <c r="M26" i="204"/>
  <c r="M27" i="204"/>
  <c r="M28" i="204"/>
  <c r="M29" i="204"/>
  <c r="M30" i="204"/>
  <c r="M31" i="204"/>
  <c r="M32" i="204"/>
  <c r="M33" i="204"/>
  <c r="M34" i="204"/>
  <c r="N36" i="204" l="1"/>
  <c r="O36" i="204"/>
  <c r="P36" i="204"/>
  <c r="N49" i="329" l="1"/>
  <c r="M59" i="204"/>
  <c r="M58" i="204"/>
  <c r="M55" i="204"/>
  <c r="M53" i="204"/>
  <c r="M52" i="204"/>
  <c r="M25" i="204"/>
  <c r="M36" i="204" s="1"/>
  <c r="E8" i="279"/>
  <c r="F21" i="65"/>
  <c r="C23" i="330"/>
  <c r="D23" i="330"/>
  <c r="E23" i="330"/>
  <c r="A25" i="282"/>
  <c r="F24" i="282"/>
  <c r="B2" i="282"/>
  <c r="Q49" i="329"/>
  <c r="P49" i="329"/>
  <c r="O49" i="329"/>
  <c r="M49" i="329"/>
  <c r="J25" i="330"/>
  <c r="N23" i="330"/>
  <c r="M23" i="330"/>
  <c r="L23" i="330"/>
  <c r="K23" i="330"/>
  <c r="J23" i="330"/>
  <c r="I23" i="330"/>
  <c r="H23" i="330"/>
  <c r="G23" i="330"/>
  <c r="G25" i="330" s="1"/>
  <c r="F23" i="330"/>
  <c r="O22" i="330"/>
  <c r="O20" i="330"/>
  <c r="O19" i="330"/>
  <c r="N16" i="330"/>
  <c r="N25" i="330" s="1"/>
  <c r="M16" i="330"/>
  <c r="L16" i="330"/>
  <c r="L25" i="330" s="1"/>
  <c r="K16" i="330"/>
  <c r="J16" i="330"/>
  <c r="I16" i="330"/>
  <c r="H16" i="330"/>
  <c r="G16" i="330"/>
  <c r="F16" i="330"/>
  <c r="E16" i="330"/>
  <c r="D16" i="330"/>
  <c r="C16" i="330"/>
  <c r="O15" i="330"/>
  <c r="O14" i="330"/>
  <c r="O13" i="330"/>
  <c r="N10" i="330"/>
  <c r="M10" i="330"/>
  <c r="L10" i="330"/>
  <c r="K10" i="330"/>
  <c r="J10" i="330"/>
  <c r="I10" i="330"/>
  <c r="H10" i="330"/>
  <c r="G10" i="330"/>
  <c r="F10" i="330"/>
  <c r="E10" i="330"/>
  <c r="D10" i="330"/>
  <c r="C10" i="330"/>
  <c r="O9" i="330"/>
  <c r="O8" i="330"/>
  <c r="O7" i="330"/>
  <c r="I3" i="330"/>
  <c r="B2" i="330"/>
  <c r="A2" i="330"/>
  <c r="A16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s="1"/>
  <c r="J141" i="343"/>
  <c r="J139" i="343" s="1"/>
  <c r="I141" i="343"/>
  <c r="I139" i="343" s="1"/>
  <c r="H141" i="343"/>
  <c r="H139" i="343" s="1"/>
  <c r="G141" i="343"/>
  <c r="F141" i="343"/>
  <c r="F139" i="343" s="1"/>
  <c r="E141" i="343"/>
  <c r="E139" i="343" s="1"/>
  <c r="D141" i="343"/>
  <c r="D139" i="343" s="1"/>
  <c r="C141" i="343"/>
  <c r="G139" i="343"/>
  <c r="C139" i="343"/>
  <c r="K136" i="343"/>
  <c r="J136" i="343"/>
  <c r="I136" i="343"/>
  <c r="H136" i="343"/>
  <c r="G136" i="343"/>
  <c r="F136" i="343"/>
  <c r="E136" i="343"/>
  <c r="D136" i="343"/>
  <c r="C136" i="343"/>
  <c r="K131" i="343"/>
  <c r="J131" i="343"/>
  <c r="I131" i="343"/>
  <c r="H131" i="343"/>
  <c r="G131" i="343"/>
  <c r="F131" i="343"/>
  <c r="E131" i="343"/>
  <c r="D131" i="343"/>
  <c r="C131" i="343"/>
  <c r="K119" i="343"/>
  <c r="J119" i="343"/>
  <c r="J118" i="343" s="1"/>
  <c r="I119" i="343"/>
  <c r="H119" i="343"/>
  <c r="G119" i="343"/>
  <c r="F119" i="343"/>
  <c r="F118" i="343" s="1"/>
  <c r="E119" i="343"/>
  <c r="D119" i="343"/>
  <c r="C119" i="343"/>
  <c r="K118" i="343"/>
  <c r="C118" i="343"/>
  <c r="K114" i="343"/>
  <c r="J114" i="343"/>
  <c r="I114" i="343"/>
  <c r="H114" i="343"/>
  <c r="G114" i="343"/>
  <c r="F114" i="343"/>
  <c r="E114" i="343"/>
  <c r="D114" i="343"/>
  <c r="C114" i="343"/>
  <c r="K111" i="343"/>
  <c r="J111" i="343"/>
  <c r="I111" i="343"/>
  <c r="H111" i="343"/>
  <c r="H110" i="343" s="1"/>
  <c r="G111" i="343"/>
  <c r="F111" i="343"/>
  <c r="F110" i="343" s="1"/>
  <c r="E111" i="343"/>
  <c r="E110" i="343" s="1"/>
  <c r="D111" i="343"/>
  <c r="C111" i="343"/>
  <c r="J110" i="343"/>
  <c r="K103" i="343"/>
  <c r="J103" i="343"/>
  <c r="I103" i="343"/>
  <c r="H103" i="343"/>
  <c r="G103" i="343"/>
  <c r="F103" i="343"/>
  <c r="E103" i="343"/>
  <c r="D103" i="343"/>
  <c r="C103" i="343"/>
  <c r="K98" i="343"/>
  <c r="J98" i="343"/>
  <c r="I98" i="343"/>
  <c r="H98" i="343"/>
  <c r="G98" i="343"/>
  <c r="F98" i="343"/>
  <c r="E98" i="343"/>
  <c r="D98" i="343"/>
  <c r="C98" i="343"/>
  <c r="K75" i="343"/>
  <c r="J75" i="343"/>
  <c r="J74" i="343" s="1"/>
  <c r="I75" i="343"/>
  <c r="H75" i="343"/>
  <c r="G75" i="343"/>
  <c r="F75" i="343"/>
  <c r="F74" i="343" s="1"/>
  <c r="E75" i="343"/>
  <c r="D75" i="343"/>
  <c r="D74" i="343" s="1"/>
  <c r="C75"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E26" i="343"/>
  <c r="D26" i="343"/>
  <c r="C26" i="343"/>
  <c r="K16" i="343"/>
  <c r="J16" i="343"/>
  <c r="I16" i="343"/>
  <c r="H16" i="343"/>
  <c r="G16" i="343"/>
  <c r="F16" i="343"/>
  <c r="E16" i="343"/>
  <c r="D16" i="343"/>
  <c r="C16" i="343"/>
  <c r="K12" i="343"/>
  <c r="J12" i="343"/>
  <c r="I12" i="343"/>
  <c r="H12" i="343"/>
  <c r="G12" i="343"/>
  <c r="F12" i="343"/>
  <c r="E12" i="343"/>
  <c r="D12" i="343"/>
  <c r="C12" i="343"/>
  <c r="K7" i="343"/>
  <c r="J7" i="343"/>
  <c r="I7" i="343"/>
  <c r="H7" i="343"/>
  <c r="G7" i="343"/>
  <c r="F7" i="343"/>
  <c r="E7" i="343"/>
  <c r="D7" i="343"/>
  <c r="C7" i="343"/>
  <c r="H3" i="343"/>
  <c r="G3" i="343"/>
  <c r="F3" i="343"/>
  <c r="E3" i="343"/>
  <c r="D3" i="343"/>
  <c r="C3" i="343"/>
  <c r="I2" i="343"/>
  <c r="B2" i="343"/>
  <c r="A2" i="343"/>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J152" i="344"/>
  <c r="I152" i="344"/>
  <c r="H152" i="344"/>
  <c r="G152" i="344"/>
  <c r="F152" i="344"/>
  <c r="E152" i="344"/>
  <c r="D152" i="344"/>
  <c r="C152" i="344"/>
  <c r="K149" i="344"/>
  <c r="J149" i="344"/>
  <c r="I149" i="344"/>
  <c r="H149" i="344"/>
  <c r="G149" i="344"/>
  <c r="F149" i="344"/>
  <c r="E149" i="344"/>
  <c r="D149" i="344"/>
  <c r="C149" i="344"/>
  <c r="K141" i="344"/>
  <c r="K139" i="344" s="1"/>
  <c r="J141" i="344"/>
  <c r="J139" i="344" s="1"/>
  <c r="I141" i="344"/>
  <c r="I139" i="344" s="1"/>
  <c r="H141" i="344"/>
  <c r="H139" i="344" s="1"/>
  <c r="G141" i="344"/>
  <c r="G139" i="344" s="1"/>
  <c r="F141" i="344"/>
  <c r="F139" i="344" s="1"/>
  <c r="E141" i="344"/>
  <c r="E139" i="344" s="1"/>
  <c r="D141" i="344"/>
  <c r="D139" i="344" s="1"/>
  <c r="C141" i="344"/>
  <c r="C139" i="344" s="1"/>
  <c r="K136" i="344"/>
  <c r="J136" i="344"/>
  <c r="I136" i="344"/>
  <c r="H136" i="344"/>
  <c r="G136" i="344"/>
  <c r="F136" i="344"/>
  <c r="E136" i="344"/>
  <c r="D136" i="344"/>
  <c r="C136" i="344"/>
  <c r="K131" i="344"/>
  <c r="K118" i="344" s="1"/>
  <c r="J131" i="344"/>
  <c r="I131" i="344"/>
  <c r="H131" i="344"/>
  <c r="G131" i="344"/>
  <c r="F131" i="344"/>
  <c r="E131" i="344"/>
  <c r="D131" i="344"/>
  <c r="C131" i="344"/>
  <c r="C118" i="344" s="1"/>
  <c r="K119" i="344"/>
  <c r="J119" i="344"/>
  <c r="J118" i="344" s="1"/>
  <c r="I119" i="344"/>
  <c r="I118" i="344" s="1"/>
  <c r="H119" i="344"/>
  <c r="H118" i="344" s="1"/>
  <c r="G119" i="344"/>
  <c r="F119" i="344"/>
  <c r="F118" i="344" s="1"/>
  <c r="E119" i="344"/>
  <c r="E118" i="344" s="1"/>
  <c r="D119" i="344"/>
  <c r="C119" i="344"/>
  <c r="K114" i="344"/>
  <c r="J114" i="344"/>
  <c r="I114" i="344"/>
  <c r="H114" i="344"/>
  <c r="G114" i="344"/>
  <c r="F114" i="344"/>
  <c r="E114" i="344"/>
  <c r="D114" i="344"/>
  <c r="C114" i="344"/>
  <c r="K111" i="344"/>
  <c r="K110" i="344" s="1"/>
  <c r="J111" i="344"/>
  <c r="I111" i="344"/>
  <c r="I110" i="344" s="1"/>
  <c r="H111" i="344"/>
  <c r="G111" i="344"/>
  <c r="F111" i="344"/>
  <c r="E111" i="344"/>
  <c r="E110" i="344" s="1"/>
  <c r="D111" i="344"/>
  <c r="D110" i="344" s="1"/>
  <c r="C111" i="344"/>
  <c r="C110" i="344" s="1"/>
  <c r="K103" i="344"/>
  <c r="J103" i="344"/>
  <c r="I103" i="344"/>
  <c r="H103" i="344"/>
  <c r="G103" i="344"/>
  <c r="F103" i="344"/>
  <c r="E103" i="344"/>
  <c r="D103" i="344"/>
  <c r="C103" i="344"/>
  <c r="K98" i="344"/>
  <c r="J98" i="344"/>
  <c r="J74" i="344" s="1"/>
  <c r="I98" i="344"/>
  <c r="H98" i="344"/>
  <c r="G98" i="344"/>
  <c r="F98" i="344"/>
  <c r="E98" i="344"/>
  <c r="D98" i="344"/>
  <c r="C98" i="344"/>
  <c r="K75" i="344"/>
  <c r="J75" i="344"/>
  <c r="I75" i="344"/>
  <c r="I74" i="344" s="1"/>
  <c r="H75" i="344"/>
  <c r="G75" i="344"/>
  <c r="G74" i="344" s="1"/>
  <c r="F75" i="344"/>
  <c r="E75" i="344"/>
  <c r="E74" i="344" s="1"/>
  <c r="D75" i="344"/>
  <c r="D74" i="344" s="1"/>
  <c r="C75" i="344"/>
  <c r="H74" i="344"/>
  <c r="K68" i="344"/>
  <c r="J68" i="344"/>
  <c r="I68" i="344"/>
  <c r="H68" i="344"/>
  <c r="G68" i="344"/>
  <c r="F68" i="344"/>
  <c r="E68" i="344"/>
  <c r="D68" i="344"/>
  <c r="C68" i="344"/>
  <c r="K62" i="344"/>
  <c r="J62" i="344"/>
  <c r="I62" i="344"/>
  <c r="H62" i="344"/>
  <c r="G62" i="344"/>
  <c r="F62" i="344"/>
  <c r="E62" i="344"/>
  <c r="D62"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K26" i="344"/>
  <c r="J26" i="344"/>
  <c r="I26" i="344"/>
  <c r="H26" i="344"/>
  <c r="G26" i="344"/>
  <c r="F26" i="344"/>
  <c r="E26" i="344"/>
  <c r="D26" i="344"/>
  <c r="C26" i="344"/>
  <c r="K16" i="344"/>
  <c r="J16" i="344"/>
  <c r="I16" i="344"/>
  <c r="H16" i="344"/>
  <c r="G16" i="344"/>
  <c r="F16" i="344"/>
  <c r="E16" i="344"/>
  <c r="D16" i="344"/>
  <c r="C16" i="344"/>
  <c r="K12" i="344"/>
  <c r="J12" i="344"/>
  <c r="I12" i="344"/>
  <c r="H12" i="344"/>
  <c r="G12" i="344"/>
  <c r="F12" i="344"/>
  <c r="E12" i="344"/>
  <c r="D12" i="344"/>
  <c r="C12" i="344"/>
  <c r="K7" i="344"/>
  <c r="J7" i="344"/>
  <c r="I7" i="344"/>
  <c r="H7" i="344"/>
  <c r="G7" i="344"/>
  <c r="F7" i="344"/>
  <c r="E7" i="344"/>
  <c r="D7" i="344"/>
  <c r="C7" i="344"/>
  <c r="H3" i="344"/>
  <c r="G3" i="344"/>
  <c r="F3" i="344"/>
  <c r="E3" i="344"/>
  <c r="D3" i="344"/>
  <c r="C3" i="344"/>
  <c r="I2" i="344"/>
  <c r="B2" i="344"/>
  <c r="A2" i="344"/>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J152" i="342"/>
  <c r="I152" i="342"/>
  <c r="H152" i="342"/>
  <c r="G152" i="342"/>
  <c r="F152" i="342"/>
  <c r="E152" i="342"/>
  <c r="D152" i="342"/>
  <c r="C152" i="342"/>
  <c r="K149" i="342"/>
  <c r="J149" i="342"/>
  <c r="I149" i="342"/>
  <c r="H149" i="342"/>
  <c r="G149" i="342"/>
  <c r="F149" i="342"/>
  <c r="E149" i="342"/>
  <c r="D149" i="342"/>
  <c r="C149" i="342"/>
  <c r="K141" i="342"/>
  <c r="K139" i="342" s="1"/>
  <c r="J141" i="342"/>
  <c r="I141" i="342"/>
  <c r="I139" i="342" s="1"/>
  <c r="H141" i="342"/>
  <c r="H139" i="342" s="1"/>
  <c r="G141" i="342"/>
  <c r="G139" i="342" s="1"/>
  <c r="F141" i="342"/>
  <c r="F139" i="342" s="1"/>
  <c r="E141" i="342"/>
  <c r="E139" i="342" s="1"/>
  <c r="D141" i="342"/>
  <c r="C141" i="342"/>
  <c r="C139" i="342" s="1"/>
  <c r="J139" i="342"/>
  <c r="D139" i="342"/>
  <c r="K136" i="342"/>
  <c r="J136" i="342"/>
  <c r="I136" i="342"/>
  <c r="H136" i="342"/>
  <c r="G136" i="342"/>
  <c r="F136" i="342"/>
  <c r="E136" i="342"/>
  <c r="D136" i="342"/>
  <c r="C136" i="342"/>
  <c r="K131" i="342"/>
  <c r="J131" i="342"/>
  <c r="I131" i="342"/>
  <c r="H131" i="342"/>
  <c r="G131" i="342"/>
  <c r="F131" i="342"/>
  <c r="E131" i="342"/>
  <c r="D131" i="342"/>
  <c r="C131" i="342"/>
  <c r="K119" i="342"/>
  <c r="J119" i="342"/>
  <c r="J118" i="342" s="1"/>
  <c r="I119" i="342"/>
  <c r="I118" i="342" s="1"/>
  <c r="H119" i="342"/>
  <c r="G119" i="342"/>
  <c r="G118" i="342" s="1"/>
  <c r="F119" i="342"/>
  <c r="F118" i="342" s="1"/>
  <c r="E119" i="342"/>
  <c r="D119" i="342"/>
  <c r="D118" i="342" s="1"/>
  <c r="C119" i="342"/>
  <c r="K114" i="342"/>
  <c r="J114" i="342"/>
  <c r="I114" i="342"/>
  <c r="H114" i="342"/>
  <c r="D114" i="342"/>
  <c r="C114" i="342"/>
  <c r="K111" i="342"/>
  <c r="J111" i="342"/>
  <c r="I111" i="342"/>
  <c r="H111" i="342"/>
  <c r="H110" i="342" s="1"/>
  <c r="D111" i="342"/>
  <c r="C111" i="342"/>
  <c r="C110" i="342" s="1"/>
  <c r="K103" i="342"/>
  <c r="J103" i="342"/>
  <c r="I103" i="342"/>
  <c r="H103" i="342"/>
  <c r="D103" i="342"/>
  <c r="C103" i="342"/>
  <c r="K98" i="342"/>
  <c r="J98" i="342"/>
  <c r="I98" i="342"/>
  <c r="H98" i="342"/>
  <c r="D98" i="342"/>
  <c r="C98" i="342"/>
  <c r="K75" i="342"/>
  <c r="K74" i="342" s="1"/>
  <c r="J75" i="342"/>
  <c r="J74" i="342" s="1"/>
  <c r="I75" i="342"/>
  <c r="H75" i="342"/>
  <c r="H74" i="342" s="1"/>
  <c r="D75" i="342"/>
  <c r="D74" i="342" s="1"/>
  <c r="C75" i="342"/>
  <c r="K68" i="342"/>
  <c r="J68" i="342"/>
  <c r="I68" i="342"/>
  <c r="H68" i="342"/>
  <c r="D68" i="342"/>
  <c r="C68" i="342"/>
  <c r="K62" i="342"/>
  <c r="J62" i="342"/>
  <c r="I62" i="342"/>
  <c r="H62" i="342"/>
  <c r="D62" i="342"/>
  <c r="C62" i="342"/>
  <c r="K52" i="342"/>
  <c r="J52" i="342"/>
  <c r="I52" i="342"/>
  <c r="H52" i="342"/>
  <c r="D52" i="342"/>
  <c r="C52" i="342"/>
  <c r="K44" i="342"/>
  <c r="J44" i="342"/>
  <c r="I44" i="342"/>
  <c r="H44" i="342"/>
  <c r="D44" i="342"/>
  <c r="C44" i="342"/>
  <c r="K37" i="342"/>
  <c r="J37" i="342"/>
  <c r="I37" i="342"/>
  <c r="H37" i="342"/>
  <c r="D37" i="342"/>
  <c r="C37" i="342"/>
  <c r="K26" i="342"/>
  <c r="J26" i="342"/>
  <c r="I26" i="342"/>
  <c r="H26" i="342"/>
  <c r="D26" i="342"/>
  <c r="C26" i="342"/>
  <c r="K16" i="342"/>
  <c r="J16" i="342"/>
  <c r="I16" i="342"/>
  <c r="H16" i="342"/>
  <c r="G16" i="342"/>
  <c r="F16" i="342"/>
  <c r="E16" i="342"/>
  <c r="D16" i="342"/>
  <c r="C16" i="342"/>
  <c r="K12" i="342"/>
  <c r="J12" i="342"/>
  <c r="I12" i="342"/>
  <c r="H12" i="342"/>
  <c r="G12" i="342"/>
  <c r="F12" i="342"/>
  <c r="E12" i="342"/>
  <c r="D12" i="342"/>
  <c r="C12" i="342"/>
  <c r="K7" i="342"/>
  <c r="J7" i="342"/>
  <c r="I7" i="342"/>
  <c r="H7" i="342"/>
  <c r="G7" i="342"/>
  <c r="F7" i="342"/>
  <c r="E7" i="342"/>
  <c r="D7" i="342"/>
  <c r="C7" i="342"/>
  <c r="C6" i="342" s="1"/>
  <c r="H3" i="342"/>
  <c r="G3" i="342"/>
  <c r="F3" i="342"/>
  <c r="E3" i="342"/>
  <c r="D3" i="342"/>
  <c r="C3" i="342"/>
  <c r="I2" i="342"/>
  <c r="B2" i="342"/>
  <c r="A2" i="342"/>
  <c r="A168" i="341"/>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J141" i="341"/>
  <c r="J139" i="341" s="1"/>
  <c r="I141" i="341"/>
  <c r="H141" i="341"/>
  <c r="H139" i="341" s="1"/>
  <c r="G141" i="341"/>
  <c r="F141" i="341"/>
  <c r="F139" i="341" s="1"/>
  <c r="E141" i="341"/>
  <c r="E139" i="341" s="1"/>
  <c r="D141" i="341"/>
  <c r="D139" i="341" s="1"/>
  <c r="C141" i="341"/>
  <c r="C139" i="341" s="1"/>
  <c r="K139" i="341"/>
  <c r="I139" i="341"/>
  <c r="G139" i="341"/>
  <c r="K136" i="341"/>
  <c r="J136" i="341"/>
  <c r="I136" i="341"/>
  <c r="H136" i="341"/>
  <c r="G136" i="341"/>
  <c r="F136" i="341"/>
  <c r="E136" i="341"/>
  <c r="D136" i="341"/>
  <c r="C136" i="341"/>
  <c r="K131" i="341"/>
  <c r="J131" i="341"/>
  <c r="I131" i="341"/>
  <c r="H131" i="341"/>
  <c r="G131" i="341"/>
  <c r="F131" i="341"/>
  <c r="E131" i="341"/>
  <c r="D131" i="341"/>
  <c r="C131" i="341"/>
  <c r="K119" i="341"/>
  <c r="J119" i="341"/>
  <c r="I119" i="341"/>
  <c r="H119" i="341"/>
  <c r="H118" i="341" s="1"/>
  <c r="G119" i="341"/>
  <c r="F119" i="341"/>
  <c r="E119" i="341"/>
  <c r="D119" i="341"/>
  <c r="D118" i="341" s="1"/>
  <c r="C119" i="341"/>
  <c r="I118" i="341"/>
  <c r="E118" i="341"/>
  <c r="K114" i="341"/>
  <c r="J114" i="341"/>
  <c r="I114" i="341"/>
  <c r="H114" i="341"/>
  <c r="G114" i="341"/>
  <c r="F114" i="341"/>
  <c r="E114" i="341"/>
  <c r="D114" i="341"/>
  <c r="C114" i="341"/>
  <c r="K111" i="341"/>
  <c r="K110" i="341" s="1"/>
  <c r="J111" i="341"/>
  <c r="I111" i="341"/>
  <c r="I110" i="341" s="1"/>
  <c r="H111" i="341"/>
  <c r="H110" i="341" s="1"/>
  <c r="G111" i="341"/>
  <c r="F111" i="341"/>
  <c r="E111" i="341"/>
  <c r="D111" i="341"/>
  <c r="D110" i="341" s="1"/>
  <c r="C111" i="341"/>
  <c r="C110" i="341" s="1"/>
  <c r="K103" i="341"/>
  <c r="J103" i="341"/>
  <c r="I103" i="341"/>
  <c r="H103" i="341"/>
  <c r="G103" i="341"/>
  <c r="F103" i="341"/>
  <c r="E103" i="341"/>
  <c r="D103" i="341"/>
  <c r="C103" i="341"/>
  <c r="K98" i="341"/>
  <c r="J98" i="341"/>
  <c r="I98" i="341"/>
  <c r="H98" i="341"/>
  <c r="G98" i="341"/>
  <c r="F98" i="341"/>
  <c r="E98" i="341"/>
  <c r="D98" i="341"/>
  <c r="C98" i="341"/>
  <c r="K75" i="341"/>
  <c r="J75" i="341"/>
  <c r="I75" i="341"/>
  <c r="H75" i="341"/>
  <c r="G75" i="341"/>
  <c r="G74" i="341" s="1"/>
  <c r="F75" i="341"/>
  <c r="E75" i="341"/>
  <c r="E74" i="341" s="1"/>
  <c r="D75" i="341"/>
  <c r="D74" i="341" s="1"/>
  <c r="C75" i="341"/>
  <c r="I74" i="341"/>
  <c r="H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I37" i="341"/>
  <c r="H37" i="341"/>
  <c r="G37" i="341"/>
  <c r="F37" i="341"/>
  <c r="E37" i="341"/>
  <c r="D37" i="341"/>
  <c r="C37" i="341"/>
  <c r="K26" i="341"/>
  <c r="J26" i="341"/>
  <c r="I26" i="341"/>
  <c r="H26" i="341"/>
  <c r="G26" i="341"/>
  <c r="F26" i="341"/>
  <c r="E26" i="341"/>
  <c r="D26" i="341"/>
  <c r="C26" i="341"/>
  <c r="K16" i="341"/>
  <c r="J16" i="341"/>
  <c r="I16" i="341"/>
  <c r="H16" i="341"/>
  <c r="G16" i="341"/>
  <c r="F16" i="341"/>
  <c r="E16" i="341"/>
  <c r="D16" i="341"/>
  <c r="C16" i="341"/>
  <c r="K12" i="341"/>
  <c r="J12" i="341"/>
  <c r="I12" i="341"/>
  <c r="H12" i="341"/>
  <c r="G12" i="341"/>
  <c r="F12" i="341"/>
  <c r="E12" i="341"/>
  <c r="D12" i="341"/>
  <c r="C12" i="341"/>
  <c r="K7" i="341"/>
  <c r="J7" i="341"/>
  <c r="I7" i="341"/>
  <c r="H7" i="341"/>
  <c r="G7" i="341"/>
  <c r="F7" i="341"/>
  <c r="E7" i="341"/>
  <c r="D7" i="341"/>
  <c r="C7" i="341"/>
  <c r="H3" i="341"/>
  <c r="G3" i="341"/>
  <c r="F3" i="341"/>
  <c r="E3" i="341"/>
  <c r="D3" i="341"/>
  <c r="C3" i="341"/>
  <c r="I2" i="341"/>
  <c r="B2" i="341"/>
  <c r="A2" i="341"/>
  <c r="A168" i="284"/>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s="1"/>
  <c r="J141" i="284"/>
  <c r="J139" i="284" s="1"/>
  <c r="I141" i="284"/>
  <c r="I139" i="284" s="1"/>
  <c r="H141" i="284"/>
  <c r="H139" i="284" s="1"/>
  <c r="G141" i="284"/>
  <c r="F141" i="284"/>
  <c r="F139" i="284" s="1"/>
  <c r="E141" i="284"/>
  <c r="E139" i="284" s="1"/>
  <c r="D141" i="284"/>
  <c r="D139" i="284" s="1"/>
  <c r="C141" i="284"/>
  <c r="C139" i="284" s="1"/>
  <c r="G139" i="284"/>
  <c r="K136" i="284"/>
  <c r="J136" i="284"/>
  <c r="I136" i="284"/>
  <c r="H136" i="284"/>
  <c r="G136" i="284"/>
  <c r="F136" i="284"/>
  <c r="E136" i="284"/>
  <c r="D136" i="284"/>
  <c r="C136" i="284"/>
  <c r="K131" i="284"/>
  <c r="J131" i="284"/>
  <c r="I131" i="284"/>
  <c r="H131" i="284"/>
  <c r="G131" i="284"/>
  <c r="F131" i="284"/>
  <c r="E131" i="284"/>
  <c r="D131" i="284"/>
  <c r="C131" i="284"/>
  <c r="K119" i="284"/>
  <c r="J119" i="284"/>
  <c r="J118" i="284" s="1"/>
  <c r="I119" i="284"/>
  <c r="I118" i="284" s="1"/>
  <c r="H119" i="284"/>
  <c r="H118" i="284" s="1"/>
  <c r="G119" i="284"/>
  <c r="F119" i="284"/>
  <c r="E119" i="284"/>
  <c r="E118" i="284" s="1"/>
  <c r="D119" i="284"/>
  <c r="C119" i="284"/>
  <c r="C118" i="284"/>
  <c r="K118" i="284"/>
  <c r="G118" i="284"/>
  <c r="F118" i="284"/>
  <c r="K114" i="284"/>
  <c r="J114" i="284"/>
  <c r="I114" i="284"/>
  <c r="H114" i="284"/>
  <c r="G114" i="284"/>
  <c r="F114" i="284"/>
  <c r="E114" i="284"/>
  <c r="E110" i="284" s="1"/>
  <c r="D114" i="284"/>
  <c r="C114" i="284"/>
  <c r="K111" i="284"/>
  <c r="J111" i="284"/>
  <c r="I111" i="284"/>
  <c r="I110" i="284" s="1"/>
  <c r="H111" i="284"/>
  <c r="G111" i="284"/>
  <c r="F111" i="284"/>
  <c r="F110" i="284" s="1"/>
  <c r="E111" i="284"/>
  <c r="D111" i="284"/>
  <c r="C111" i="284"/>
  <c r="K103" i="284"/>
  <c r="J103" i="284"/>
  <c r="I103" i="284"/>
  <c r="H103" i="284"/>
  <c r="G103" i="284"/>
  <c r="F103" i="284"/>
  <c r="E103" i="284"/>
  <c r="D103" i="284"/>
  <c r="C103" i="284"/>
  <c r="K98" i="284"/>
  <c r="J98" i="284"/>
  <c r="I98" i="284"/>
  <c r="H98" i="284"/>
  <c r="G98" i="284"/>
  <c r="F98" i="284"/>
  <c r="E98" i="284"/>
  <c r="D98" i="284"/>
  <c r="C98" i="284"/>
  <c r="K75" i="284"/>
  <c r="J75" i="284"/>
  <c r="J74" i="284" s="1"/>
  <c r="I75" i="284"/>
  <c r="H75" i="284"/>
  <c r="H74" i="284" s="1"/>
  <c r="G75" i="284"/>
  <c r="F75" i="284"/>
  <c r="E75" i="284"/>
  <c r="D75" i="284"/>
  <c r="C75" i="284"/>
  <c r="C74" i="284" s="1"/>
  <c r="D74"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D26" i="284"/>
  <c r="C26" i="284"/>
  <c r="K16" i="284"/>
  <c r="J16" i="284"/>
  <c r="I16" i="284"/>
  <c r="H16" i="284"/>
  <c r="G16" i="284"/>
  <c r="F16" i="284"/>
  <c r="E16" i="284"/>
  <c r="D16" i="284"/>
  <c r="C16" i="284"/>
  <c r="K12" i="284"/>
  <c r="J12" i="284"/>
  <c r="I12" i="284"/>
  <c r="H12" i="284"/>
  <c r="G12" i="284"/>
  <c r="F12" i="284"/>
  <c r="E12" i="284"/>
  <c r="D12" i="284"/>
  <c r="C12" i="284"/>
  <c r="K7" i="284"/>
  <c r="J7" i="284"/>
  <c r="I7" i="284"/>
  <c r="H7" i="284"/>
  <c r="G7" i="284"/>
  <c r="F7" i="284"/>
  <c r="E7" i="284"/>
  <c r="D7" i="284"/>
  <c r="C7" i="284"/>
  <c r="H3" i="284"/>
  <c r="G3" i="284"/>
  <c r="F3" i="284"/>
  <c r="E3" i="284"/>
  <c r="D3" i="284"/>
  <c r="C3" i="284"/>
  <c r="I2" i="284"/>
  <c r="B2" i="284"/>
  <c r="A2" i="284"/>
  <c r="L239" i="204"/>
  <c r="K239" i="204"/>
  <c r="J239" i="204"/>
  <c r="I239" i="204"/>
  <c r="H239" i="204"/>
  <c r="G239" i="204"/>
  <c r="F239" i="204"/>
  <c r="E239" i="204"/>
  <c r="D239" i="204"/>
  <c r="C239" i="204"/>
  <c r="B239" i="204"/>
  <c r="L230" i="204"/>
  <c r="K230" i="204"/>
  <c r="J230" i="204"/>
  <c r="I230" i="204"/>
  <c r="H230" i="204"/>
  <c r="G230" i="204"/>
  <c r="F230" i="204"/>
  <c r="E230" i="204"/>
  <c r="D230" i="204"/>
  <c r="C230" i="204"/>
  <c r="B230" i="204"/>
  <c r="P229" i="204"/>
  <c r="O229" i="204"/>
  <c r="N229" i="204"/>
  <c r="M229" i="204" s="1"/>
  <c r="P224" i="204"/>
  <c r="O224" i="204"/>
  <c r="N224" i="204"/>
  <c r="M224" i="204"/>
  <c r="L220" i="204"/>
  <c r="L241" i="204" s="1"/>
  <c r="K220" i="204"/>
  <c r="J220" i="204"/>
  <c r="I220" i="204"/>
  <c r="H220" i="204"/>
  <c r="G220" i="204"/>
  <c r="F220" i="204"/>
  <c r="E220" i="204"/>
  <c r="D220" i="204"/>
  <c r="C220" i="204"/>
  <c r="B220" i="204"/>
  <c r="M218" i="204"/>
  <c r="M217" i="204"/>
  <c r="L199" i="204"/>
  <c r="K199" i="204"/>
  <c r="J199" i="204"/>
  <c r="I199" i="204"/>
  <c r="H199" i="204"/>
  <c r="G199" i="204"/>
  <c r="F199" i="204"/>
  <c r="E199" i="204"/>
  <c r="D199" i="204"/>
  <c r="C199" i="204"/>
  <c r="B199" i="204"/>
  <c r="L196" i="204"/>
  <c r="K196" i="204"/>
  <c r="J196" i="204"/>
  <c r="I196" i="204"/>
  <c r="H196" i="204"/>
  <c r="G196" i="204"/>
  <c r="F196" i="204"/>
  <c r="E196" i="204"/>
  <c r="D196" i="204"/>
  <c r="C196" i="204"/>
  <c r="B196" i="204"/>
  <c r="L193" i="204"/>
  <c r="K193" i="204"/>
  <c r="J193" i="204"/>
  <c r="I193" i="204"/>
  <c r="H193" i="204"/>
  <c r="G193" i="204"/>
  <c r="F193" i="204"/>
  <c r="E193" i="204"/>
  <c r="D193" i="204"/>
  <c r="C193" i="204"/>
  <c r="B193" i="204"/>
  <c r="L190" i="204"/>
  <c r="K190" i="204"/>
  <c r="J190" i="204"/>
  <c r="I190" i="204"/>
  <c r="H190" i="204"/>
  <c r="G190" i="204"/>
  <c r="F190" i="204"/>
  <c r="E190" i="204"/>
  <c r="D190" i="204"/>
  <c r="C190" i="204"/>
  <c r="B190" i="204"/>
  <c r="L187" i="204"/>
  <c r="K187" i="204"/>
  <c r="J187" i="204"/>
  <c r="I187" i="204"/>
  <c r="H187" i="204"/>
  <c r="G187" i="204"/>
  <c r="F187" i="204"/>
  <c r="E187" i="204"/>
  <c r="D187" i="204"/>
  <c r="C187" i="204"/>
  <c r="B187" i="204"/>
  <c r="L184" i="204"/>
  <c r="K184" i="204"/>
  <c r="J184" i="204"/>
  <c r="I184" i="204"/>
  <c r="H184" i="204"/>
  <c r="G184" i="204"/>
  <c r="F184" i="204"/>
  <c r="E184" i="204"/>
  <c r="D184" i="204"/>
  <c r="C184" i="204"/>
  <c r="B184" i="204"/>
  <c r="L176" i="204"/>
  <c r="L174" i="204" s="1"/>
  <c r="K176" i="204"/>
  <c r="K174" i="204" s="1"/>
  <c r="J176" i="204"/>
  <c r="J174" i="204" s="1"/>
  <c r="I176" i="204"/>
  <c r="I174" i="204" s="1"/>
  <c r="H176" i="204"/>
  <c r="H174" i="204" s="1"/>
  <c r="G176" i="204"/>
  <c r="G174" i="204" s="1"/>
  <c r="F176" i="204"/>
  <c r="F174" i="204" s="1"/>
  <c r="E176" i="204"/>
  <c r="E174" i="204" s="1"/>
  <c r="D176" i="204"/>
  <c r="D174" i="204" s="1"/>
  <c r="C176" i="204"/>
  <c r="C174" i="204" s="1"/>
  <c r="B176" i="204"/>
  <c r="B174" i="204" s="1"/>
  <c r="L171" i="204"/>
  <c r="K171" i="204"/>
  <c r="J171" i="204"/>
  <c r="I171" i="204"/>
  <c r="H171" i="204"/>
  <c r="G171" i="204"/>
  <c r="F171" i="204"/>
  <c r="E171" i="204"/>
  <c r="D171" i="204"/>
  <c r="C171" i="204"/>
  <c r="B171" i="204"/>
  <c r="L166" i="204"/>
  <c r="K166" i="204"/>
  <c r="J166" i="204"/>
  <c r="I166" i="204"/>
  <c r="H166" i="204"/>
  <c r="G166" i="204"/>
  <c r="F166" i="204"/>
  <c r="E166" i="204"/>
  <c r="D166" i="204"/>
  <c r="C166" i="204"/>
  <c r="B166" i="204"/>
  <c r="L154" i="204"/>
  <c r="K154" i="204"/>
  <c r="K153" i="204" s="1"/>
  <c r="J154" i="204"/>
  <c r="I154" i="204"/>
  <c r="H154" i="204"/>
  <c r="G154" i="204"/>
  <c r="F154" i="204"/>
  <c r="E154" i="204"/>
  <c r="D154" i="204"/>
  <c r="C154" i="204"/>
  <c r="C153" i="204" s="1"/>
  <c r="B154" i="204"/>
  <c r="L149" i="204"/>
  <c r="K149" i="204"/>
  <c r="J149" i="204"/>
  <c r="I149" i="204"/>
  <c r="H149" i="204"/>
  <c r="G149" i="204"/>
  <c r="F149" i="204"/>
  <c r="E149" i="204"/>
  <c r="D149" i="204"/>
  <c r="D145" i="204" s="1"/>
  <c r="C149" i="204"/>
  <c r="B149" i="204"/>
  <c r="L146" i="204"/>
  <c r="K146" i="204"/>
  <c r="J146" i="204"/>
  <c r="I146" i="204"/>
  <c r="H146" i="204"/>
  <c r="G146" i="204"/>
  <c r="F146" i="204"/>
  <c r="E146" i="204"/>
  <c r="E145" i="204" s="1"/>
  <c r="D146" i="204"/>
  <c r="C146" i="204"/>
  <c r="B146" i="204"/>
  <c r="I145" i="204"/>
  <c r="L138" i="204"/>
  <c r="K138" i="204"/>
  <c r="J138" i="204"/>
  <c r="I138" i="204"/>
  <c r="H138" i="204"/>
  <c r="G138" i="204"/>
  <c r="F138" i="204"/>
  <c r="E138" i="204"/>
  <c r="D138" i="204"/>
  <c r="C138" i="204"/>
  <c r="B138" i="204"/>
  <c r="L133" i="204"/>
  <c r="K133" i="204"/>
  <c r="J133" i="204"/>
  <c r="I133" i="204"/>
  <c r="H133" i="204"/>
  <c r="G133" i="204"/>
  <c r="F133" i="204"/>
  <c r="E133" i="204"/>
  <c r="D133" i="204"/>
  <c r="C133" i="204"/>
  <c r="B133" i="204"/>
  <c r="L110" i="204"/>
  <c r="K110" i="204"/>
  <c r="J110" i="204"/>
  <c r="I110" i="204"/>
  <c r="H110" i="204"/>
  <c r="G110" i="204"/>
  <c r="F110" i="204"/>
  <c r="E110" i="204"/>
  <c r="E109" i="204" s="1"/>
  <c r="D110" i="204"/>
  <c r="C110" i="204"/>
  <c r="B110" i="204"/>
  <c r="L103" i="204"/>
  <c r="K103" i="204"/>
  <c r="J103" i="204"/>
  <c r="I103" i="204"/>
  <c r="H103" i="204"/>
  <c r="G103" i="204"/>
  <c r="F103" i="204"/>
  <c r="E103" i="204"/>
  <c r="D103" i="204"/>
  <c r="C103" i="204"/>
  <c r="B103" i="204"/>
  <c r="L97" i="204"/>
  <c r="K97" i="204"/>
  <c r="J97" i="204"/>
  <c r="I97" i="204"/>
  <c r="H97" i="204"/>
  <c r="G97" i="204"/>
  <c r="F97" i="204"/>
  <c r="E97" i="204"/>
  <c r="D97" i="204"/>
  <c r="C97" i="204"/>
  <c r="B97" i="204"/>
  <c r="L87" i="204"/>
  <c r="K87" i="204"/>
  <c r="J87" i="204"/>
  <c r="I87" i="204"/>
  <c r="H87" i="204"/>
  <c r="G87" i="204"/>
  <c r="F87" i="204"/>
  <c r="E87" i="204"/>
  <c r="D87" i="204"/>
  <c r="C87" i="204"/>
  <c r="B87" i="204"/>
  <c r="L79" i="204"/>
  <c r="K79" i="204"/>
  <c r="J79" i="204"/>
  <c r="I79" i="204"/>
  <c r="H79" i="204"/>
  <c r="G79" i="204"/>
  <c r="F79" i="204"/>
  <c r="E79" i="204"/>
  <c r="D79" i="204"/>
  <c r="C79" i="204"/>
  <c r="B79" i="204"/>
  <c r="L72" i="204"/>
  <c r="K72" i="204"/>
  <c r="J72" i="204"/>
  <c r="I72" i="204"/>
  <c r="H72" i="204"/>
  <c r="G72" i="204"/>
  <c r="F72" i="204"/>
  <c r="E72" i="204"/>
  <c r="D72" i="204"/>
  <c r="C72" i="204"/>
  <c r="B72" i="204"/>
  <c r="L61" i="204"/>
  <c r="K61" i="204"/>
  <c r="J61" i="204"/>
  <c r="I61" i="204"/>
  <c r="H61" i="204"/>
  <c r="G61" i="204"/>
  <c r="F61" i="204"/>
  <c r="E61" i="204"/>
  <c r="D61" i="204"/>
  <c r="C61" i="204"/>
  <c r="B61" i="204"/>
  <c r="L51" i="204"/>
  <c r="K51" i="204"/>
  <c r="J51" i="204"/>
  <c r="I51" i="204"/>
  <c r="H51" i="204"/>
  <c r="G51" i="204"/>
  <c r="F51" i="204"/>
  <c r="E51" i="204"/>
  <c r="D51" i="204"/>
  <c r="C51" i="204"/>
  <c r="B51" i="204"/>
  <c r="L47" i="204"/>
  <c r="K47" i="204"/>
  <c r="J47" i="204"/>
  <c r="I47" i="204"/>
  <c r="H47" i="204"/>
  <c r="G47" i="204"/>
  <c r="F47" i="204"/>
  <c r="E47" i="204"/>
  <c r="D47" i="204"/>
  <c r="C47" i="204"/>
  <c r="B47" i="204"/>
  <c r="L42" i="204"/>
  <c r="L41" i="204" s="1"/>
  <c r="K42" i="204"/>
  <c r="J42" i="204"/>
  <c r="I42" i="204"/>
  <c r="H42" i="204"/>
  <c r="H41" i="204" s="1"/>
  <c r="G42" i="204"/>
  <c r="F42" i="204"/>
  <c r="E42" i="204"/>
  <c r="D42" i="204"/>
  <c r="D41" i="204" s="1"/>
  <c r="C42" i="204"/>
  <c r="B42" i="204"/>
  <c r="D36" i="204"/>
  <c r="C36" i="204"/>
  <c r="B36" i="204"/>
  <c r="L22" i="204"/>
  <c r="K22" i="204"/>
  <c r="J22" i="204"/>
  <c r="I22" i="204"/>
  <c r="H22" i="204"/>
  <c r="G22" i="204"/>
  <c r="F22" i="204"/>
  <c r="E22" i="204"/>
  <c r="D22" i="204"/>
  <c r="C22" i="204"/>
  <c r="B22" i="204"/>
  <c r="O22" i="204"/>
  <c r="N2" i="204"/>
  <c r="A2" i="204"/>
  <c r="A43" i="336"/>
  <c r="K36" i="336"/>
  <c r="J36" i="336"/>
  <c r="J37" i="336" s="1"/>
  <c r="I36" i="336"/>
  <c r="H36" i="336"/>
  <c r="G36" i="336"/>
  <c r="F36" i="336"/>
  <c r="E36" i="336"/>
  <c r="D36" i="336"/>
  <c r="C36" i="336"/>
  <c r="K20" i="336"/>
  <c r="J20" i="336"/>
  <c r="I20" i="336"/>
  <c r="H20" i="336"/>
  <c r="G20" i="336"/>
  <c r="F20" i="336"/>
  <c r="E20" i="336"/>
  <c r="D20" i="336"/>
  <c r="C20" i="336"/>
  <c r="K10" i="336"/>
  <c r="J10" i="336"/>
  <c r="I10" i="336"/>
  <c r="H10" i="336"/>
  <c r="G10" i="336"/>
  <c r="F10" i="336"/>
  <c r="E10" i="336"/>
  <c r="D10" i="336"/>
  <c r="C10" i="336"/>
  <c r="B2" i="336"/>
  <c r="A58" i="285"/>
  <c r="K53" i="285"/>
  <c r="J53" i="285"/>
  <c r="I53" i="285"/>
  <c r="H53" i="285"/>
  <c r="G53" i="285"/>
  <c r="G56" i="285" s="1"/>
  <c r="F53" i="285"/>
  <c r="E53" i="285"/>
  <c r="D53" i="285"/>
  <c r="C53" i="285"/>
  <c r="K37" i="285"/>
  <c r="J37" i="285"/>
  <c r="I37" i="285"/>
  <c r="H37" i="285"/>
  <c r="G37" i="285"/>
  <c r="F37" i="285"/>
  <c r="E37" i="285"/>
  <c r="D37" i="285"/>
  <c r="C37" i="285"/>
  <c r="K21" i="285"/>
  <c r="J21" i="285"/>
  <c r="I21" i="285"/>
  <c r="I56" i="285" s="1"/>
  <c r="H21" i="285"/>
  <c r="G21" i="285"/>
  <c r="F21" i="285"/>
  <c r="E21" i="285"/>
  <c r="E56" i="285" s="1"/>
  <c r="D21" i="285"/>
  <c r="D56" i="285" s="1"/>
  <c r="E34" i="198" s="1"/>
  <c r="C21" i="285"/>
  <c r="H3" i="285"/>
  <c r="G3" i="285"/>
  <c r="F3" i="285"/>
  <c r="E3" i="285"/>
  <c r="D3" i="285"/>
  <c r="C3" i="285"/>
  <c r="I2" i="285"/>
  <c r="B2" i="285"/>
  <c r="A8" i="243"/>
  <c r="N7" i="243"/>
  <c r="M7" i="243"/>
  <c r="K7" i="243"/>
  <c r="H7" i="243"/>
  <c r="G7" i="243"/>
  <c r="F7" i="243"/>
  <c r="O6" i="243"/>
  <c r="O5" i="243"/>
  <c r="O4" i="243"/>
  <c r="B2" i="243"/>
  <c r="E74" i="198"/>
  <c r="E73" i="198" s="1"/>
  <c r="D73" i="198"/>
  <c r="L72" i="198"/>
  <c r="K72" i="198"/>
  <c r="J72" i="198"/>
  <c r="I72" i="198"/>
  <c r="H72" i="198"/>
  <c r="G72" i="198"/>
  <c r="F72" i="198"/>
  <c r="E72" i="198"/>
  <c r="D72" i="198"/>
  <c r="L71" i="198"/>
  <c r="K71" i="198"/>
  <c r="J71" i="198"/>
  <c r="I71" i="198"/>
  <c r="H71" i="198"/>
  <c r="G71" i="198"/>
  <c r="F71" i="198"/>
  <c r="E71" i="198"/>
  <c r="D71" i="198"/>
  <c r="L70" i="198"/>
  <c r="K70" i="198"/>
  <c r="J70" i="198"/>
  <c r="I70" i="198"/>
  <c r="H70" i="198"/>
  <c r="G70" i="198"/>
  <c r="F70" i="198"/>
  <c r="E70" i="198"/>
  <c r="D70" i="198"/>
  <c r="L69" i="198"/>
  <c r="K69" i="198"/>
  <c r="J69" i="198"/>
  <c r="I69" i="198"/>
  <c r="H69" i="198"/>
  <c r="G69" i="198"/>
  <c r="F69" i="198"/>
  <c r="E69" i="198"/>
  <c r="D69" i="198"/>
  <c r="L67" i="198"/>
  <c r="K67" i="198"/>
  <c r="J67" i="198"/>
  <c r="I67" i="198"/>
  <c r="H67" i="198"/>
  <c r="G67" i="198"/>
  <c r="F67" i="198"/>
  <c r="E67" i="198"/>
  <c r="D67" i="198"/>
  <c r="L66" i="198"/>
  <c r="K66" i="198"/>
  <c r="J66" i="198"/>
  <c r="I66" i="198"/>
  <c r="H66" i="198"/>
  <c r="G66" i="198"/>
  <c r="F66" i="198"/>
  <c r="E66" i="198"/>
  <c r="D66" i="198"/>
  <c r="A66" i="198"/>
  <c r="A65" i="198"/>
  <c r="L64" i="198"/>
  <c r="K64" i="198"/>
  <c r="J64" i="198"/>
  <c r="I64" i="198"/>
  <c r="H64" i="198"/>
  <c r="G64" i="198"/>
  <c r="F64" i="198"/>
  <c r="E64" i="198"/>
  <c r="D64" i="198"/>
  <c r="L63" i="198"/>
  <c r="K63" i="198"/>
  <c r="J63" i="198"/>
  <c r="I63" i="198"/>
  <c r="H63" i="198"/>
  <c r="G63" i="198"/>
  <c r="F63" i="198"/>
  <c r="E63" i="198"/>
  <c r="L62" i="198"/>
  <c r="K62" i="198"/>
  <c r="J62" i="198"/>
  <c r="J16" i="198" s="1"/>
  <c r="I62" i="198"/>
  <c r="H62" i="198"/>
  <c r="G62" i="198"/>
  <c r="F62" i="198"/>
  <c r="E62" i="198"/>
  <c r="E16" i="198" s="1"/>
  <c r="L61" i="198"/>
  <c r="K61" i="198"/>
  <c r="J61" i="198"/>
  <c r="I61" i="198"/>
  <c r="H61" i="198"/>
  <c r="G61" i="198"/>
  <c r="F61" i="198"/>
  <c r="E61" i="198"/>
  <c r="D61" i="198"/>
  <c r="A59" i="198"/>
  <c r="A58" i="198"/>
  <c r="L57" i="198"/>
  <c r="K57" i="198"/>
  <c r="J57" i="198"/>
  <c r="I57" i="198"/>
  <c r="H57" i="198"/>
  <c r="G57" i="198"/>
  <c r="F57" i="198"/>
  <c r="E57" i="198"/>
  <c r="D57" i="198"/>
  <c r="A57" i="198"/>
  <c r="A56" i="198"/>
  <c r="L55" i="198"/>
  <c r="K55" i="198"/>
  <c r="J55" i="198"/>
  <c r="I55" i="198"/>
  <c r="H55" i="198"/>
  <c r="G55" i="198"/>
  <c r="F55" i="198"/>
  <c r="E55" i="198"/>
  <c r="D55" i="198"/>
  <c r="L54" i="198"/>
  <c r="K54" i="198"/>
  <c r="J54" i="198"/>
  <c r="I54" i="198"/>
  <c r="H54" i="198"/>
  <c r="G54" i="198"/>
  <c r="F54" i="198"/>
  <c r="E54" i="198"/>
  <c r="D54" i="198"/>
  <c r="L51" i="198"/>
  <c r="K51" i="198"/>
  <c r="J51" i="198"/>
  <c r="I51" i="198"/>
  <c r="H51" i="198"/>
  <c r="G51" i="198"/>
  <c r="F51" i="198"/>
  <c r="E51" i="198"/>
  <c r="D51" i="198"/>
  <c r="A51" i="198"/>
  <c r="A50" i="198"/>
  <c r="L49" i="198"/>
  <c r="K49" i="198"/>
  <c r="J49" i="198"/>
  <c r="I49" i="198"/>
  <c r="H49" i="198"/>
  <c r="G49" i="198"/>
  <c r="F49" i="198"/>
  <c r="E49" i="198"/>
  <c r="D49" i="198"/>
  <c r="A49" i="198"/>
  <c r="L48" i="198"/>
  <c r="K48" i="198"/>
  <c r="J48" i="198"/>
  <c r="I48" i="198"/>
  <c r="H48" i="198"/>
  <c r="G48" i="198"/>
  <c r="F48" i="198"/>
  <c r="E48" i="198"/>
  <c r="D48" i="198"/>
  <c r="A48" i="198"/>
  <c r="A47" i="198"/>
  <c r="L46" i="198"/>
  <c r="K46" i="198"/>
  <c r="J46" i="198"/>
  <c r="I46" i="198"/>
  <c r="H46" i="198"/>
  <c r="G46" i="198"/>
  <c r="F46" i="198"/>
  <c r="E46" i="198"/>
  <c r="D46" i="198"/>
  <c r="A46" i="198"/>
  <c r="D40" i="198"/>
  <c r="L17" i="198"/>
  <c r="K17" i="198"/>
  <c r="J17" i="198"/>
  <c r="I17" i="198"/>
  <c r="H17" i="198"/>
  <c r="G17" i="198"/>
  <c r="F17" i="198"/>
  <c r="E17" i="198"/>
  <c r="D17" i="198"/>
  <c r="I3" i="198"/>
  <c r="H3" i="198"/>
  <c r="G3" i="198"/>
  <c r="F3" i="198"/>
  <c r="E3" i="198"/>
  <c r="D3" i="198"/>
  <c r="J2" i="198"/>
  <c r="C2" i="198"/>
  <c r="K37" i="200"/>
  <c r="P239" i="204" s="1"/>
  <c r="J37" i="200"/>
  <c r="O239" i="204" s="1"/>
  <c r="I37" i="200"/>
  <c r="N239" i="204" s="1"/>
  <c r="H37" i="200"/>
  <c r="G37" i="200"/>
  <c r="G39" i="200" s="1"/>
  <c r="F37" i="200"/>
  <c r="E37" i="200"/>
  <c r="D37" i="200"/>
  <c r="C44" i="279" s="1"/>
  <c r="C37" i="200"/>
  <c r="K28" i="200"/>
  <c r="P230" i="204" s="1"/>
  <c r="J28" i="200"/>
  <c r="O230" i="204" s="1"/>
  <c r="I28" i="200"/>
  <c r="N230" i="204" s="1"/>
  <c r="H28" i="200"/>
  <c r="G43" i="279" s="1"/>
  <c r="G28" i="200"/>
  <c r="F28" i="200"/>
  <c r="E28" i="200"/>
  <c r="D43" i="279" s="1"/>
  <c r="D28" i="200"/>
  <c r="C28" i="200"/>
  <c r="K18" i="200"/>
  <c r="P220" i="204" s="1"/>
  <c r="J18" i="200"/>
  <c r="O220" i="204" s="1"/>
  <c r="I18" i="200"/>
  <c r="N220" i="204" s="1"/>
  <c r="H18" i="200"/>
  <c r="G18" i="200"/>
  <c r="F42" i="279"/>
  <c r="F18" i="200"/>
  <c r="E18" i="200"/>
  <c r="D18" i="200"/>
  <c r="C18" i="200"/>
  <c r="H3" i="200"/>
  <c r="G3" i="200"/>
  <c r="F3" i="200"/>
  <c r="E3" i="200"/>
  <c r="D3" i="200"/>
  <c r="C3" i="200"/>
  <c r="I2" i="200"/>
  <c r="B2" i="200"/>
  <c r="A2" i="200"/>
  <c r="K48" i="201"/>
  <c r="J39" i="279" s="1"/>
  <c r="J48" i="201"/>
  <c r="K56" i="198" s="1"/>
  <c r="I48" i="201"/>
  <c r="J56" i="198" s="1"/>
  <c r="J10" i="198" s="1"/>
  <c r="H48" i="201"/>
  <c r="G39" i="279" s="1"/>
  <c r="G48" i="201"/>
  <c r="F39" i="279" s="1"/>
  <c r="F48" i="201"/>
  <c r="G56" i="198" s="1"/>
  <c r="E48" i="201"/>
  <c r="F56" i="198" s="1"/>
  <c r="F10" i="198" s="1"/>
  <c r="D48" i="201"/>
  <c r="E56" i="198" s="1"/>
  <c r="E10" i="198" s="1"/>
  <c r="C48" i="201"/>
  <c r="D56" i="198" s="1"/>
  <c r="K39" i="201"/>
  <c r="J39" i="201"/>
  <c r="I38" i="279" s="1"/>
  <c r="I39" i="201"/>
  <c r="H39" i="201"/>
  <c r="G38" i="279"/>
  <c r="G39" i="201"/>
  <c r="F39" i="201"/>
  <c r="E38" i="279" s="1"/>
  <c r="E39" i="201"/>
  <c r="D39" i="201"/>
  <c r="C38" i="279" s="1"/>
  <c r="C39" i="201"/>
  <c r="C40" i="201" s="1"/>
  <c r="K34" i="201"/>
  <c r="J37" i="279" s="1"/>
  <c r="J34" i="201"/>
  <c r="I34" i="201"/>
  <c r="H34" i="201"/>
  <c r="I59" i="198" s="1"/>
  <c r="G34" i="201"/>
  <c r="F37" i="279" s="1"/>
  <c r="F34" i="201"/>
  <c r="G59" i="198" s="1"/>
  <c r="G14" i="198" s="1"/>
  <c r="E34" i="201"/>
  <c r="E40" i="201" s="1"/>
  <c r="D34" i="201"/>
  <c r="C34" i="201"/>
  <c r="K24" i="201"/>
  <c r="J24" i="201"/>
  <c r="I36" i="279" s="1"/>
  <c r="I24" i="201"/>
  <c r="H36" i="279" s="1"/>
  <c r="H24" i="201"/>
  <c r="G36" i="279" s="1"/>
  <c r="G24" i="201"/>
  <c r="F24" i="201"/>
  <c r="E36" i="279" s="1"/>
  <c r="E24" i="201"/>
  <c r="D36" i="279" s="1"/>
  <c r="D24" i="201"/>
  <c r="C24" i="201"/>
  <c r="B36" i="279" s="1"/>
  <c r="K12" i="201"/>
  <c r="L58" i="198" s="1"/>
  <c r="J12" i="201"/>
  <c r="I35" i="279" s="1"/>
  <c r="I12" i="201"/>
  <c r="H35" i="279" s="1"/>
  <c r="H12" i="201"/>
  <c r="I58" i="198" s="1"/>
  <c r="G12" i="201"/>
  <c r="H58" i="198" s="1"/>
  <c r="F12" i="201"/>
  <c r="E12" i="201"/>
  <c r="D12" i="201"/>
  <c r="E58" i="198" s="1"/>
  <c r="C12" i="201"/>
  <c r="H3" i="201"/>
  <c r="G3" i="201"/>
  <c r="F3" i="201"/>
  <c r="E3" i="201"/>
  <c r="D3" i="201"/>
  <c r="C3" i="201"/>
  <c r="I2" i="201"/>
  <c r="B2" i="201"/>
  <c r="A2" i="201"/>
  <c r="K174" i="202"/>
  <c r="L53" i="198" s="1"/>
  <c r="J174" i="202"/>
  <c r="K53" i="198" s="1"/>
  <c r="I174" i="202"/>
  <c r="I178" i="202" s="1"/>
  <c r="H174" i="202"/>
  <c r="H178" i="202" s="1"/>
  <c r="G174" i="202"/>
  <c r="H53" i="198" s="1"/>
  <c r="F174" i="202"/>
  <c r="F178" i="202" s="1"/>
  <c r="E174" i="202"/>
  <c r="F53" i="198"/>
  <c r="D174" i="202"/>
  <c r="E53" i="198" s="1"/>
  <c r="C174" i="202"/>
  <c r="C178" i="202" s="1"/>
  <c r="K165" i="202"/>
  <c r="J165" i="202"/>
  <c r="I165" i="202"/>
  <c r="H165" i="202"/>
  <c r="H164" i="202" s="1"/>
  <c r="G165" i="202"/>
  <c r="G164" i="202" s="1"/>
  <c r="F165" i="202"/>
  <c r="F164" i="202" s="1"/>
  <c r="E165" i="202"/>
  <c r="E164" i="202" s="1"/>
  <c r="D165" i="202"/>
  <c r="C165" i="202"/>
  <c r="C164" i="202" s="1"/>
  <c r="D164" i="202"/>
  <c r="K162" i="202"/>
  <c r="J162" i="202"/>
  <c r="I162" i="202"/>
  <c r="H162" i="202"/>
  <c r="H161" i="202" s="1"/>
  <c r="G162" i="202"/>
  <c r="G161" i="202" s="1"/>
  <c r="F162" i="202"/>
  <c r="F161" i="202" s="1"/>
  <c r="E162" i="202"/>
  <c r="E161" i="202" s="1"/>
  <c r="D162" i="202"/>
  <c r="D161" i="202" s="1"/>
  <c r="C162" i="202"/>
  <c r="C161" i="202" s="1"/>
  <c r="J161" i="202"/>
  <c r="O196" i="204" s="1"/>
  <c r="K159" i="202"/>
  <c r="K158" i="202" s="1"/>
  <c r="P193" i="204" s="1"/>
  <c r="J159" i="202"/>
  <c r="O194" i="204" s="1"/>
  <c r="I159" i="202"/>
  <c r="I158" i="202" s="1"/>
  <c r="N193" i="204" s="1"/>
  <c r="H159" i="202"/>
  <c r="G159" i="202"/>
  <c r="G158" i="202" s="1"/>
  <c r="F159" i="202"/>
  <c r="F158" i="202" s="1"/>
  <c r="E159" i="202"/>
  <c r="E158" i="202" s="1"/>
  <c r="D159" i="202"/>
  <c r="D158" i="202" s="1"/>
  <c r="C159" i="202"/>
  <c r="C158" i="202" s="1"/>
  <c r="H158" i="202"/>
  <c r="K156" i="202"/>
  <c r="K155" i="202" s="1"/>
  <c r="P190" i="204" s="1"/>
  <c r="J156" i="202"/>
  <c r="O191" i="204" s="1"/>
  <c r="I156" i="202"/>
  <c r="N191" i="204" s="1"/>
  <c r="M191" i="204" s="1"/>
  <c r="H156" i="202"/>
  <c r="H155" i="202" s="1"/>
  <c r="G156" i="202"/>
  <c r="G155" i="202" s="1"/>
  <c r="F156" i="202"/>
  <c r="F155" i="202" s="1"/>
  <c r="E156" i="202"/>
  <c r="E155" i="202" s="1"/>
  <c r="D156" i="202"/>
  <c r="D155" i="202" s="1"/>
  <c r="C156" i="202"/>
  <c r="C155" i="202" s="1"/>
  <c r="K153" i="202"/>
  <c r="P188" i="204" s="1"/>
  <c r="J153" i="202"/>
  <c r="J152" i="202" s="1"/>
  <c r="O187" i="204" s="1"/>
  <c r="I153" i="202"/>
  <c r="N188" i="204" s="1"/>
  <c r="M188" i="204" s="1"/>
  <c r="H153" i="202"/>
  <c r="H152" i="202" s="1"/>
  <c r="G153" i="202"/>
  <c r="G152" i="202" s="1"/>
  <c r="F153" i="202"/>
  <c r="F152" i="202" s="1"/>
  <c r="E153" i="202"/>
  <c r="E152" i="202" s="1"/>
  <c r="D153" i="202"/>
  <c r="D152" i="202" s="1"/>
  <c r="C153" i="202"/>
  <c r="C152" i="202" s="1"/>
  <c r="K150" i="202"/>
  <c r="P185" i="204" s="1"/>
  <c r="J150" i="202"/>
  <c r="O185" i="204" s="1"/>
  <c r="I150" i="202"/>
  <c r="N185" i="204" s="1"/>
  <c r="H150" i="202"/>
  <c r="H149" i="202" s="1"/>
  <c r="G150" i="202"/>
  <c r="G149" i="202"/>
  <c r="F150" i="202"/>
  <c r="F149" i="202" s="1"/>
  <c r="E150" i="202"/>
  <c r="E149" i="202" s="1"/>
  <c r="D150" i="202"/>
  <c r="D149" i="202" s="1"/>
  <c r="C150" i="202"/>
  <c r="C149" i="202" s="1"/>
  <c r="K147" i="202"/>
  <c r="J147" i="202"/>
  <c r="I147" i="202"/>
  <c r="H147" i="202"/>
  <c r="G147" i="202"/>
  <c r="F147" i="202"/>
  <c r="E147" i="202"/>
  <c r="D147" i="202"/>
  <c r="C147" i="202"/>
  <c r="K146" i="202"/>
  <c r="J146" i="202"/>
  <c r="I146" i="202"/>
  <c r="H146" i="202"/>
  <c r="G146" i="202"/>
  <c r="F146" i="202"/>
  <c r="E146" i="202"/>
  <c r="D146" i="202"/>
  <c r="C146" i="202"/>
  <c r="K145" i="202"/>
  <c r="J145" i="202"/>
  <c r="I145" i="202"/>
  <c r="H145" i="202"/>
  <c r="G145" i="202"/>
  <c r="F145" i="202"/>
  <c r="E145" i="202"/>
  <c r="D145" i="202"/>
  <c r="C145" i="202"/>
  <c r="K144" i="202"/>
  <c r="J144" i="202"/>
  <c r="I144" i="202"/>
  <c r="H144" i="202"/>
  <c r="G144" i="202"/>
  <c r="F144" i="202"/>
  <c r="E144" i="202"/>
  <c r="D144" i="202"/>
  <c r="C144" i="202"/>
  <c r="K143" i="202"/>
  <c r="J143" i="202"/>
  <c r="I143" i="202"/>
  <c r="H143" i="202"/>
  <c r="G143" i="202"/>
  <c r="F143" i="202"/>
  <c r="E143" i="202"/>
  <c r="D143" i="202"/>
  <c r="C143" i="202"/>
  <c r="K142" i="202"/>
  <c r="J142" i="202"/>
  <c r="I142" i="202"/>
  <c r="H142" i="202"/>
  <c r="G142" i="202"/>
  <c r="F142" i="202"/>
  <c r="E142" i="202"/>
  <c r="D142" i="202"/>
  <c r="C142" i="202"/>
  <c r="F141" i="202"/>
  <c r="K140" i="202"/>
  <c r="J140" i="202"/>
  <c r="I140" i="202"/>
  <c r="H140" i="202"/>
  <c r="G140" i="202"/>
  <c r="F140" i="202"/>
  <c r="E140" i="202"/>
  <c r="D140" i="202"/>
  <c r="C140" i="202"/>
  <c r="K137" i="202"/>
  <c r="J137" i="202"/>
  <c r="I137" i="202"/>
  <c r="H137" i="202"/>
  <c r="H136" i="202" s="1"/>
  <c r="G137" i="202"/>
  <c r="G136" i="202" s="1"/>
  <c r="F137" i="202"/>
  <c r="F136" i="202" s="1"/>
  <c r="E137" i="202"/>
  <c r="E136" i="202" s="1"/>
  <c r="D137" i="202"/>
  <c r="D136" i="202" s="1"/>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I132" i="202"/>
  <c r="H132" i="202"/>
  <c r="G132" i="202"/>
  <c r="F132" i="202"/>
  <c r="F131" i="202" s="1"/>
  <c r="E132" i="202"/>
  <c r="D132" i="202"/>
  <c r="C132" i="202"/>
  <c r="C131"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E123" i="202"/>
  <c r="D123" i="202"/>
  <c r="C123" i="202"/>
  <c r="K122" i="202"/>
  <c r="J122" i="202"/>
  <c r="I122" i="202"/>
  <c r="H122" i="202"/>
  <c r="G122" i="202"/>
  <c r="F122" i="202"/>
  <c r="E122" i="202"/>
  <c r="D122" i="202"/>
  <c r="C122" i="202"/>
  <c r="K121" i="202"/>
  <c r="J121" i="202"/>
  <c r="I121" i="202"/>
  <c r="H121" i="202"/>
  <c r="G121" i="202"/>
  <c r="F121" i="202"/>
  <c r="E121" i="202"/>
  <c r="D121" i="202"/>
  <c r="C121" i="202"/>
  <c r="K120" i="202"/>
  <c r="J120" i="202"/>
  <c r="I120" i="202"/>
  <c r="H120" i="202"/>
  <c r="G120" i="202"/>
  <c r="F120" i="202"/>
  <c r="E120" i="202"/>
  <c r="D120" i="202"/>
  <c r="C120" i="202"/>
  <c r="K116" i="202"/>
  <c r="J116" i="202"/>
  <c r="I116" i="202"/>
  <c r="H116" i="202"/>
  <c r="G116" i="202"/>
  <c r="F116" i="202"/>
  <c r="E116" i="202"/>
  <c r="D116" i="202"/>
  <c r="C116" i="202"/>
  <c r="K115" i="202"/>
  <c r="J115" i="202"/>
  <c r="I115" i="202"/>
  <c r="H115" i="202"/>
  <c r="H114" i="202" s="1"/>
  <c r="G115" i="202"/>
  <c r="F115" i="202"/>
  <c r="E115" i="202"/>
  <c r="D115" i="202"/>
  <c r="D114" i="202" s="1"/>
  <c r="C115" i="202"/>
  <c r="C114" i="202" s="1"/>
  <c r="K113" i="202"/>
  <c r="J113" i="202"/>
  <c r="I113" i="202"/>
  <c r="H113" i="202"/>
  <c r="G113" i="202"/>
  <c r="F113" i="202"/>
  <c r="E113" i="202"/>
  <c r="D113" i="202"/>
  <c r="C113" i="202"/>
  <c r="K112" i="202"/>
  <c r="J112" i="202"/>
  <c r="I112" i="202"/>
  <c r="H112" i="202"/>
  <c r="G112" i="202"/>
  <c r="G111" i="202" s="1"/>
  <c r="F112" i="202"/>
  <c r="E112" i="202"/>
  <c r="E111" i="202" s="1"/>
  <c r="D112" i="202"/>
  <c r="C112" i="202"/>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G103" i="202" s="1"/>
  <c r="F104" i="202"/>
  <c r="E104" i="202"/>
  <c r="D104" i="202"/>
  <c r="C104" i="202"/>
  <c r="K101" i="202"/>
  <c r="J101" i="202"/>
  <c r="I101" i="202"/>
  <c r="H101" i="202"/>
  <c r="G101" i="202"/>
  <c r="F101" i="202"/>
  <c r="E101" i="202"/>
  <c r="D101" i="202"/>
  <c r="C101" i="202"/>
  <c r="K100" i="202"/>
  <c r="K98" i="202" s="1"/>
  <c r="P133" i="204" s="1"/>
  <c r="J100" i="202"/>
  <c r="O135" i="204" s="1"/>
  <c r="I100" i="202"/>
  <c r="N135" i="204" s="1"/>
  <c r="M135" i="204" s="1"/>
  <c r="H100" i="202"/>
  <c r="G100" i="202"/>
  <c r="G98" i="202" s="1"/>
  <c r="F100" i="202"/>
  <c r="E100" i="202"/>
  <c r="D100" i="202"/>
  <c r="C100" i="202"/>
  <c r="K99" i="202"/>
  <c r="J99" i="202"/>
  <c r="I99" i="202"/>
  <c r="H99" i="202"/>
  <c r="H98" i="202" s="1"/>
  <c r="G99" i="202"/>
  <c r="F99" i="202"/>
  <c r="E99" i="202"/>
  <c r="D99" i="202"/>
  <c r="D98" i="202" s="1"/>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P112" i="204" s="1"/>
  <c r="J77" i="202"/>
  <c r="O112" i="204" s="1"/>
  <c r="I77" i="202"/>
  <c r="N112" i="204" s="1"/>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E68" i="202" s="1"/>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C52" i="202" s="1"/>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C26" i="202"/>
  <c r="K25" i="202"/>
  <c r="J25" i="202"/>
  <c r="I25" i="202"/>
  <c r="H25" i="202"/>
  <c r="G25" i="202"/>
  <c r="F25" i="202"/>
  <c r="E25" i="202"/>
  <c r="D25" i="202"/>
  <c r="C25" i="202"/>
  <c r="K24" i="202"/>
  <c r="J24" i="202"/>
  <c r="I24" i="202"/>
  <c r="H24" i="202"/>
  <c r="G24" i="202"/>
  <c r="F24" i="202"/>
  <c r="E24" i="202"/>
  <c r="E16" i="202" s="1"/>
  <c r="D24" i="202"/>
  <c r="C24" i="202"/>
  <c r="K23" i="202"/>
  <c r="J23" i="202"/>
  <c r="I23" i="202"/>
  <c r="H23" i="202"/>
  <c r="G23" i="202"/>
  <c r="F23" i="202"/>
  <c r="F16" i="202" s="1"/>
  <c r="E23" i="202"/>
  <c r="D23" i="202"/>
  <c r="C23" i="202"/>
  <c r="K22" i="202"/>
  <c r="J22" i="202"/>
  <c r="I22" i="202"/>
  <c r="H22" i="202"/>
  <c r="G22" i="202"/>
  <c r="F22" i="202"/>
  <c r="E22" i="202"/>
  <c r="D22" i="202"/>
  <c r="C22" i="202"/>
  <c r="K21" i="202"/>
  <c r="J21" i="202"/>
  <c r="I21" i="202"/>
  <c r="H21" i="202"/>
  <c r="H16" i="202" s="1"/>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C16" i="202" s="1"/>
  <c r="K17" i="202"/>
  <c r="J17" i="202"/>
  <c r="I17" i="202"/>
  <c r="H17" i="202"/>
  <c r="G17" i="202"/>
  <c r="F17" i="202"/>
  <c r="E17" i="202"/>
  <c r="D17" i="202"/>
  <c r="D16" i="202" s="1"/>
  <c r="C17" i="202"/>
  <c r="K15" i="202"/>
  <c r="J15" i="202"/>
  <c r="I15" i="202"/>
  <c r="H15" i="202"/>
  <c r="G15" i="202"/>
  <c r="F15" i="202"/>
  <c r="E15" i="202"/>
  <c r="D15" i="202"/>
  <c r="C15" i="202"/>
  <c r="K14" i="202"/>
  <c r="J14" i="202"/>
  <c r="I14" i="202"/>
  <c r="H14" i="202"/>
  <c r="G14" i="202"/>
  <c r="F14" i="202"/>
  <c r="F12" i="202" s="1"/>
  <c r="E14" i="202"/>
  <c r="D14" i="202"/>
  <c r="C14" i="202"/>
  <c r="K13" i="202"/>
  <c r="J13" i="202"/>
  <c r="I13" i="202"/>
  <c r="H13" i="202"/>
  <c r="G13" i="202"/>
  <c r="G12" i="202" s="1"/>
  <c r="F13" i="202"/>
  <c r="E13" i="202"/>
  <c r="D13" i="202"/>
  <c r="C13" i="202"/>
  <c r="C12" i="202" s="1"/>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F7" i="202" s="1"/>
  <c r="E8" i="202"/>
  <c r="D8" i="202"/>
  <c r="C8" i="202"/>
  <c r="C7" i="202" s="1"/>
  <c r="H3" i="202"/>
  <c r="G3" i="202"/>
  <c r="F3" i="202"/>
  <c r="E3" i="202"/>
  <c r="D3" i="202"/>
  <c r="C3" i="202"/>
  <c r="I2" i="202"/>
  <c r="B2" i="202"/>
  <c r="A2" i="202"/>
  <c r="K35" i="65"/>
  <c r="J35" i="65"/>
  <c r="K50" i="198" s="1"/>
  <c r="K7" i="198" s="1"/>
  <c r="I35" i="65"/>
  <c r="H35" i="65"/>
  <c r="H37" i="65" s="1"/>
  <c r="H41" i="65" s="1"/>
  <c r="H43" i="65" s="1"/>
  <c r="G35" i="65"/>
  <c r="H50" i="198" s="1"/>
  <c r="H7" i="198" s="1"/>
  <c r="F35" i="65"/>
  <c r="G50" i="198" s="1"/>
  <c r="E35" i="65"/>
  <c r="F50" i="198" s="1"/>
  <c r="D35" i="65"/>
  <c r="E50" i="198" s="1"/>
  <c r="C35" i="65"/>
  <c r="D50" i="198" s="1"/>
  <c r="W21" i="65"/>
  <c r="V21" i="65"/>
  <c r="U21" i="65"/>
  <c r="T21" i="65"/>
  <c r="S21" i="65"/>
  <c r="R21" i="65"/>
  <c r="Q21" i="65"/>
  <c r="P21" i="65"/>
  <c r="O21" i="65"/>
  <c r="N21" i="65"/>
  <c r="M21" i="65"/>
  <c r="L21" i="65"/>
  <c r="K21" i="65"/>
  <c r="L65" i="198" s="1"/>
  <c r="J21" i="65"/>
  <c r="K65" i="198" s="1"/>
  <c r="I21" i="65"/>
  <c r="J65" i="198" s="1"/>
  <c r="H21" i="65"/>
  <c r="I65" i="198" s="1"/>
  <c r="G21" i="65"/>
  <c r="H65" i="198" s="1"/>
  <c r="G65" i="198"/>
  <c r="G68" i="198" s="1"/>
  <c r="G38" i="198" s="1"/>
  <c r="E21" i="65"/>
  <c r="E37" i="65" s="1"/>
  <c r="E41" i="65" s="1"/>
  <c r="E43" i="65" s="1"/>
  <c r="D21" i="65"/>
  <c r="E65" i="198" s="1"/>
  <c r="C21" i="65"/>
  <c r="H3" i="65"/>
  <c r="G3" i="65"/>
  <c r="F3" i="65"/>
  <c r="E3" i="65"/>
  <c r="D3" i="65"/>
  <c r="C3" i="65"/>
  <c r="I2" i="65"/>
  <c r="B2" i="65"/>
  <c r="A2" i="65"/>
  <c r="J44" i="279"/>
  <c r="H44" i="279"/>
  <c r="G44" i="279"/>
  <c r="E44" i="279"/>
  <c r="D44" i="279"/>
  <c r="B44" i="279"/>
  <c r="H43" i="279"/>
  <c r="F43" i="279"/>
  <c r="E43" i="279"/>
  <c r="C43" i="279"/>
  <c r="G42" i="279"/>
  <c r="E42" i="279"/>
  <c r="C42" i="279"/>
  <c r="B42" i="279"/>
  <c r="I39" i="279"/>
  <c r="E39" i="279"/>
  <c r="D39" i="279"/>
  <c r="B39" i="279"/>
  <c r="J38" i="279"/>
  <c r="H38" i="279"/>
  <c r="F38" i="279"/>
  <c r="D38" i="279"/>
  <c r="F36" i="279"/>
  <c r="D35" i="279"/>
  <c r="C35" i="279"/>
  <c r="B35" i="279"/>
  <c r="J31" i="279"/>
  <c r="I31" i="279"/>
  <c r="H31" i="279"/>
  <c r="G31" i="279"/>
  <c r="F31" i="279"/>
  <c r="E31" i="279"/>
  <c r="D31" i="279"/>
  <c r="C31" i="279"/>
  <c r="B31" i="279"/>
  <c r="J30" i="279"/>
  <c r="I30" i="279"/>
  <c r="H30" i="279"/>
  <c r="G30" i="279"/>
  <c r="G32" i="279" s="1"/>
  <c r="F30" i="279"/>
  <c r="E30" i="279"/>
  <c r="D30" i="279"/>
  <c r="C30" i="279"/>
  <c r="B30" i="279"/>
  <c r="I28" i="279"/>
  <c r="H28" i="279"/>
  <c r="G28" i="279"/>
  <c r="F28" i="279"/>
  <c r="E28" i="279"/>
  <c r="D28" i="279"/>
  <c r="D32" i="279" s="1"/>
  <c r="C28" i="279"/>
  <c r="C32" i="279" s="1"/>
  <c r="B28" i="279"/>
  <c r="J23" i="279"/>
  <c r="I23" i="279"/>
  <c r="H23" i="279"/>
  <c r="G23" i="279"/>
  <c r="F23" i="279"/>
  <c r="E23" i="279"/>
  <c r="D23" i="279"/>
  <c r="C23" i="279"/>
  <c r="B23" i="279"/>
  <c r="J21" i="279"/>
  <c r="I21" i="279"/>
  <c r="H21" i="279"/>
  <c r="G21" i="279"/>
  <c r="F21" i="279"/>
  <c r="E21" i="279"/>
  <c r="D21" i="279"/>
  <c r="C21" i="279"/>
  <c r="B21" i="279"/>
  <c r="A21" i="279"/>
  <c r="J20" i="279"/>
  <c r="I20" i="279"/>
  <c r="H20" i="279"/>
  <c r="G20" i="279"/>
  <c r="F20" i="279"/>
  <c r="E20" i="279"/>
  <c r="D20" i="279"/>
  <c r="C20" i="279"/>
  <c r="B20" i="279"/>
  <c r="A20" i="279"/>
  <c r="J16" i="279"/>
  <c r="I16" i="279"/>
  <c r="H16" i="279"/>
  <c r="G16" i="279"/>
  <c r="F16" i="279"/>
  <c r="E16" i="279"/>
  <c r="D16" i="279"/>
  <c r="C16" i="279"/>
  <c r="B16" i="279"/>
  <c r="J15" i="279"/>
  <c r="I15" i="279"/>
  <c r="H15" i="279"/>
  <c r="G15" i="279"/>
  <c r="F15" i="279"/>
  <c r="E15" i="279"/>
  <c r="D15" i="279"/>
  <c r="C15" i="279"/>
  <c r="B15" i="279"/>
  <c r="J14" i="279"/>
  <c r="I14" i="279"/>
  <c r="H14" i="279"/>
  <c r="G14" i="279"/>
  <c r="F14" i="279"/>
  <c r="E14" i="279"/>
  <c r="D14" i="279"/>
  <c r="C14" i="279"/>
  <c r="B14" i="279"/>
  <c r="J13" i="279"/>
  <c r="I13" i="279"/>
  <c r="H13" i="279"/>
  <c r="G13" i="279"/>
  <c r="F13" i="279"/>
  <c r="E13" i="279"/>
  <c r="D13" i="279"/>
  <c r="C13" i="279"/>
  <c r="B13" i="279"/>
  <c r="J12" i="279"/>
  <c r="I12" i="279"/>
  <c r="H12" i="279"/>
  <c r="G12" i="279"/>
  <c r="F12" i="279"/>
  <c r="E12" i="279"/>
  <c r="D12" i="279"/>
  <c r="C12" i="279"/>
  <c r="B12" i="279"/>
  <c r="J11" i="279"/>
  <c r="I11" i="279"/>
  <c r="H11" i="279"/>
  <c r="G11" i="279"/>
  <c r="F11" i="279"/>
  <c r="E11" i="279"/>
  <c r="D11" i="279"/>
  <c r="C11" i="279"/>
  <c r="B11" i="279"/>
  <c r="J9" i="279"/>
  <c r="I9" i="279"/>
  <c r="H9" i="279"/>
  <c r="G9" i="279"/>
  <c r="F9" i="279"/>
  <c r="E9" i="279"/>
  <c r="D9" i="279"/>
  <c r="C9" i="279"/>
  <c r="B9" i="279"/>
  <c r="J8" i="279"/>
  <c r="I8" i="279"/>
  <c r="H8" i="279"/>
  <c r="G8" i="279"/>
  <c r="F8" i="279"/>
  <c r="D8" i="279"/>
  <c r="C8" i="279"/>
  <c r="B8" i="279"/>
  <c r="J7" i="279"/>
  <c r="I7" i="279"/>
  <c r="H7" i="279"/>
  <c r="G7" i="279"/>
  <c r="F7" i="279"/>
  <c r="E7" i="279"/>
  <c r="D7" i="279"/>
  <c r="C7" i="279"/>
  <c r="B7" i="279"/>
  <c r="J6" i="279"/>
  <c r="I6" i="279"/>
  <c r="H6" i="279"/>
  <c r="G6" i="279"/>
  <c r="F6" i="279"/>
  <c r="E6" i="279"/>
  <c r="D6" i="279"/>
  <c r="C6" i="279"/>
  <c r="B6" i="279"/>
  <c r="J5" i="279"/>
  <c r="I5" i="279"/>
  <c r="H5" i="279"/>
  <c r="G5" i="279"/>
  <c r="F5" i="279"/>
  <c r="E5" i="279"/>
  <c r="D5" i="279"/>
  <c r="C5" i="279"/>
  <c r="B5" i="279"/>
  <c r="G3" i="279"/>
  <c r="F3" i="279"/>
  <c r="E3" i="279"/>
  <c r="D3" i="279"/>
  <c r="C3" i="279"/>
  <c r="B3" i="279"/>
  <c r="H2" i="279"/>
  <c r="A2" i="279"/>
  <c r="B308" i="346"/>
  <c r="B28" i="346"/>
  <c r="O24" i="346"/>
  <c r="N24" i="346"/>
  <c r="M24" i="346"/>
  <c r="L24" i="346"/>
  <c r="K24" i="346"/>
  <c r="J24" i="346"/>
  <c r="I24" i="346"/>
  <c r="H24" i="346"/>
  <c r="G24" i="346"/>
  <c r="F24" i="346"/>
  <c r="E24" i="346"/>
  <c r="A24" i="346"/>
  <c r="O23" i="346"/>
  <c r="N23" i="346"/>
  <c r="M23" i="346"/>
  <c r="L23" i="346"/>
  <c r="K23" i="346"/>
  <c r="J23" i="346"/>
  <c r="I23" i="346"/>
  <c r="H23" i="346"/>
  <c r="G23" i="346"/>
  <c r="F23" i="346"/>
  <c r="E23" i="346"/>
  <c r="O22" i="346"/>
  <c r="N22" i="346"/>
  <c r="M22" i="346"/>
  <c r="L22" i="346"/>
  <c r="K22" i="346"/>
  <c r="J22" i="346"/>
  <c r="I22" i="346"/>
  <c r="H22" i="346"/>
  <c r="G22" i="346"/>
  <c r="F22" i="346"/>
  <c r="E22" i="346"/>
  <c r="A22" i="346"/>
  <c r="O21" i="346"/>
  <c r="N21" i="346"/>
  <c r="M21" i="346"/>
  <c r="L21" i="346"/>
  <c r="K21" i="346"/>
  <c r="J21" i="346"/>
  <c r="I21" i="346"/>
  <c r="H21" i="346"/>
  <c r="G21" i="346"/>
  <c r="F21" i="346"/>
  <c r="E21" i="346"/>
  <c r="A21" i="346"/>
  <c r="O20" i="346"/>
  <c r="N20" i="346"/>
  <c r="M20" i="346"/>
  <c r="L20" i="346"/>
  <c r="K20" i="346"/>
  <c r="J20" i="346"/>
  <c r="I20" i="346"/>
  <c r="H20" i="346"/>
  <c r="G20" i="346"/>
  <c r="F20" i="346"/>
  <c r="E20" i="346"/>
  <c r="A20" i="346"/>
  <c r="O19" i="346"/>
  <c r="N19" i="346"/>
  <c r="M19" i="346"/>
  <c r="L19" i="346"/>
  <c r="K19" i="346"/>
  <c r="J19" i="346"/>
  <c r="I19" i="346"/>
  <c r="H19" i="346"/>
  <c r="G19" i="346"/>
  <c r="F19" i="346"/>
  <c r="E19" i="346"/>
  <c r="A19" i="346"/>
  <c r="O18" i="346"/>
  <c r="N18" i="346"/>
  <c r="M18" i="346"/>
  <c r="L18" i="346"/>
  <c r="K18" i="346"/>
  <c r="J18" i="346"/>
  <c r="I18" i="346"/>
  <c r="H18" i="346"/>
  <c r="G18" i="346"/>
  <c r="F18" i="346"/>
  <c r="E18" i="346"/>
  <c r="A18" i="346"/>
  <c r="O17" i="346"/>
  <c r="N17" i="346"/>
  <c r="M17" i="346"/>
  <c r="L17" i="346"/>
  <c r="K17" i="346"/>
  <c r="J17" i="346"/>
  <c r="I17" i="346"/>
  <c r="H17" i="346"/>
  <c r="G17" i="346"/>
  <c r="F17" i="346"/>
  <c r="E17" i="346"/>
  <c r="A17" i="346"/>
  <c r="O16" i="346"/>
  <c r="N16" i="346"/>
  <c r="M16" i="346"/>
  <c r="L16" i="346"/>
  <c r="K16" i="346"/>
  <c r="J16" i="346"/>
  <c r="I16" i="346"/>
  <c r="H16" i="346"/>
  <c r="G16" i="346"/>
  <c r="F16" i="346"/>
  <c r="E16" i="346"/>
  <c r="A16" i="346"/>
  <c r="O15" i="346"/>
  <c r="N15" i="346"/>
  <c r="M15" i="346"/>
  <c r="L15" i="346"/>
  <c r="K15" i="346"/>
  <c r="J15" i="346"/>
  <c r="I15" i="346"/>
  <c r="H15" i="346"/>
  <c r="G15" i="346"/>
  <c r="F15" i="346"/>
  <c r="E15" i="346"/>
  <c r="A15" i="346"/>
  <c r="O14" i="346"/>
  <c r="N14" i="346"/>
  <c r="M14" i="346"/>
  <c r="L14" i="346"/>
  <c r="K14" i="346"/>
  <c r="J14" i="346"/>
  <c r="I14" i="346"/>
  <c r="H14" i="346"/>
  <c r="G14" i="346"/>
  <c r="F14" i="346"/>
  <c r="E14" i="346"/>
  <c r="A14" i="346"/>
  <c r="O13" i="346"/>
  <c r="N13" i="346"/>
  <c r="M13" i="346"/>
  <c r="L13" i="346"/>
  <c r="K13" i="346"/>
  <c r="J13" i="346"/>
  <c r="I13" i="346"/>
  <c r="H13" i="346"/>
  <c r="G13" i="346"/>
  <c r="F13" i="346"/>
  <c r="E13" i="346"/>
  <c r="A13" i="346"/>
  <c r="O12" i="346"/>
  <c r="N12" i="346"/>
  <c r="M12" i="346"/>
  <c r="L12" i="346"/>
  <c r="K12" i="346"/>
  <c r="J12" i="346"/>
  <c r="I12" i="346"/>
  <c r="H12" i="346"/>
  <c r="G12" i="346"/>
  <c r="F12" i="346"/>
  <c r="E12" i="346"/>
  <c r="A12" i="346"/>
  <c r="O11" i="346"/>
  <c r="N11" i="346"/>
  <c r="M11" i="346"/>
  <c r="L11" i="346"/>
  <c r="K11" i="346"/>
  <c r="J11" i="346"/>
  <c r="I11" i="346"/>
  <c r="H11" i="346"/>
  <c r="G11" i="346"/>
  <c r="F11" i="346"/>
  <c r="E11" i="346"/>
  <c r="A11" i="346"/>
  <c r="O10" i="346"/>
  <c r="N10" i="346"/>
  <c r="M10" i="346"/>
  <c r="L10" i="346"/>
  <c r="K10" i="346"/>
  <c r="J10" i="346"/>
  <c r="I10" i="346"/>
  <c r="H10" i="346"/>
  <c r="G10" i="346"/>
  <c r="F10" i="346"/>
  <c r="E10" i="346"/>
  <c r="A10" i="346"/>
  <c r="O9" i="346"/>
  <c r="N9" i="346"/>
  <c r="M9" i="346"/>
  <c r="L9" i="346"/>
  <c r="K9" i="346"/>
  <c r="J9" i="346"/>
  <c r="I9" i="346"/>
  <c r="H9" i="346"/>
  <c r="G9" i="346"/>
  <c r="F9" i="346"/>
  <c r="E9" i="346"/>
  <c r="A9" i="346"/>
  <c r="O8" i="346"/>
  <c r="N8" i="346"/>
  <c r="M8" i="346"/>
  <c r="L8" i="346"/>
  <c r="K8" i="346"/>
  <c r="J8" i="346"/>
  <c r="I8" i="346"/>
  <c r="H8" i="346"/>
  <c r="G8" i="346"/>
  <c r="F8" i="346"/>
  <c r="E8" i="346"/>
  <c r="A8" i="346"/>
  <c r="O7" i="346"/>
  <c r="N7" i="346"/>
  <c r="M7" i="346"/>
  <c r="L7" i="346"/>
  <c r="K7" i="346"/>
  <c r="J7" i="346"/>
  <c r="I7" i="346"/>
  <c r="H7" i="346"/>
  <c r="G7" i="346"/>
  <c r="F7" i="346"/>
  <c r="E7" i="346"/>
  <c r="A7" i="346"/>
  <c r="O6" i="346"/>
  <c r="N6" i="346"/>
  <c r="M6" i="346"/>
  <c r="L6" i="346"/>
  <c r="K6" i="346"/>
  <c r="J6" i="346"/>
  <c r="I6" i="346"/>
  <c r="H6" i="346"/>
  <c r="G6" i="346"/>
  <c r="F6" i="346"/>
  <c r="E6" i="346"/>
  <c r="A6" i="346"/>
  <c r="O5" i="346"/>
  <c r="N5" i="346"/>
  <c r="M5" i="346"/>
  <c r="L5" i="346"/>
  <c r="K5" i="346"/>
  <c r="J5" i="346"/>
  <c r="I5" i="346"/>
  <c r="H5" i="346"/>
  <c r="G5" i="346"/>
  <c r="F5" i="346"/>
  <c r="E5" i="346"/>
  <c r="A5" i="346"/>
  <c r="O4" i="346"/>
  <c r="N4" i="346"/>
  <c r="M4" i="346"/>
  <c r="L4" i="346"/>
  <c r="K4" i="346"/>
  <c r="J4" i="346"/>
  <c r="I4" i="346"/>
  <c r="H4" i="346"/>
  <c r="G4" i="346"/>
  <c r="F4" i="346"/>
  <c r="E4" i="346"/>
  <c r="A4" i="346"/>
  <c r="O3" i="346"/>
  <c r="N3" i="346"/>
  <c r="M3" i="346"/>
  <c r="L3" i="346"/>
  <c r="K3" i="346"/>
  <c r="J3" i="346"/>
  <c r="I3" i="346"/>
  <c r="H3" i="346"/>
  <c r="G3" i="346"/>
  <c r="F3" i="346"/>
  <c r="E3" i="346"/>
  <c r="A3" i="346"/>
  <c r="O2" i="346"/>
  <c r="N2" i="346"/>
  <c r="M2" i="346"/>
  <c r="L2" i="346"/>
  <c r="K2" i="346"/>
  <c r="J2" i="346"/>
  <c r="I2" i="346"/>
  <c r="H2" i="346"/>
  <c r="G2" i="346"/>
  <c r="F2" i="346"/>
  <c r="E2" i="346"/>
  <c r="A2" i="346"/>
  <c r="X34" i="338"/>
  <c r="X36" i="338" s="1"/>
  <c r="B28" i="333"/>
  <c r="A1" i="337" s="1"/>
  <c r="O24" i="333"/>
  <c r="B38" i="100" s="1"/>
  <c r="N24" i="333"/>
  <c r="M24" i="333"/>
  <c r="L24" i="333"/>
  <c r="K24" i="333"/>
  <c r="J24" i="333"/>
  <c r="I24" i="333"/>
  <c r="H24" i="333"/>
  <c r="G24" i="333"/>
  <c r="F24" i="333"/>
  <c r="E24" i="333"/>
  <c r="O23" i="333"/>
  <c r="B37" i="100" s="1"/>
  <c r="N23" i="333"/>
  <c r="M23" i="333"/>
  <c r="L23" i="333"/>
  <c r="K23" i="333"/>
  <c r="J23" i="333"/>
  <c r="I23" i="333"/>
  <c r="H23" i="333"/>
  <c r="G23" i="333"/>
  <c r="F23" i="333"/>
  <c r="E23" i="333"/>
  <c r="O22" i="333"/>
  <c r="N22" i="333"/>
  <c r="M22" i="333"/>
  <c r="L22" i="333"/>
  <c r="K22" i="333"/>
  <c r="J22" i="333"/>
  <c r="I22" i="333"/>
  <c r="H22" i="333"/>
  <c r="G22" i="333"/>
  <c r="F22" i="333"/>
  <c r="E22" i="333"/>
  <c r="A22" i="333"/>
  <c r="O21" i="333"/>
  <c r="N21" i="333"/>
  <c r="M21" i="333"/>
  <c r="L21" i="333"/>
  <c r="K21" i="333"/>
  <c r="J21" i="333"/>
  <c r="I21" i="333"/>
  <c r="H21" i="333"/>
  <c r="G21" i="333"/>
  <c r="F21" i="333"/>
  <c r="E21" i="333"/>
  <c r="A21" i="333"/>
  <c r="O20" i="333"/>
  <c r="N20" i="333"/>
  <c r="M20" i="333"/>
  <c r="L20" i="333"/>
  <c r="K20" i="333"/>
  <c r="J20" i="333"/>
  <c r="I20" i="333"/>
  <c r="H20" i="333"/>
  <c r="G20" i="333"/>
  <c r="F20" i="333"/>
  <c r="E20" i="333"/>
  <c r="A20" i="333"/>
  <c r="O19" i="333"/>
  <c r="N19" i="333"/>
  <c r="M19" i="333"/>
  <c r="L19" i="333"/>
  <c r="K19" i="333"/>
  <c r="J19" i="333"/>
  <c r="I19" i="333"/>
  <c r="H19" i="333"/>
  <c r="G19" i="333"/>
  <c r="F19" i="333"/>
  <c r="E19" i="333"/>
  <c r="A19" i="333"/>
  <c r="O18" i="333"/>
  <c r="N18" i="333"/>
  <c r="M18" i="333"/>
  <c r="L18" i="333"/>
  <c r="K18" i="333"/>
  <c r="J18" i="333"/>
  <c r="I18" i="333"/>
  <c r="H18" i="333"/>
  <c r="G18" i="333"/>
  <c r="F18" i="333"/>
  <c r="E18" i="333"/>
  <c r="A18" i="333"/>
  <c r="O17" i="333"/>
  <c r="N17" i="333"/>
  <c r="M17" i="333"/>
  <c r="L17" i="333"/>
  <c r="K17" i="333"/>
  <c r="J17" i="333"/>
  <c r="I17" i="333"/>
  <c r="H17" i="333"/>
  <c r="G17" i="333"/>
  <c r="F17" i="333"/>
  <c r="E17" i="333"/>
  <c r="A17" i="333"/>
  <c r="O16" i="333"/>
  <c r="N16" i="333"/>
  <c r="M16" i="333"/>
  <c r="L16" i="333"/>
  <c r="K16" i="333"/>
  <c r="J16" i="333"/>
  <c r="I16" i="333"/>
  <c r="H16" i="333"/>
  <c r="G16" i="333"/>
  <c r="F16" i="333"/>
  <c r="E16" i="333"/>
  <c r="A16" i="333"/>
  <c r="O15" i="333"/>
  <c r="N15" i="333"/>
  <c r="M15" i="333"/>
  <c r="L15" i="333"/>
  <c r="K15" i="333"/>
  <c r="J15" i="333"/>
  <c r="I15" i="333"/>
  <c r="H15" i="333"/>
  <c r="G15" i="333"/>
  <c r="F15" i="333"/>
  <c r="E15" i="333"/>
  <c r="A15" i="333"/>
  <c r="O14" i="333"/>
  <c r="N14" i="333"/>
  <c r="M14" i="333"/>
  <c r="L14" i="333"/>
  <c r="K14" i="333"/>
  <c r="J14" i="333"/>
  <c r="I14" i="333"/>
  <c r="H14" i="333"/>
  <c r="G14" i="333"/>
  <c r="F14" i="333"/>
  <c r="E14" i="333"/>
  <c r="A14" i="333"/>
  <c r="O13" i="333"/>
  <c r="N13" i="333"/>
  <c r="M13" i="333"/>
  <c r="L13" i="333"/>
  <c r="K13" i="333"/>
  <c r="J13" i="333"/>
  <c r="I13" i="333"/>
  <c r="H13" i="333"/>
  <c r="G13" i="333"/>
  <c r="F13" i="333"/>
  <c r="E13" i="333"/>
  <c r="A13" i="333"/>
  <c r="O12" i="333"/>
  <c r="N12" i="333"/>
  <c r="M12" i="333"/>
  <c r="L12" i="333"/>
  <c r="K12" i="333"/>
  <c r="J12" i="333"/>
  <c r="I12" i="333"/>
  <c r="H12" i="333"/>
  <c r="G12" i="333"/>
  <c r="F12" i="333"/>
  <c r="E12" i="333"/>
  <c r="A12" i="333"/>
  <c r="O11" i="333"/>
  <c r="N11" i="333"/>
  <c r="M11" i="333"/>
  <c r="L11" i="333"/>
  <c r="K11" i="333"/>
  <c r="J11" i="333"/>
  <c r="I11" i="333"/>
  <c r="H11" i="333"/>
  <c r="G11" i="333"/>
  <c r="F11" i="333"/>
  <c r="E11" i="333"/>
  <c r="A11" i="333"/>
  <c r="O10" i="333"/>
  <c r="N10" i="333"/>
  <c r="M10" i="333"/>
  <c r="L10" i="333"/>
  <c r="K10" i="333"/>
  <c r="J10" i="333"/>
  <c r="I10" i="333"/>
  <c r="H10" i="333"/>
  <c r="G10" i="333"/>
  <c r="F10" i="333"/>
  <c r="E10" i="333"/>
  <c r="A10" i="333"/>
  <c r="O9" i="333"/>
  <c r="N9" i="333"/>
  <c r="M9" i="333"/>
  <c r="L9" i="333"/>
  <c r="K9" i="333"/>
  <c r="J9" i="333"/>
  <c r="I9" i="333"/>
  <c r="H9" i="333"/>
  <c r="G9" i="333"/>
  <c r="F9" i="333"/>
  <c r="E9" i="333"/>
  <c r="A9" i="333"/>
  <c r="O8" i="333"/>
  <c r="N8" i="333"/>
  <c r="M8" i="333"/>
  <c r="L8" i="333"/>
  <c r="K8" i="333"/>
  <c r="J8" i="333"/>
  <c r="I8" i="333"/>
  <c r="H8" i="333"/>
  <c r="G8" i="333"/>
  <c r="F8" i="333"/>
  <c r="E8" i="333"/>
  <c r="A8" i="333"/>
  <c r="O7" i="333"/>
  <c r="N7" i="333"/>
  <c r="M7" i="333"/>
  <c r="L7" i="333"/>
  <c r="K7" i="333"/>
  <c r="J7" i="333"/>
  <c r="I7" i="333"/>
  <c r="H7" i="333"/>
  <c r="G7" i="333"/>
  <c r="F7" i="333"/>
  <c r="E7" i="333"/>
  <c r="A7" i="333"/>
  <c r="O6" i="333"/>
  <c r="N6" i="333"/>
  <c r="M6" i="333"/>
  <c r="L6" i="333"/>
  <c r="K6" i="333"/>
  <c r="J6" i="333"/>
  <c r="I6" i="333"/>
  <c r="H6" i="333"/>
  <c r="G6" i="333"/>
  <c r="F6" i="333"/>
  <c r="E6" i="333"/>
  <c r="A6" i="333"/>
  <c r="O5" i="333"/>
  <c r="B5" i="100" s="1"/>
  <c r="F2" i="199" s="1"/>
  <c r="N5" i="333"/>
  <c r="M5" i="333"/>
  <c r="L5" i="333"/>
  <c r="K5" i="333"/>
  <c r="J5" i="333"/>
  <c r="I5" i="333"/>
  <c r="H5" i="333"/>
  <c r="G5" i="333"/>
  <c r="F5" i="333"/>
  <c r="E5" i="333"/>
  <c r="A5" i="333"/>
  <c r="O4" i="333"/>
  <c r="N4" i="333"/>
  <c r="M4" i="333"/>
  <c r="L4" i="333"/>
  <c r="K4" i="333"/>
  <c r="J4" i="333"/>
  <c r="I4" i="333"/>
  <c r="H4" i="333"/>
  <c r="G4" i="333"/>
  <c r="F4" i="333"/>
  <c r="E4" i="333"/>
  <c r="A4" i="333"/>
  <c r="O3" i="333"/>
  <c r="N3" i="333"/>
  <c r="M3" i="333"/>
  <c r="L3" i="333"/>
  <c r="K3" i="333"/>
  <c r="J3" i="333"/>
  <c r="I3" i="333"/>
  <c r="H3" i="333"/>
  <c r="G3" i="333"/>
  <c r="F3" i="333"/>
  <c r="E3" i="333"/>
  <c r="A3" i="333"/>
  <c r="O2" i="333"/>
  <c r="N2" i="333"/>
  <c r="M2" i="333"/>
  <c r="L2" i="333"/>
  <c r="K2" i="333"/>
  <c r="J2" i="333"/>
  <c r="I2" i="333"/>
  <c r="H2" i="333"/>
  <c r="G2" i="333"/>
  <c r="F2" i="333"/>
  <c r="E2" i="333"/>
  <c r="A2" i="333"/>
  <c r="B100" i="100"/>
  <c r="A1" i="282" s="1"/>
  <c r="B99" i="100"/>
  <c r="B98" i="100"/>
  <c r="A1" i="329" s="1"/>
  <c r="B97" i="100"/>
  <c r="A1" i="330"/>
  <c r="B96" i="100"/>
  <c r="A1" i="343" s="1"/>
  <c r="B95" i="100"/>
  <c r="A1" i="344"/>
  <c r="B94" i="100"/>
  <c r="A1" i="342" s="1"/>
  <c r="B93" i="100"/>
  <c r="A1" i="341"/>
  <c r="B92" i="100"/>
  <c r="A1" i="284" s="1"/>
  <c r="B91" i="100"/>
  <c r="A1" i="204"/>
  <c r="B90" i="100"/>
  <c r="A1" i="336" s="1"/>
  <c r="B89" i="100"/>
  <c r="A1" i="285"/>
  <c r="B88" i="100"/>
  <c r="A1" i="243" s="1"/>
  <c r="B87" i="100"/>
  <c r="A1" i="198"/>
  <c r="B86" i="100"/>
  <c r="A1" i="199" s="1"/>
  <c r="B85" i="100"/>
  <c r="A1" i="200"/>
  <c r="B84" i="100"/>
  <c r="A1" i="201"/>
  <c r="B83" i="100"/>
  <c r="A1" i="202"/>
  <c r="B81" i="100"/>
  <c r="A1" i="65" s="1"/>
  <c r="B80" i="100"/>
  <c r="A1" i="279"/>
  <c r="B30" i="100"/>
  <c r="B29" i="100"/>
  <c r="B28" i="100"/>
  <c r="B27" i="100"/>
  <c r="B26" i="100"/>
  <c r="B25" i="100"/>
  <c r="N2" i="330" s="1"/>
  <c r="B24" i="100"/>
  <c r="M2" i="330" s="1"/>
  <c r="B23" i="100"/>
  <c r="L2" i="330" s="1"/>
  <c r="B22" i="100"/>
  <c r="K2" i="330" s="1"/>
  <c r="B21" i="100"/>
  <c r="B20" i="100"/>
  <c r="B19" i="100"/>
  <c r="B18" i="100"/>
  <c r="B17" i="100"/>
  <c r="J3" i="199" s="1"/>
  <c r="B16" i="100"/>
  <c r="B7" i="100"/>
  <c r="B51" i="100" s="1"/>
  <c r="B6" i="100"/>
  <c r="B4" i="100"/>
  <c r="B3" i="100"/>
  <c r="B2" i="100"/>
  <c r="C56" i="285"/>
  <c r="D34" i="198" s="1"/>
  <c r="N194" i="204"/>
  <c r="G37" i="336"/>
  <c r="D37" i="336"/>
  <c r="D59" i="198"/>
  <c r="B37" i="279"/>
  <c r="C36" i="279"/>
  <c r="D58" i="198"/>
  <c r="D13" i="198" s="1"/>
  <c r="D178" i="202"/>
  <c r="P22" i="204"/>
  <c r="D37" i="65"/>
  <c r="D41" i="65" s="1"/>
  <c r="D43" i="65" s="1"/>
  <c r="D65" i="198"/>
  <c r="G37" i="65"/>
  <c r="G41" i="65" s="1"/>
  <c r="G43" i="65" s="1"/>
  <c r="D109" i="204"/>
  <c r="F39" i="200"/>
  <c r="H39" i="279"/>
  <c r="G25" i="201"/>
  <c r="H47" i="198" s="1"/>
  <c r="F58" i="198"/>
  <c r="G178" i="202"/>
  <c r="K178" i="202"/>
  <c r="I53" i="198"/>
  <c r="D53" i="198"/>
  <c r="G53" i="198"/>
  <c r="J53" i="198"/>
  <c r="E178" i="202"/>
  <c r="J178" i="202"/>
  <c r="F41" i="200"/>
  <c r="G22" i="198" s="1"/>
  <c r="E41" i="204" l="1"/>
  <c r="F109" i="204"/>
  <c r="B41" i="204"/>
  <c r="F41" i="204"/>
  <c r="J41" i="204"/>
  <c r="C109" i="204"/>
  <c r="I41" i="204"/>
  <c r="E153" i="204"/>
  <c r="C41" i="204"/>
  <c r="G41" i="204"/>
  <c r="K41" i="204"/>
  <c r="J241" i="204"/>
  <c r="F37" i="65"/>
  <c r="F41" i="65" s="1"/>
  <c r="F43" i="65" s="1"/>
  <c r="G35" i="198"/>
  <c r="G241" i="204"/>
  <c r="I241" i="204"/>
  <c r="B145" i="204"/>
  <c r="F145" i="204"/>
  <c r="J145" i="204"/>
  <c r="D153" i="204"/>
  <c r="H153" i="204"/>
  <c r="L153" i="204"/>
  <c r="E241" i="204"/>
  <c r="I43" i="279"/>
  <c r="J34" i="198"/>
  <c r="H241" i="204"/>
  <c r="I149" i="202"/>
  <c r="N184" i="204" s="1"/>
  <c r="M184" i="204" s="1"/>
  <c r="P135" i="204"/>
  <c r="D2" i="65"/>
  <c r="D2" i="199"/>
  <c r="J62" i="202"/>
  <c r="O97" i="204" s="1"/>
  <c r="D68" i="202"/>
  <c r="G75" i="202"/>
  <c r="G74" i="202" s="1"/>
  <c r="E103" i="202"/>
  <c r="C141" i="202"/>
  <c r="P194" i="204"/>
  <c r="O7" i="243"/>
  <c r="J56" i="285"/>
  <c r="K34" i="198" s="1"/>
  <c r="H6" i="341"/>
  <c r="H110" i="344"/>
  <c r="D36" i="198"/>
  <c r="K141" i="202"/>
  <c r="C2" i="65"/>
  <c r="C2" i="199"/>
  <c r="B32" i="279"/>
  <c r="J28" i="279"/>
  <c r="J32" i="279" s="1"/>
  <c r="B38" i="279"/>
  <c r="C39" i="279"/>
  <c r="C98" i="202"/>
  <c r="F111" i="202"/>
  <c r="K114" i="202"/>
  <c r="P149" i="204" s="1"/>
  <c r="F139" i="202"/>
  <c r="D10" i="198"/>
  <c r="H39" i="200"/>
  <c r="F118" i="341"/>
  <c r="D110" i="342"/>
  <c r="I110" i="342"/>
  <c r="H118" i="342"/>
  <c r="F74" i="344"/>
  <c r="H74" i="343"/>
  <c r="G118" i="343"/>
  <c r="M25" i="330"/>
  <c r="E44" i="202"/>
  <c r="L16" i="198"/>
  <c r="I6" i="344"/>
  <c r="I167" i="344" s="1"/>
  <c r="D14" i="198"/>
  <c r="F44" i="279"/>
  <c r="G7" i="202"/>
  <c r="F44" i="202"/>
  <c r="E98" i="202"/>
  <c r="H103" i="202"/>
  <c r="D131" i="202"/>
  <c r="F34" i="198"/>
  <c r="K109" i="204"/>
  <c r="G145" i="204"/>
  <c r="L145" i="204"/>
  <c r="I3" i="202"/>
  <c r="I3" i="199"/>
  <c r="G44" i="202"/>
  <c r="H52" i="202"/>
  <c r="D75" i="202"/>
  <c r="D74" i="202" s="1"/>
  <c r="F98" i="202"/>
  <c r="J111" i="202"/>
  <c r="O146" i="204" s="1"/>
  <c r="G131" i="202"/>
  <c r="G118" i="202" s="1"/>
  <c r="G10" i="198"/>
  <c r="D39" i="200"/>
  <c r="L109" i="204"/>
  <c r="G153" i="204"/>
  <c r="G110" i="284"/>
  <c r="I161" i="202"/>
  <c r="N196" i="204" s="1"/>
  <c r="M196" i="204" s="1"/>
  <c r="F65" i="198"/>
  <c r="F35" i="198" s="1"/>
  <c r="O188" i="204"/>
  <c r="F32" i="279"/>
  <c r="I103" i="202"/>
  <c r="N138" i="204" s="1"/>
  <c r="M138" i="204" s="1"/>
  <c r="K111" i="202"/>
  <c r="P146" i="204" s="1"/>
  <c r="D119" i="202"/>
  <c r="D118" i="202" s="1"/>
  <c r="G119" i="202"/>
  <c r="J40" i="201"/>
  <c r="E39" i="200"/>
  <c r="C39" i="200"/>
  <c r="C41" i="200" s="1"/>
  <c r="B45" i="279" s="1"/>
  <c r="H37" i="336"/>
  <c r="B109" i="204"/>
  <c r="J109" i="204"/>
  <c r="J118" i="341"/>
  <c r="F6" i="344"/>
  <c r="C74" i="343"/>
  <c r="K74" i="343"/>
  <c r="E2" i="65"/>
  <c r="E2" i="199"/>
  <c r="K3" i="202"/>
  <c r="K3" i="199"/>
  <c r="G37" i="202"/>
  <c r="G62" i="202"/>
  <c r="F62" i="202"/>
  <c r="E62" i="202"/>
  <c r="C111" i="202"/>
  <c r="C110" i="202" s="1"/>
  <c r="G114" i="202"/>
  <c r="E141" i="202"/>
  <c r="E139" i="202" s="1"/>
  <c r="K164" i="202"/>
  <c r="P199" i="204" s="1"/>
  <c r="I39" i="198"/>
  <c r="H6" i="284"/>
  <c r="F74" i="284"/>
  <c r="E74" i="284"/>
  <c r="J110" i="284"/>
  <c r="C74" i="341"/>
  <c r="K74" i="341"/>
  <c r="J74" i="341"/>
  <c r="G110" i="341"/>
  <c r="E118" i="342"/>
  <c r="G6" i="344"/>
  <c r="C74" i="344"/>
  <c r="K74" i="344"/>
  <c r="E74" i="343"/>
  <c r="I110" i="343"/>
  <c r="D241" i="204"/>
  <c r="K118" i="342"/>
  <c r="J6" i="342"/>
  <c r="J167" i="342" s="1"/>
  <c r="G6" i="342"/>
  <c r="G110" i="202"/>
  <c r="H36" i="198"/>
  <c r="H68" i="198"/>
  <c r="H35" i="198"/>
  <c r="H18" i="198"/>
  <c r="J43" i="279"/>
  <c r="I44" i="279"/>
  <c r="E7" i="202"/>
  <c r="I26" i="202"/>
  <c r="N61" i="204" s="1"/>
  <c r="M61" i="204" s="1"/>
  <c r="F37" i="202"/>
  <c r="D37" i="202"/>
  <c r="D52" i="202"/>
  <c r="E75" i="202"/>
  <c r="E119" i="202"/>
  <c r="E118" i="202" s="1"/>
  <c r="F110" i="341"/>
  <c r="F6" i="342"/>
  <c r="F167" i="342" s="1"/>
  <c r="E6" i="344"/>
  <c r="E167" i="344" s="1"/>
  <c r="D6" i="344"/>
  <c r="H118" i="343"/>
  <c r="H16" i="198"/>
  <c r="B43" i="279"/>
  <c r="H12" i="202"/>
  <c r="F103" i="202"/>
  <c r="F119" i="202"/>
  <c r="F118" i="202" s="1"/>
  <c r="D141" i="202"/>
  <c r="D139" i="202" s="1"/>
  <c r="C241" i="204"/>
  <c r="K241" i="204"/>
  <c r="C118" i="341"/>
  <c r="K118" i="341"/>
  <c r="I6" i="342"/>
  <c r="H6" i="342"/>
  <c r="J110" i="344"/>
  <c r="H167" i="341"/>
  <c r="K37" i="336"/>
  <c r="I155" i="202"/>
  <c r="N190" i="204" s="1"/>
  <c r="M190" i="204" s="1"/>
  <c r="E32" i="279"/>
  <c r="H7" i="202"/>
  <c r="J12" i="202"/>
  <c r="O47" i="204" s="1"/>
  <c r="D26" i="202"/>
  <c r="F75" i="202"/>
  <c r="D111" i="202"/>
  <c r="D110" i="202" s="1"/>
  <c r="E114" i="202"/>
  <c r="K16" i="198"/>
  <c r="F74" i="198"/>
  <c r="F37" i="336"/>
  <c r="D110" i="284"/>
  <c r="C110" i="284"/>
  <c r="K110" i="284"/>
  <c r="D118" i="284"/>
  <c r="J110" i="342"/>
  <c r="G118" i="344"/>
  <c r="G110" i="343"/>
  <c r="D42" i="279"/>
  <c r="G16" i="202"/>
  <c r="H75" i="202"/>
  <c r="H74" i="202" s="1"/>
  <c r="K110" i="202"/>
  <c r="P145" i="204" s="1"/>
  <c r="E110" i="202"/>
  <c r="F114" i="202"/>
  <c r="K131" i="202"/>
  <c r="P166" i="204" s="1"/>
  <c r="J131" i="202"/>
  <c r="O166" i="204" s="1"/>
  <c r="H131" i="202"/>
  <c r="K136" i="202"/>
  <c r="P171" i="204" s="1"/>
  <c r="K56" i="285"/>
  <c r="L34" i="198" s="1"/>
  <c r="H109" i="204"/>
  <c r="E6" i="284"/>
  <c r="E167" i="284" s="1"/>
  <c r="D6" i="284"/>
  <c r="C6" i="284"/>
  <c r="C167" i="284" s="1"/>
  <c r="G6" i="284"/>
  <c r="D6" i="341"/>
  <c r="D167" i="341" s="1"/>
  <c r="C6" i="341"/>
  <c r="F74" i="341"/>
  <c r="C74" i="342"/>
  <c r="C167" i="342" s="1"/>
  <c r="K110" i="342"/>
  <c r="H6" i="344"/>
  <c r="H167" i="344" s="1"/>
  <c r="K25" i="330"/>
  <c r="F46" i="200"/>
  <c r="E45" i="279"/>
  <c r="E10" i="279"/>
  <c r="K7" i="202"/>
  <c r="P42" i="204" s="1"/>
  <c r="C37" i="202"/>
  <c r="H37" i="202"/>
  <c r="K44" i="202"/>
  <c r="P79" i="204" s="1"/>
  <c r="H44" i="202"/>
  <c r="G52" i="202"/>
  <c r="E52" i="202"/>
  <c r="C62" i="202"/>
  <c r="C103" i="202"/>
  <c r="G141" i="202"/>
  <c r="G139" i="202" s="1"/>
  <c r="I109" i="204"/>
  <c r="C145" i="204"/>
  <c r="K145" i="204"/>
  <c r="H145" i="204"/>
  <c r="J110" i="341"/>
  <c r="I74" i="342"/>
  <c r="C118" i="342"/>
  <c r="D118" i="343"/>
  <c r="H25" i="330"/>
  <c r="H32" i="279"/>
  <c r="F35" i="279"/>
  <c r="E12" i="202"/>
  <c r="D12" i="202"/>
  <c r="C44" i="202"/>
  <c r="H68" i="202"/>
  <c r="D103" i="202"/>
  <c r="K119" i="202"/>
  <c r="H119" i="202"/>
  <c r="H141" i="202"/>
  <c r="H139" i="202" s="1"/>
  <c r="M193" i="204"/>
  <c r="D25" i="201"/>
  <c r="M230" i="204"/>
  <c r="G118" i="341"/>
  <c r="E6" i="342"/>
  <c r="E167" i="342" s="1"/>
  <c r="K6" i="342"/>
  <c r="K167" i="342" s="1"/>
  <c r="G110" i="344"/>
  <c r="G167" i="344" s="1"/>
  <c r="F110" i="344"/>
  <c r="F167" i="344" s="1"/>
  <c r="H6" i="343"/>
  <c r="G74" i="343"/>
  <c r="I25" i="330"/>
  <c r="I32" i="279"/>
  <c r="D7" i="202"/>
  <c r="H26" i="202"/>
  <c r="G26" i="202"/>
  <c r="F26" i="202"/>
  <c r="E26" i="202"/>
  <c r="D44" i="202"/>
  <c r="I52" i="202"/>
  <c r="N87" i="204" s="1"/>
  <c r="M87" i="204" s="1"/>
  <c r="H111" i="202"/>
  <c r="H110" i="202" s="1"/>
  <c r="C119" i="202"/>
  <c r="C118" i="202" s="1"/>
  <c r="E131" i="202"/>
  <c r="C139" i="202"/>
  <c r="F25" i="201"/>
  <c r="G47" i="198" s="1"/>
  <c r="D40" i="201"/>
  <c r="I56" i="198"/>
  <c r="I10" i="198" s="1"/>
  <c r="G16" i="198"/>
  <c r="F56" i="285"/>
  <c r="G34" i="198" s="1"/>
  <c r="G109" i="204"/>
  <c r="I153" i="204"/>
  <c r="H110" i="284"/>
  <c r="H167" i="284" s="1"/>
  <c r="E110" i="341"/>
  <c r="K6" i="344"/>
  <c r="D118" i="344"/>
  <c r="I74" i="343"/>
  <c r="D110" i="343"/>
  <c r="C110" i="343"/>
  <c r="K110" i="343"/>
  <c r="F25" i="330"/>
  <c r="F241" i="204"/>
  <c r="M220" i="204"/>
  <c r="K39" i="198"/>
  <c r="J35" i="279"/>
  <c r="I40" i="201"/>
  <c r="K40" i="201"/>
  <c r="L59" i="198"/>
  <c r="I37" i="279"/>
  <c r="H37" i="279"/>
  <c r="K25" i="201"/>
  <c r="L47" i="198" s="1"/>
  <c r="L12" i="198"/>
  <c r="I25" i="201"/>
  <c r="J47" i="198" s="1"/>
  <c r="J58" i="198"/>
  <c r="L56" i="198"/>
  <c r="L10" i="198" s="1"/>
  <c r="K10" i="198"/>
  <c r="H56" i="198"/>
  <c r="H10" i="198" s="1"/>
  <c r="H59" i="198"/>
  <c r="H12" i="198" s="1"/>
  <c r="G40" i="201"/>
  <c r="J59" i="198"/>
  <c r="J14" i="198" s="1"/>
  <c r="E59" i="198"/>
  <c r="E13" i="198" s="1"/>
  <c r="C37" i="279"/>
  <c r="F59" i="198"/>
  <c r="F14" i="198" s="1"/>
  <c r="D37" i="279"/>
  <c r="H14" i="198"/>
  <c r="E37" i="279"/>
  <c r="D42" i="201"/>
  <c r="D53" i="201" s="1"/>
  <c r="G37" i="279"/>
  <c r="H40" i="201"/>
  <c r="L13" i="198"/>
  <c r="J36" i="279"/>
  <c r="J25" i="201"/>
  <c r="D18" i="198"/>
  <c r="C25" i="201"/>
  <c r="D47" i="198" s="1"/>
  <c r="E25" i="201"/>
  <c r="E42" i="201" s="1"/>
  <c r="E53" i="201" s="1"/>
  <c r="E47" i="198"/>
  <c r="K58" i="198"/>
  <c r="E35" i="279"/>
  <c r="G58" i="198"/>
  <c r="I12" i="198"/>
  <c r="I13" i="198"/>
  <c r="H25" i="201"/>
  <c r="G42" i="201"/>
  <c r="G53" i="201" s="1"/>
  <c r="D12" i="198"/>
  <c r="G35" i="279"/>
  <c r="D25" i="330"/>
  <c r="E25" i="330"/>
  <c r="J6" i="344"/>
  <c r="J167" i="344" s="1"/>
  <c r="J6" i="341"/>
  <c r="J167" i="341" s="1"/>
  <c r="I6" i="341"/>
  <c r="I167" i="341" s="1"/>
  <c r="J158" i="202"/>
  <c r="O193" i="204" s="1"/>
  <c r="I16" i="202"/>
  <c r="N51" i="204" s="1"/>
  <c r="M51" i="204" s="1"/>
  <c r="I74" i="284"/>
  <c r="J98" i="202"/>
  <c r="O133" i="204" s="1"/>
  <c r="J16" i="202"/>
  <c r="O51" i="204" s="1"/>
  <c r="K16" i="202"/>
  <c r="P51" i="204" s="1"/>
  <c r="K74" i="284"/>
  <c r="I152" i="202"/>
  <c r="N187" i="204" s="1"/>
  <c r="M187" i="204" s="1"/>
  <c r="K152" i="202"/>
  <c r="P187" i="204" s="1"/>
  <c r="P191" i="204"/>
  <c r="J155" i="202"/>
  <c r="O190" i="204" s="1"/>
  <c r="I6" i="284"/>
  <c r="M22" i="204"/>
  <c r="I42" i="279"/>
  <c r="K39" i="200"/>
  <c r="J42" i="279"/>
  <c r="H33" i="198"/>
  <c r="G17" i="279"/>
  <c r="E17" i="279"/>
  <c r="E18" i="279" s="1"/>
  <c r="E40" i="198"/>
  <c r="F39" i="198"/>
  <c r="F33" i="198"/>
  <c r="H39" i="198"/>
  <c r="G39" i="198"/>
  <c r="H38" i="198"/>
  <c r="N22" i="204"/>
  <c r="F16" i="198"/>
  <c r="I50" i="198"/>
  <c r="I7" i="198" s="1"/>
  <c r="G7" i="198"/>
  <c r="F36" i="198"/>
  <c r="C37" i="65"/>
  <c r="C41" i="65" s="1"/>
  <c r="C43" i="65" s="1"/>
  <c r="G10" i="279"/>
  <c r="D39" i="198"/>
  <c r="I68" i="198"/>
  <c r="I38" i="198" s="1"/>
  <c r="I33" i="198"/>
  <c r="I18" i="198"/>
  <c r="I35" i="198"/>
  <c r="I36" i="198"/>
  <c r="E68" i="198"/>
  <c r="E38" i="198" s="1"/>
  <c r="E35" i="198"/>
  <c r="E36" i="198"/>
  <c r="E18" i="198"/>
  <c r="I37" i="65"/>
  <c r="I41" i="65" s="1"/>
  <c r="I43" i="65" s="1"/>
  <c r="E39" i="198"/>
  <c r="D17" i="279"/>
  <c r="D18" i="279" s="1"/>
  <c r="B17" i="279"/>
  <c r="B18" i="279" s="1"/>
  <c r="I17" i="279"/>
  <c r="I18" i="279" s="1"/>
  <c r="E33" i="198"/>
  <c r="D35" i="198"/>
  <c r="H34" i="198"/>
  <c r="C10" i="279"/>
  <c r="G18" i="279"/>
  <c r="G19" i="279" s="1"/>
  <c r="G22" i="279" s="1"/>
  <c r="G24" i="279" s="1"/>
  <c r="F17" i="279"/>
  <c r="F18" i="279" s="1"/>
  <c r="F68" i="198"/>
  <c r="F38" i="198" s="1"/>
  <c r="D33" i="198"/>
  <c r="B10" i="279"/>
  <c r="F18" i="198"/>
  <c r="I16" i="198"/>
  <c r="F10" i="279"/>
  <c r="D10" i="279"/>
  <c r="D7" i="198"/>
  <c r="G33" i="198"/>
  <c r="C17" i="279"/>
  <c r="C18" i="279" s="1"/>
  <c r="E7" i="198"/>
  <c r="L39" i="198"/>
  <c r="G36" i="198"/>
  <c r="F7" i="198"/>
  <c r="J17" i="279"/>
  <c r="J18" i="279" s="1"/>
  <c r="L50" i="198"/>
  <c r="L7" i="198" s="1"/>
  <c r="J50" i="198"/>
  <c r="J7" i="198" s="1"/>
  <c r="H17" i="279"/>
  <c r="H18" i="279" s="1"/>
  <c r="J10" i="279"/>
  <c r="H10" i="279"/>
  <c r="K37" i="65"/>
  <c r="K41" i="65" s="1"/>
  <c r="K43" i="65" s="1"/>
  <c r="L33" i="198"/>
  <c r="L35" i="198"/>
  <c r="J68" i="198"/>
  <c r="J38" i="198" s="1"/>
  <c r="J33" i="198"/>
  <c r="J18" i="198"/>
  <c r="J36" i="198"/>
  <c r="J35" i="198"/>
  <c r="K18" i="198"/>
  <c r="K36" i="198"/>
  <c r="K35" i="198"/>
  <c r="K68" i="198"/>
  <c r="K38" i="198" s="1"/>
  <c r="K33" i="198"/>
  <c r="L68" i="198"/>
  <c r="L36" i="198"/>
  <c r="L18" i="198"/>
  <c r="J37" i="65"/>
  <c r="J41" i="65" s="1"/>
  <c r="J43" i="65" s="1"/>
  <c r="I10" i="279"/>
  <c r="J39" i="200"/>
  <c r="I39" i="200"/>
  <c r="H42" i="279"/>
  <c r="H56" i="285"/>
  <c r="I34" i="198" s="1"/>
  <c r="D40" i="200"/>
  <c r="D41" i="200" s="1"/>
  <c r="F2" i="342"/>
  <c r="F2" i="284"/>
  <c r="N3" i="329"/>
  <c r="D2" i="330"/>
  <c r="F2" i="343"/>
  <c r="F2" i="341"/>
  <c r="F2" i="344"/>
  <c r="F2" i="336"/>
  <c r="F2" i="200"/>
  <c r="F2" i="285"/>
  <c r="G2" i="198"/>
  <c r="F2" i="201"/>
  <c r="F2" i="65"/>
  <c r="E2" i="279"/>
  <c r="F2" i="202"/>
  <c r="D6" i="202"/>
  <c r="D167" i="202" s="1"/>
  <c r="L14" i="198"/>
  <c r="D68" i="198"/>
  <c r="D38" i="198" s="1"/>
  <c r="P3" i="329"/>
  <c r="D3" i="330"/>
  <c r="J3" i="344"/>
  <c r="J3" i="342"/>
  <c r="J3" i="284"/>
  <c r="J3" i="341"/>
  <c r="J3" i="343"/>
  <c r="O3" i="204"/>
  <c r="J3" i="285"/>
  <c r="J3" i="200"/>
  <c r="K3" i="198"/>
  <c r="J3" i="201"/>
  <c r="H3" i="330"/>
  <c r="J2" i="330"/>
  <c r="B2" i="279"/>
  <c r="I3" i="279"/>
  <c r="J3" i="65"/>
  <c r="D2" i="202"/>
  <c r="J7" i="202"/>
  <c r="I12" i="202"/>
  <c r="N47" i="204" s="1"/>
  <c r="M47" i="204" s="1"/>
  <c r="K37" i="202"/>
  <c r="P72" i="204" s="1"/>
  <c r="I44" i="202"/>
  <c r="N79" i="204" s="1"/>
  <c r="M79" i="204" s="1"/>
  <c r="I68" i="202"/>
  <c r="N103" i="204" s="1"/>
  <c r="M103" i="204" s="1"/>
  <c r="F68" i="202"/>
  <c r="J75" i="202"/>
  <c r="K3" i="343"/>
  <c r="K3" i="341"/>
  <c r="K3" i="342"/>
  <c r="K3" i="284"/>
  <c r="Q3" i="329"/>
  <c r="E3" i="330"/>
  <c r="K3" i="344"/>
  <c r="L3" i="198"/>
  <c r="K3" i="285"/>
  <c r="K3" i="201"/>
  <c r="P3" i="204"/>
  <c r="K3" i="200"/>
  <c r="C2" i="279"/>
  <c r="J3" i="279"/>
  <c r="K3" i="65"/>
  <c r="E2" i="202"/>
  <c r="J44" i="202"/>
  <c r="O79" i="204" s="1"/>
  <c r="I62" i="202"/>
  <c r="N97" i="204" s="1"/>
  <c r="M97" i="204" s="1"/>
  <c r="D62" i="202"/>
  <c r="H62" i="202"/>
  <c r="C68" i="202"/>
  <c r="G68" i="202"/>
  <c r="G6" i="202" s="1"/>
  <c r="K68" i="202"/>
  <c r="P103" i="204" s="1"/>
  <c r="C75" i="202"/>
  <c r="C74" i="202" s="1"/>
  <c r="G18" i="198"/>
  <c r="D2" i="343"/>
  <c r="D2" i="341"/>
  <c r="D2" i="342"/>
  <c r="D2" i="284"/>
  <c r="D2" i="344"/>
  <c r="D2" i="285"/>
  <c r="E2" i="198"/>
  <c r="D2" i="201"/>
  <c r="D2" i="200"/>
  <c r="O2" i="329"/>
  <c r="E2" i="330"/>
  <c r="H2" i="330"/>
  <c r="F3" i="330"/>
  <c r="D2" i="279"/>
  <c r="K12" i="202"/>
  <c r="J26" i="202"/>
  <c r="O61" i="204" s="1"/>
  <c r="I14" i="198"/>
  <c r="E2" i="344"/>
  <c r="M3" i="329"/>
  <c r="E2" i="343"/>
  <c r="E2" i="341"/>
  <c r="E2" i="284"/>
  <c r="E2" i="201"/>
  <c r="E2" i="342"/>
  <c r="C2" i="336"/>
  <c r="E2" i="200"/>
  <c r="E2" i="285"/>
  <c r="F2" i="198"/>
  <c r="C2" i="344"/>
  <c r="C2" i="342"/>
  <c r="C2" i="284"/>
  <c r="C2" i="341"/>
  <c r="C2" i="343"/>
  <c r="C2" i="285"/>
  <c r="C2" i="200"/>
  <c r="D2" i="198"/>
  <c r="C2" i="201"/>
  <c r="I3" i="342"/>
  <c r="I3" i="284"/>
  <c r="I3" i="343"/>
  <c r="I3" i="341"/>
  <c r="I3" i="344"/>
  <c r="O3" i="329"/>
  <c r="C3" i="330"/>
  <c r="B2" i="204"/>
  <c r="I3" i="200"/>
  <c r="I3" i="285"/>
  <c r="J3" i="198"/>
  <c r="N3" i="204"/>
  <c r="I2" i="336"/>
  <c r="I3" i="201"/>
  <c r="I2" i="330"/>
  <c r="G3" i="330"/>
  <c r="H3" i="279"/>
  <c r="I3" i="65"/>
  <c r="C2" i="202"/>
  <c r="J3" i="202"/>
  <c r="I7" i="202"/>
  <c r="K26" i="202"/>
  <c r="P61" i="204" s="1"/>
  <c r="J37" i="202"/>
  <c r="O72" i="204" s="1"/>
  <c r="E37" i="202"/>
  <c r="E6" i="202" s="1"/>
  <c r="I37" i="202"/>
  <c r="N72" i="204" s="1"/>
  <c r="M72" i="204" s="1"/>
  <c r="K52" i="202"/>
  <c r="P87" i="204" s="1"/>
  <c r="F52" i="202"/>
  <c r="J52" i="202"/>
  <c r="O87" i="204" s="1"/>
  <c r="K62" i="202"/>
  <c r="P97" i="204" s="1"/>
  <c r="I75" i="202"/>
  <c r="J68" i="202"/>
  <c r="O103" i="204" s="1"/>
  <c r="K103" i="202"/>
  <c r="P138" i="204" s="1"/>
  <c r="I114" i="202"/>
  <c r="N149" i="204" s="1"/>
  <c r="M149" i="204" s="1"/>
  <c r="I119" i="202"/>
  <c r="I131" i="202"/>
  <c r="N166" i="204" s="1"/>
  <c r="M166" i="204" s="1"/>
  <c r="I136" i="202"/>
  <c r="N171" i="204" s="1"/>
  <c r="M171" i="204" s="1"/>
  <c r="K149" i="202"/>
  <c r="P184" i="204" s="1"/>
  <c r="K161" i="202"/>
  <c r="P196" i="204" s="1"/>
  <c r="I164" i="202"/>
  <c r="N199" i="204" s="1"/>
  <c r="M199" i="204" s="1"/>
  <c r="F40" i="201"/>
  <c r="K59" i="198"/>
  <c r="J39" i="198"/>
  <c r="E37" i="336"/>
  <c r="I37" i="336"/>
  <c r="K75" i="202"/>
  <c r="J110" i="202"/>
  <c r="O145" i="204" s="1"/>
  <c r="I111" i="202"/>
  <c r="J114" i="202"/>
  <c r="O149" i="204" s="1"/>
  <c r="J119" i="202"/>
  <c r="J136" i="202"/>
  <c r="O171" i="204" s="1"/>
  <c r="J141" i="202"/>
  <c r="J149" i="202"/>
  <c r="O184" i="204" s="1"/>
  <c r="J164" i="202"/>
  <c r="O199" i="204" s="1"/>
  <c r="I98" i="202"/>
  <c r="N133" i="204" s="1"/>
  <c r="M133" i="204" s="1"/>
  <c r="J103" i="202"/>
  <c r="O138" i="204" s="1"/>
  <c r="I141" i="202"/>
  <c r="G6" i="341"/>
  <c r="K6" i="341"/>
  <c r="K167" i="341" s="1"/>
  <c r="D6" i="343"/>
  <c r="B153" i="204"/>
  <c r="F153" i="204"/>
  <c r="J153" i="204"/>
  <c r="C25" i="330"/>
  <c r="O23" i="330"/>
  <c r="K6" i="284"/>
  <c r="K167" i="284" s="1"/>
  <c r="B241" i="204"/>
  <c r="B243" i="204" s="1"/>
  <c r="C242" i="204" s="1"/>
  <c r="F6" i="284"/>
  <c r="F167" i="284" s="1"/>
  <c r="J6" i="284"/>
  <c r="J167" i="284" s="1"/>
  <c r="G74" i="284"/>
  <c r="G167" i="284" s="1"/>
  <c r="F6" i="341"/>
  <c r="F167" i="341" s="1"/>
  <c r="D6" i="342"/>
  <c r="D167" i="342" s="1"/>
  <c r="C6" i="344"/>
  <c r="C167" i="344" s="1"/>
  <c r="C6" i="343"/>
  <c r="G6" i="343"/>
  <c r="G167" i="343" s="1"/>
  <c r="K6" i="343"/>
  <c r="E6" i="343"/>
  <c r="E118" i="343"/>
  <c r="I118" i="343"/>
  <c r="O10" i="330"/>
  <c r="I6" i="343"/>
  <c r="E6" i="341"/>
  <c r="E167" i="341" s="1"/>
  <c r="G167" i="342"/>
  <c r="F6" i="343"/>
  <c r="F167" i="343" s="1"/>
  <c r="J6" i="343"/>
  <c r="J167" i="343" s="1"/>
  <c r="O16" i="330"/>
  <c r="C243" i="204" l="1"/>
  <c r="D242" i="204" s="1"/>
  <c r="D243" i="204" s="1"/>
  <c r="E242" i="204" s="1"/>
  <c r="E243" i="204" s="1"/>
  <c r="F242" i="204" s="1"/>
  <c r="F243" i="204" s="1"/>
  <c r="G242" i="204" s="1"/>
  <c r="G243" i="204" s="1"/>
  <c r="H242" i="204" s="1"/>
  <c r="H243" i="204" s="1"/>
  <c r="I242" i="204" s="1"/>
  <c r="I243" i="204" s="1"/>
  <c r="J242" i="204" s="1"/>
  <c r="J243" i="204" s="1"/>
  <c r="K242" i="204" s="1"/>
  <c r="K243" i="204" s="1"/>
  <c r="L242" i="204" s="1"/>
  <c r="L243" i="204" s="1"/>
  <c r="K167" i="344"/>
  <c r="E74" i="202"/>
  <c r="P176" i="204"/>
  <c r="K139" i="202"/>
  <c r="P174" i="204" s="1"/>
  <c r="C46" i="200"/>
  <c r="D19" i="279"/>
  <c r="D22" i="279" s="1"/>
  <c r="D24" i="279" s="1"/>
  <c r="F74" i="202"/>
  <c r="D22" i="198"/>
  <c r="E19" i="279"/>
  <c r="E22" i="279" s="1"/>
  <c r="E24" i="279" s="1"/>
  <c r="H167" i="343"/>
  <c r="H167" i="342"/>
  <c r="I167" i="342"/>
  <c r="H13" i="198"/>
  <c r="G167" i="202"/>
  <c r="C167" i="343"/>
  <c r="G167" i="341"/>
  <c r="C6" i="202"/>
  <c r="F110" i="202"/>
  <c r="F6" i="202"/>
  <c r="I19" i="279"/>
  <c r="I22" i="279" s="1"/>
  <c r="I24" i="279" s="1"/>
  <c r="H118" i="202"/>
  <c r="D167" i="284"/>
  <c r="D187" i="202" s="1"/>
  <c r="P154" i="204"/>
  <c r="K118" i="202"/>
  <c r="P153" i="204" s="1"/>
  <c r="G74" i="198"/>
  <c r="F73" i="198"/>
  <c r="F40" i="198" s="1"/>
  <c r="K167" i="343"/>
  <c r="D167" i="343"/>
  <c r="C167" i="202"/>
  <c r="D52" i="198" s="1"/>
  <c r="D8" i="198" s="1"/>
  <c r="H6" i="202"/>
  <c r="E167" i="202"/>
  <c r="F52" i="198" s="1"/>
  <c r="F8" i="198" s="1"/>
  <c r="C167" i="341"/>
  <c r="D167" i="344"/>
  <c r="I167" i="284"/>
  <c r="F42" i="201"/>
  <c r="F53" i="201" s="1"/>
  <c r="I42" i="201"/>
  <c r="I53" i="201" s="1"/>
  <c r="J12" i="198"/>
  <c r="K42" i="201"/>
  <c r="K53" i="201" s="1"/>
  <c r="F12" i="198"/>
  <c r="J13" i="198"/>
  <c r="F13" i="198"/>
  <c r="E14" i="198"/>
  <c r="E12" i="198"/>
  <c r="C42" i="201"/>
  <c r="C53" i="201" s="1"/>
  <c r="K47" i="198"/>
  <c r="J42" i="201"/>
  <c r="J53" i="201" s="1"/>
  <c r="F47" i="198"/>
  <c r="G12" i="198"/>
  <c r="G13" i="198"/>
  <c r="H42" i="201"/>
  <c r="H53" i="201" s="1"/>
  <c r="I47" i="198"/>
  <c r="O25" i="330"/>
  <c r="B19" i="279"/>
  <c r="B22" i="279" s="1"/>
  <c r="B24" i="279" s="1"/>
  <c r="J19" i="279"/>
  <c r="J22" i="279" s="1"/>
  <c r="J24" i="279" s="1"/>
  <c r="F19" i="279"/>
  <c r="F22" i="279" s="1"/>
  <c r="F24" i="279" s="1"/>
  <c r="C19" i="279"/>
  <c r="C22" i="279" s="1"/>
  <c r="C24" i="279" s="1"/>
  <c r="H19" i="279"/>
  <c r="H22" i="279" s="1"/>
  <c r="H24" i="279" s="1"/>
  <c r="F27" i="279"/>
  <c r="G187" i="202"/>
  <c r="H52" i="198"/>
  <c r="H8" i="198" s="1"/>
  <c r="D27" i="279"/>
  <c r="E167" i="343"/>
  <c r="N176" i="204"/>
  <c r="M176" i="204" s="1"/>
  <c r="I139" i="202"/>
  <c r="N174" i="204" s="1"/>
  <c r="M174" i="204" s="1"/>
  <c r="C27" i="279"/>
  <c r="E52" i="198"/>
  <c r="E8" i="198" s="1"/>
  <c r="D46" i="200"/>
  <c r="E22" i="198"/>
  <c r="C45" i="279"/>
  <c r="E40" i="200"/>
  <c r="E41" i="200" s="1"/>
  <c r="J139" i="202"/>
  <c r="O174" i="204" s="1"/>
  <c r="O176" i="204"/>
  <c r="N146" i="204"/>
  <c r="M146" i="204" s="1"/>
  <c r="I110" i="202"/>
  <c r="N145" i="204" s="1"/>
  <c r="M145" i="204" s="1"/>
  <c r="P47" i="204"/>
  <c r="K6" i="202"/>
  <c r="N154" i="204"/>
  <c r="M154" i="204" s="1"/>
  <c r="I118" i="202"/>
  <c r="N153" i="204" s="1"/>
  <c r="M153" i="204" s="1"/>
  <c r="I74" i="202"/>
  <c r="N109" i="204" s="1"/>
  <c r="M109" i="204" s="1"/>
  <c r="N110" i="204"/>
  <c r="M110" i="204" s="1"/>
  <c r="N42" i="204"/>
  <c r="M42" i="204" s="1"/>
  <c r="M41" i="204" s="1"/>
  <c r="I6" i="202"/>
  <c r="O42" i="204"/>
  <c r="J6" i="202"/>
  <c r="I167" i="343"/>
  <c r="K74" i="202"/>
  <c r="P109" i="204" s="1"/>
  <c r="P110" i="204"/>
  <c r="J74" i="202"/>
  <c r="O109" i="204" s="1"/>
  <c r="O110" i="204"/>
  <c r="O154" i="204"/>
  <c r="J118" i="202"/>
  <c r="O153" i="204" s="1"/>
  <c r="K14" i="198"/>
  <c r="K12" i="198"/>
  <c r="K13" i="198"/>
  <c r="C187" i="202" l="1"/>
  <c r="F167" i="202"/>
  <c r="H167" i="202"/>
  <c r="I52" i="198" s="1"/>
  <c r="I8" i="198" s="1"/>
  <c r="H74" i="198"/>
  <c r="G73" i="198"/>
  <c r="G40" i="198" s="1"/>
  <c r="B27" i="279"/>
  <c r="E187" i="202"/>
  <c r="D45" i="279"/>
  <c r="H40" i="200"/>
  <c r="H41" i="200" s="1"/>
  <c r="E46" i="200"/>
  <c r="G40" i="200"/>
  <c r="G41" i="200" s="1"/>
  <c r="F22" i="198"/>
  <c r="K167" i="202"/>
  <c r="I167" i="202"/>
  <c r="J167" i="202"/>
  <c r="G27" i="279" l="1"/>
  <c r="H187" i="202"/>
  <c r="G52" i="198"/>
  <c r="G8" i="198" s="1"/>
  <c r="E27" i="279"/>
  <c r="F187" i="202"/>
  <c r="I74" i="198"/>
  <c r="H73" i="198"/>
  <c r="H40" i="198" s="1"/>
  <c r="N202" i="204"/>
  <c r="J52" i="198"/>
  <c r="J8" i="198" s="1"/>
  <c r="I187" i="202"/>
  <c r="H27" i="279"/>
  <c r="G45" i="279"/>
  <c r="I40" i="200"/>
  <c r="H46" i="200"/>
  <c r="I22" i="198"/>
  <c r="J27" i="279"/>
  <c r="K187" i="202"/>
  <c r="L52" i="198"/>
  <c r="L8" i="198" s="1"/>
  <c r="P202" i="204"/>
  <c r="K52" i="198"/>
  <c r="K8" i="198" s="1"/>
  <c r="I27" i="279"/>
  <c r="O202" i="204"/>
  <c r="J187" i="202"/>
  <c r="H22" i="198"/>
  <c r="F45" i="279"/>
  <c r="G46" i="200"/>
  <c r="I73" i="198" l="1"/>
  <c r="I40" i="198" s="1"/>
  <c r="J74" i="198"/>
  <c r="I41" i="200"/>
  <c r="J73" i="198" l="1"/>
  <c r="J40" i="198" s="1"/>
  <c r="K74" i="198"/>
  <c r="I46" i="200"/>
  <c r="J40" i="200"/>
  <c r="J22" i="198"/>
  <c r="H45" i="279"/>
  <c r="L74" i="198" l="1"/>
  <c r="L73" i="198" s="1"/>
  <c r="L40" i="198" s="1"/>
  <c r="K73" i="198"/>
  <c r="K40" i="198" s="1"/>
  <c r="J41" i="200"/>
  <c r="K40" i="200" l="1"/>
  <c r="K22" i="198"/>
  <c r="J46" i="200"/>
  <c r="I45" i="279"/>
  <c r="K41" i="200" l="1"/>
  <c r="J45" i="279" l="1"/>
  <c r="K46" i="200"/>
  <c r="L22" i="198"/>
  <c r="M209" i="204"/>
</calcChain>
</file>

<file path=xl/sharedStrings.xml><?xml version="1.0" encoding="utf-8"?>
<sst xmlns="http://schemas.openxmlformats.org/spreadsheetml/2006/main" count="3401" uniqueCount="1247">
  <si>
    <t>Medical Aid Contributions</t>
  </si>
  <si>
    <t>Performance Bonus</t>
  </si>
  <si>
    <t>Remuneration of Board Members</t>
  </si>
  <si>
    <t>Water</t>
  </si>
  <si>
    <t>Sanitation</t>
  </si>
  <si>
    <t>Schedule of funding diligence</t>
  </si>
  <si>
    <t>Other expenditure</t>
  </si>
  <si>
    <t>Present value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</si>
  <si>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</si>
  <si>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</si>
  <si>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</si>
  <si>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</si>
  <si>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</si>
  <si>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</si>
  <si>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</si>
  <si>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</si>
  <si>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</si>
  <si>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</si>
  <si>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</si>
  <si>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</si>
  <si>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</si>
  <si>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</si>
  <si>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</si>
  <si>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</si>
  <si>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</si>
  <si>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</si>
  <si>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</si>
  <si>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</si>
  <si>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</si>
  <si>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</si>
  <si>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</si>
  <si>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</si>
  <si>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</si>
  <si>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</si>
  <si>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</si>
  <si>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</si>
  <si>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</si>
  <si>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</si>
  <si>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</si>
  <si>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</si>
  <si>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</si>
  <si>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</si>
  <si>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</si>
  <si>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</si>
  <si>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</si>
  <si>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</si>
  <si>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</si>
  <si>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</si>
  <si>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</si>
  <si>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</si>
  <si>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</si>
  <si>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</si>
  <si>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</si>
  <si>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</si>
  <si>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</si>
  <si>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</si>
  <si>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</si>
  <si>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2. Bulk purchases - water</t>
  </si>
  <si>
    <r>
      <t xml:space="preserve">1. Revenue includes </t>
    </r>
    <r>
      <rPr>
        <i/>
        <u/>
        <sz val="8"/>
        <rFont val="Arial Narrow"/>
        <family val="2"/>
      </rPr>
      <t>sales</t>
    </r>
    <r>
      <rPr>
        <i/>
        <sz val="8"/>
        <rFont val="Arial Narrow"/>
        <family val="2"/>
      </rPr>
      <t xml:space="preserve"> of: (insert description)</t>
    </r>
  </si>
  <si>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</si>
  <si>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</si>
  <si>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</si>
  <si>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</si>
  <si>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</si>
  <si>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</si>
  <si>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</si>
  <si>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</si>
  <si>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</si>
  <si>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</si>
  <si>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</si>
  <si>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</si>
  <si>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</si>
  <si>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</si>
  <si>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</si>
  <si>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</si>
  <si>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</si>
  <si>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Total Operating Revenue Implication</t>
  </si>
  <si>
    <t>Total Capital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</si>
  <si>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</si>
  <si>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</si>
  <si>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</si>
  <si>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</si>
  <si>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</si>
  <si>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</si>
  <si>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</si>
  <si>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</si>
  <si>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</si>
  <si>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</si>
  <si>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</si>
  <si>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</si>
  <si>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</si>
  <si>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</si>
  <si>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</si>
  <si>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</si>
  <si>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</si>
  <si>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</si>
  <si>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</si>
  <si>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</si>
  <si>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</si>
  <si>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</si>
  <si>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</si>
  <si>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Accumulated Surplus/(Deficit)</t>
  </si>
  <si>
    <t>Ref</t>
  </si>
  <si>
    <t>Preceding Years</t>
  </si>
  <si>
    <t>Total Operating Expenditure Implication</t>
  </si>
  <si>
    <t>Total sources of capital funds</t>
  </si>
  <si>
    <t>Head48</t>
  </si>
  <si>
    <t>Estimate</t>
  </si>
  <si>
    <t>Contract 1</t>
  </si>
  <si>
    <t>Contract 2</t>
  </si>
  <si>
    <t>Contract 3 etc</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</si>
  <si>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</si>
  <si>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</si>
  <si>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</si>
  <si>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</si>
  <si>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</si>
  <si>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</si>
  <si>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</si>
  <si>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</si>
  <si>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</si>
  <si>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</si>
  <si>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</si>
  <si>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</si>
  <si>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</si>
  <si>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</si>
  <si>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</si>
  <si>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</si>
  <si>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</si>
  <si>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</si>
  <si>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</si>
  <si>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</si>
  <si>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</si>
  <si>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</si>
  <si>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</si>
  <si>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</si>
  <si>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</si>
  <si>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</si>
  <si>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</si>
  <si>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</si>
  <si>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</si>
  <si>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</si>
  <si>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</si>
  <si>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</si>
  <si>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</si>
  <si>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</si>
  <si>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</si>
  <si>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</si>
  <si>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</si>
  <si>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</si>
  <si>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</si>
  <si>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</si>
  <si>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</si>
  <si>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</si>
  <si>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</si>
  <si>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</si>
  <si>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</si>
  <si>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</si>
  <si>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</si>
  <si>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</si>
  <si>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</si>
  <si>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</si>
  <si>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</si>
  <si>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</si>
  <si>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</si>
  <si>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</si>
  <si>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</si>
  <si>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</si>
  <si>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</si>
  <si>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</si>
  <si>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</si>
  <si>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</si>
  <si>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</si>
  <si>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</si>
  <si>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</si>
  <si>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</si>
  <si>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</si>
  <si>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</si>
  <si>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</si>
  <si>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</si>
  <si>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</si>
  <si>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</si>
  <si>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</si>
  <si>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</si>
  <si>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</si>
  <si>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</si>
  <si>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</si>
  <si>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</si>
  <si>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</si>
  <si>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</si>
  <si>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Description</t>
  </si>
  <si>
    <t>YTD  Actual 31 Dec</t>
  </si>
  <si>
    <t>YTD  Budget 31 Dec</t>
  </si>
  <si>
    <t>MEB1</t>
  </si>
  <si>
    <t>MEB2</t>
  </si>
  <si>
    <t>MEB3</t>
  </si>
  <si>
    <t>MEB4</t>
  </si>
  <si>
    <t>MEB5</t>
  </si>
  <si>
    <t>MEB6</t>
  </si>
  <si>
    <t>Head2A</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</si>
  <si>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</si>
  <si>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</si>
  <si>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</si>
  <si>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</si>
  <si>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</si>
  <si>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</si>
  <si>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</si>
  <si>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</si>
  <si>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</si>
  <si>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</si>
  <si>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</si>
  <si>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</si>
  <si>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</si>
  <si>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</si>
  <si>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</si>
  <si>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</si>
  <si>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</si>
  <si>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</si>
  <si>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</si>
  <si>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</si>
  <si>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</si>
  <si>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</si>
  <si>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</si>
  <si>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</si>
  <si>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</si>
  <si>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</si>
  <si>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</si>
  <si>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</si>
  <si>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</si>
  <si>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</si>
  <si>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</si>
  <si>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</si>
  <si>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</si>
  <si>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</si>
  <si>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</si>
  <si>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</si>
  <si>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</si>
  <si>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</si>
  <si>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</si>
  <si>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</si>
  <si>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</si>
  <si>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</si>
  <si>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</si>
  <si>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</si>
  <si>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</si>
  <si>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</si>
  <si>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</si>
  <si>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</si>
  <si>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</si>
  <si>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</si>
  <si>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</si>
  <si>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</si>
  <si>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</si>
  <si>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</si>
  <si>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</si>
  <si>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</si>
  <si>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</si>
  <si>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</si>
  <si>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</si>
  <si>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</si>
  <si>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</si>
  <si>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</si>
  <si>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</si>
  <si>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</si>
  <si>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</si>
  <si>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</si>
  <si>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</si>
  <si>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</si>
  <si>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</si>
  <si>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</si>
  <si>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</si>
  <si>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</si>
  <si>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</si>
  <si>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</si>
  <si>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</si>
  <si>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</si>
  <si>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</si>
  <si>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</si>
  <si>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</si>
  <si>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</si>
  <si>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Parent Municipality</t>
  </si>
  <si>
    <t>Head56</t>
  </si>
  <si>
    <t>Total Adjusts.</t>
  </si>
  <si>
    <t>% of Creditors Paid Within Terms (within MFMA s 65(e))</t>
  </si>
  <si>
    <t>ii. O/S Service Debtors to Revenue</t>
  </si>
  <si>
    <t>Long Term Borrowing / Funds &amp; Reserves</t>
  </si>
  <si>
    <t>Monetary Assets / Current Liabilities</t>
  </si>
  <si>
    <t>Current assets / current liabilities</t>
  </si>
  <si>
    <t>Last 12 Mths Receipts / Last 12 Mths Billing</t>
  </si>
  <si>
    <t>Debtors &gt; 12 Mths Recovered / Total Debtors &gt; 12 Months Old</t>
  </si>
  <si>
    <t>Years/months</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</si>
  <si>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</si>
  <si>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</si>
  <si>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</si>
  <si>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</si>
  <si>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</si>
  <si>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</si>
  <si>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</si>
  <si>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</si>
  <si>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</si>
  <si>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</si>
  <si>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</si>
  <si>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</si>
  <si>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</si>
  <si>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</si>
  <si>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</si>
  <si>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</si>
  <si>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</si>
  <si>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</si>
  <si>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</si>
  <si>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</si>
  <si>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CASH FLOW FROM OPERATING ACTIVITIES</t>
  </si>
  <si>
    <t>Cash/cash equivalents at the year begin:</t>
  </si>
  <si>
    <t>Interest earned - external investments</t>
  </si>
  <si>
    <t>Interest earned - outstanding debtors</t>
  </si>
  <si>
    <t>Licences and permits</t>
  </si>
  <si>
    <t>Employee related costs</t>
  </si>
  <si>
    <t>Bulk purchases</t>
  </si>
  <si>
    <t>Contracted services</t>
  </si>
  <si>
    <t>Budgeted Financial Performance</t>
  </si>
  <si>
    <t>Forecast Financial Performance</t>
  </si>
  <si>
    <t>SFPerf1</t>
  </si>
  <si>
    <t>SFPerf2</t>
  </si>
  <si>
    <t>SFPos1</t>
  </si>
  <si>
    <t>SFPos2</t>
  </si>
  <si>
    <t>Budgeted Financial Position</t>
  </si>
  <si>
    <t>3. Include deferred tax and tax provisions</t>
  </si>
  <si>
    <t>Interest</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</si>
  <si>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</si>
  <si>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</si>
  <si>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</si>
  <si>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</si>
  <si>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</si>
  <si>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</si>
  <si>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</si>
  <si>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</si>
  <si>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</si>
  <si>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</si>
  <si>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</si>
  <si>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</si>
  <si>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</si>
  <si>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</si>
  <si>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</si>
  <si>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</si>
  <si>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</si>
  <si>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</si>
  <si>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</si>
  <si>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</si>
  <si>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</si>
  <si>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</si>
  <si>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</si>
  <si>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</si>
  <si>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</si>
  <si>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</si>
  <si>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</si>
  <si>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</si>
  <si>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</si>
  <si>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</si>
  <si>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</si>
  <si>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</si>
  <si>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</si>
  <si>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</si>
  <si>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</si>
  <si>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</si>
  <si>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</si>
  <si>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</si>
  <si>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</si>
  <si>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</si>
  <si>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</si>
  <si>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</si>
  <si>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</si>
  <si>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</si>
  <si>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</si>
  <si>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</si>
  <si>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</si>
  <si>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</si>
  <si>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</si>
  <si>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</si>
  <si>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</si>
  <si>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</si>
  <si>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</si>
  <si>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</si>
  <si>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</si>
  <si>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</si>
  <si>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</si>
  <si>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</si>
  <si>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</si>
  <si>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</si>
  <si>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</si>
  <si>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</si>
  <si>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</si>
  <si>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</si>
  <si>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</si>
  <si>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</si>
  <si>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</si>
  <si>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</si>
  <si>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</si>
  <si>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</si>
  <si>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</si>
  <si>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</si>
  <si>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</si>
  <si>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</si>
  <si>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Must reconcile with budget table D5</t>
  </si>
  <si>
    <t>2. Must reconcile with budget table D6</t>
  </si>
  <si>
    <t>Prior Adjusted</t>
  </si>
  <si>
    <t>Service charges</t>
  </si>
  <si>
    <t>Rental of facilities and equipment</t>
  </si>
  <si>
    <t>Head5B</t>
  </si>
  <si>
    <t>Pre-audit outcome</t>
  </si>
  <si>
    <t>Head58</t>
  </si>
  <si>
    <t>Parent muni.</t>
  </si>
  <si>
    <t>Head59</t>
  </si>
  <si>
    <t>Head3A</t>
  </si>
  <si>
    <t>TOTAL LIABILITIES</t>
  </si>
  <si>
    <t>MEB1A</t>
  </si>
  <si>
    <t>Longstanding Debtors Reduction Due To Recovery</t>
  </si>
  <si>
    <t>Creditors Management</t>
  </si>
  <si>
    <t>Creditors System Efficiency</t>
  </si>
  <si>
    <t xml:space="preserve">Entity Financial Performance Bugdet (Revenue &amp; Expenditure by Municipal Vote) - </t>
  </si>
  <si>
    <t>Names</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</si>
  <si>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</si>
  <si>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</si>
  <si>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</si>
  <si>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</si>
  <si>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</si>
  <si>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</si>
  <si>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</si>
  <si>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</si>
  <si>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</si>
  <si>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</si>
  <si>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</si>
  <si>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</si>
  <si>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</si>
  <si>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</si>
  <si>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</si>
  <si>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</si>
  <si>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</si>
  <si>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</si>
  <si>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</si>
  <si>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</si>
  <si>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</si>
  <si>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</si>
  <si>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</si>
  <si>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</si>
  <si>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</si>
  <si>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</si>
  <si>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</si>
  <si>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</si>
  <si>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</si>
  <si>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</si>
  <si>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</si>
  <si>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</si>
  <si>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</si>
  <si>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</si>
  <si>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</si>
  <si>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</si>
  <si>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</si>
  <si>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</si>
  <si>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</si>
  <si>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</si>
  <si>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</si>
  <si>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</si>
  <si>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</si>
  <si>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</si>
  <si>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</si>
  <si>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</si>
  <si>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</si>
  <si>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</si>
  <si>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</si>
  <si>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</si>
  <si>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</si>
  <si>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</si>
  <si>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</si>
  <si>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</si>
  <si>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</si>
  <si>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</si>
  <si>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</si>
  <si>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</si>
  <si>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</si>
  <si>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</si>
  <si>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</si>
  <si>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</si>
  <si>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</si>
  <si>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</si>
  <si>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</si>
  <si>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</si>
  <si>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</si>
  <si>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</si>
  <si>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</si>
  <si>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</si>
  <si>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</si>
  <si>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</si>
  <si>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</si>
  <si>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</si>
  <si>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</si>
  <si>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</si>
  <si>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</si>
  <si>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</si>
  <si>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</si>
  <si>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</si>
  <si>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</si>
  <si>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</si>
  <si>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</si>
  <si>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</si>
  <si>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</si>
  <si>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</si>
  <si>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</si>
  <si>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</si>
  <si>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</si>
  <si>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</si>
  <si>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</si>
  <si>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</si>
  <si>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</si>
  <si>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</si>
  <si>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</si>
  <si>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</si>
  <si>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</si>
  <si>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</si>
  <si>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</si>
  <si>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</si>
  <si>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</si>
  <si>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</si>
  <si>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</si>
  <si>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</si>
  <si>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</si>
  <si>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</si>
  <si>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</si>
  <si>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</si>
  <si>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</si>
  <si>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</si>
  <si>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</si>
  <si>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</si>
  <si>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</si>
  <si>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</si>
  <si>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</si>
  <si>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</si>
  <si>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</si>
  <si>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</si>
  <si>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</si>
  <si>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</si>
  <si>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</si>
  <si>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</si>
  <si>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</si>
  <si>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</si>
  <si>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</si>
  <si>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</si>
  <si>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</si>
  <si>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</si>
  <si>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</si>
  <si>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</si>
  <si>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</si>
  <si>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</si>
  <si>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</si>
  <si>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</si>
  <si>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</si>
  <si>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</si>
  <si>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</si>
  <si>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</si>
  <si>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</si>
  <si>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</si>
  <si>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</si>
  <si>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</si>
  <si>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</si>
  <si>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</si>
  <si>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</si>
  <si>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</si>
  <si>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</si>
  <si>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</si>
  <si>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</si>
  <si>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</si>
  <si>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</si>
  <si>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</si>
  <si>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</si>
  <si>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</si>
  <si>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</si>
  <si>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</si>
  <si>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</si>
  <si>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</si>
  <si>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</si>
  <si>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</si>
  <si>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</si>
  <si>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</si>
  <si>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</si>
  <si>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</si>
  <si>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</si>
  <si>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</si>
  <si>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</si>
  <si>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</si>
  <si>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</si>
  <si>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</si>
  <si>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</si>
  <si>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</si>
  <si>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</si>
  <si>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</si>
  <si>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</si>
  <si>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</si>
  <si>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</si>
  <si>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</si>
  <si>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</si>
  <si>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</si>
  <si>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</si>
  <si>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</si>
  <si>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</si>
  <si>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</si>
  <si>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</si>
  <si>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</si>
  <si>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</si>
  <si>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</si>
  <si>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</si>
  <si>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</si>
  <si>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</si>
  <si>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</si>
  <si>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</si>
  <si>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</si>
  <si>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</si>
  <si>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</si>
  <si>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</si>
  <si>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</si>
  <si>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</si>
  <si>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</si>
  <si>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</si>
  <si>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</si>
  <si>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</si>
  <si>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</si>
  <si>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</si>
  <si>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</si>
  <si>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</si>
  <si>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</si>
  <si>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</si>
  <si>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</si>
  <si>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</si>
  <si>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</si>
  <si>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</si>
  <si>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</si>
  <si>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</si>
  <si>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</si>
  <si>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</si>
  <si>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</si>
  <si>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</si>
  <si>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</si>
  <si>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</si>
  <si>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</si>
  <si>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</si>
  <si>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</si>
  <si>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</si>
  <si>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</si>
  <si>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</si>
  <si>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</si>
  <si>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</si>
  <si>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</si>
  <si>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</si>
  <si>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</si>
  <si>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</si>
  <si>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</si>
  <si>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</si>
  <si>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</si>
  <si>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</si>
  <si>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</si>
  <si>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</si>
  <si>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</si>
  <si>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</si>
  <si>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</si>
  <si>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</si>
  <si>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</si>
  <si>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</si>
  <si>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</si>
  <si>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</si>
  <si>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</si>
  <si>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</si>
  <si>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</si>
  <si>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</si>
  <si>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</si>
  <si>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</si>
  <si>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</si>
  <si>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</si>
  <si>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</si>
  <si>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</si>
  <si>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</si>
  <si>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</si>
  <si>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</si>
  <si>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</si>
  <si>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</si>
  <si>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</si>
  <si>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</si>
  <si>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</si>
  <si>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</si>
  <si>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</si>
  <si>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</si>
  <si>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</si>
  <si>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</si>
  <si>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</si>
  <si>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</si>
  <si>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</si>
  <si>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</si>
  <si>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</si>
  <si>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</si>
  <si>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</si>
  <si>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</si>
  <si>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</si>
  <si>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</si>
  <si>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</si>
  <si>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</si>
  <si>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</si>
  <si>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</si>
  <si>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</si>
  <si>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</si>
  <si>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</si>
  <si>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</si>
  <si>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</si>
  <si>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</si>
  <si>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</si>
  <si>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</si>
  <si>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</si>
  <si>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</si>
  <si>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</si>
  <si>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</si>
  <si>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</si>
  <si>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</si>
  <si>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</si>
  <si>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</si>
  <si>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</si>
  <si>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</si>
  <si>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</si>
  <si>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</si>
  <si>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</si>
  <si>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</si>
  <si>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</si>
  <si>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</si>
  <si>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</si>
  <si>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</si>
  <si>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</si>
  <si>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</si>
  <si>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</si>
  <si>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</si>
  <si>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</si>
  <si>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</si>
  <si>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</si>
  <si>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</si>
  <si>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</si>
  <si>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</si>
  <si>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</si>
  <si>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</si>
  <si>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</si>
  <si>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</si>
  <si>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</si>
  <si>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</si>
  <si>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</si>
  <si>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</si>
  <si>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</si>
  <si>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</si>
  <si>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</si>
  <si>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</si>
  <si>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</si>
  <si>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</si>
  <si>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</si>
  <si>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</si>
  <si>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</si>
  <si>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</si>
  <si>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</si>
  <si>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</si>
  <si>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</si>
  <si>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</si>
  <si>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</si>
  <si>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</si>
  <si>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</si>
  <si>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</si>
  <si>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</si>
  <si>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</si>
  <si>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</si>
  <si>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</si>
  <si>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</si>
  <si>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</si>
  <si>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</si>
  <si>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</si>
  <si>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</si>
  <si>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</si>
  <si>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</si>
  <si>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</si>
  <si>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</si>
  <si>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</si>
  <si>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</si>
  <si>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</si>
  <si>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</si>
  <si>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Municipal entity employees</t>
  </si>
  <si>
    <t>CEO and Senior Managers</t>
  </si>
  <si>
    <t>Total Personnel Numbers</t>
  </si>
  <si>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</si>
  <si>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</si>
  <si>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</si>
  <si>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</si>
  <si>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</si>
  <si>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</si>
  <si>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</si>
  <si>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</si>
  <si>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</si>
  <si>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</si>
  <si>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</si>
  <si>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</si>
  <si>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</si>
  <si>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</si>
  <si>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</si>
  <si>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</si>
  <si>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</si>
  <si>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</si>
  <si>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</si>
  <si>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</si>
  <si>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</si>
  <si>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</si>
  <si>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</si>
  <si>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</si>
  <si>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</si>
  <si>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</si>
  <si>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</si>
  <si>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</si>
  <si>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</si>
  <si>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</si>
  <si>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</si>
  <si>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</si>
  <si>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</si>
  <si>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</si>
  <si>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</si>
  <si>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</si>
  <si>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</si>
  <si>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</si>
  <si>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</si>
  <si>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</si>
  <si>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</si>
  <si>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</si>
  <si>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</si>
  <si>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</si>
  <si>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</si>
  <si>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</si>
  <si>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</si>
  <si>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</si>
  <si>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</si>
  <si>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</si>
  <si>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</si>
  <si>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</si>
  <si>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</si>
  <si>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</si>
  <si>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</si>
  <si>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</si>
  <si>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</si>
  <si>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</si>
  <si>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</si>
  <si>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</si>
  <si>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</si>
  <si>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</si>
  <si>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</si>
  <si>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</si>
  <si>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</si>
  <si>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</si>
  <si>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</si>
  <si>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</si>
  <si>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</si>
  <si>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</si>
  <si>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</si>
  <si>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</si>
  <si>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</si>
  <si>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</si>
  <si>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</si>
  <si>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</si>
  <si>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</si>
  <si>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</si>
  <si>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</si>
  <si>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</si>
  <si>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</si>
  <si>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</si>
  <si>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</si>
  <si>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</si>
  <si>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</si>
  <si>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</si>
  <si>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</si>
  <si>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</si>
  <si>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</si>
  <si>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</si>
  <si>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</si>
  <si>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</si>
  <si>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</si>
  <si>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</si>
  <si>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</si>
  <si>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</si>
  <si>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</si>
  <si>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</si>
  <si>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</si>
  <si>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</si>
  <si>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</si>
  <si>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</si>
  <si>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</si>
  <si>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</si>
  <si>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</si>
  <si>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</si>
  <si>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</si>
  <si>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</si>
  <si>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</si>
  <si>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</si>
  <si>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</si>
  <si>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</si>
  <si>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</si>
  <si>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</si>
  <si>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</si>
  <si>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</si>
  <si>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</si>
  <si>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</si>
  <si>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</si>
  <si>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</si>
  <si>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</si>
  <si>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</si>
  <si>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</si>
  <si>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</si>
  <si>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</si>
  <si>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</si>
  <si>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</si>
  <si>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</si>
  <si>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</si>
  <si>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</si>
  <si>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</si>
  <si>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</si>
  <si>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</si>
  <si>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</si>
  <si>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</si>
  <si>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</si>
  <si>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</si>
  <si>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</si>
  <si>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</si>
  <si>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</si>
  <si>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</si>
  <si>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</si>
  <si>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</si>
  <si>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</si>
  <si>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</si>
  <si>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</si>
  <si>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</si>
  <si>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</si>
  <si>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</si>
  <si>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</si>
  <si>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</si>
  <si>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</si>
  <si>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</si>
  <si>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</si>
  <si>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</si>
  <si>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</si>
  <si>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</si>
  <si>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</si>
  <si>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</si>
  <si>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</si>
  <si>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</si>
  <si>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</si>
  <si>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</si>
  <si>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</si>
  <si>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</si>
  <si>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</si>
  <si>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</si>
  <si>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</si>
  <si>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</si>
  <si>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</si>
  <si>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</si>
  <si>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</si>
  <si>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</si>
  <si>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</si>
  <si>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</si>
  <si>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</si>
  <si>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</si>
  <si>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</si>
  <si>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</si>
  <si>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</si>
  <si>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</si>
  <si>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</si>
  <si>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</si>
  <si>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</si>
  <si>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</si>
  <si>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</si>
  <si>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</si>
  <si>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</si>
  <si>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</si>
  <si>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</si>
  <si>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1. Total Capital Expenditure on new assets (SD7a) plus Total Capital Expenditure on renewal of existing assets (SD7b) plus Total Capital Expenditure  on upgrading of existing assets (SD7e) must reconcile to total capital expenditure in Budgeted Capital Expenditure</t>
  </si>
  <si>
    <t>Transfers recognised - operational</t>
  </si>
  <si>
    <t>Remuneration of councillors</t>
  </si>
  <si>
    <t>Transfers and grants</t>
  </si>
  <si>
    <t>Land</t>
  </si>
  <si>
    <t>EC101 Dr Beyers Naude</t>
  </si>
  <si>
    <t>EKU City of Ekurhuleni</t>
  </si>
  <si>
    <t>GT485 Rand West City</t>
  </si>
  <si>
    <t>KZN253 Emadlangeni</t>
  </si>
  <si>
    <t>KZN276 Hlabisa Big Five</t>
  </si>
  <si>
    <t>LIM345 Collins Chabane</t>
  </si>
  <si>
    <t>LIM368 Modimolle-Mookgopong</t>
  </si>
  <si>
    <t>LIM476 Tubatse Fetakgomo</t>
  </si>
  <si>
    <t>NC087 Dawid Kruiper</t>
  </si>
  <si>
    <t>NW405 J B Marks</t>
  </si>
  <si>
    <t>Finance charges &amp; Depreciation</t>
  </si>
  <si>
    <t>FC&amp;D/(Total Revenue - capital revenue)</t>
  </si>
  <si>
    <t>Credit Rating</t>
  </si>
  <si>
    <t>Function</t>
  </si>
  <si>
    <t>Project Description</t>
  </si>
  <si>
    <t>Project Number</t>
  </si>
  <si>
    <t>Type</t>
  </si>
  <si>
    <t>MTSF Service Outcome</t>
  </si>
  <si>
    <t>IUDF</t>
  </si>
  <si>
    <t>Own Strategic Objectives</t>
  </si>
  <si>
    <t>Asset Class</t>
  </si>
  <si>
    <t>Asset Sub-Class</t>
  </si>
  <si>
    <t>Ward Location</t>
  </si>
  <si>
    <t>GPS Longitude</t>
  </si>
  <si>
    <t>GPS Lattitude</t>
  </si>
  <si>
    <t>Entities:</t>
  </si>
  <si>
    <t>List all capital projects grouped by Entity</t>
  </si>
  <si>
    <t>Entity A</t>
  </si>
  <si>
    <t>Water project A</t>
  </si>
  <si>
    <t>Entity B</t>
  </si>
  <si>
    <t>Electricity project B</t>
  </si>
  <si>
    <t>Entity Capital expenditure</t>
  </si>
  <si>
    <t>1,3</t>
  </si>
  <si>
    <t>Revenue Obligation By Contract</t>
  </si>
  <si>
    <t>Expenditure Obligation By Contract</t>
  </si>
  <si>
    <t>Capital Expenditure Obligation By Contract</t>
  </si>
  <si>
    <t>Total Entity Expenditure Implication</t>
  </si>
  <si>
    <t>1. Total implication for all preceding years to be summed and total stated in 'Preceding Years' column</t>
  </si>
  <si>
    <t>3. For entities with approved total revenue not exceeding R250 m - all contracts with an annual cost greater than R500 000. For entities with approved total revenue greater than R250 m - all contracts with an annual cost greater than R1million. For entities with approved total revenue greater than R500 m - all contracts with an annual cost greater than R5 million</t>
  </si>
  <si>
    <t>Operating Revenue By Source</t>
  </si>
  <si>
    <t>Operating Expenditure By Type</t>
  </si>
  <si>
    <t>Parks</t>
  </si>
  <si>
    <t xml:space="preserve">Total capital expenditure </t>
  </si>
  <si>
    <t>Investments by Maturity</t>
  </si>
  <si>
    <t>Period of Investment</t>
  </si>
  <si>
    <t>Type of Investment</t>
  </si>
  <si>
    <t>Capital Guarantee
(Yes/ No)</t>
  </si>
  <si>
    <t>Variable or Fixed interest rate</t>
  </si>
  <si>
    <t>Commission Paid (Rands)</t>
  </si>
  <si>
    <t>Commission Recipient</t>
  </si>
  <si>
    <t>Opening balance</t>
  </si>
  <si>
    <t>Interest to be realised</t>
  </si>
  <si>
    <t>Investment Top Up</t>
  </si>
  <si>
    <t>Closing Balance</t>
  </si>
  <si>
    <t>Name of institution &amp; investment ID</t>
  </si>
  <si>
    <t>Yrs/Months</t>
  </si>
  <si>
    <t xml:space="preserve">Interest Rate </t>
  </si>
  <si>
    <t>Partial / Premature Withdrawal</t>
  </si>
  <si>
    <t>1. List investments in expiry date order</t>
  </si>
  <si>
    <t>2. If 'variable' is selected in column F, input interest rate range</t>
  </si>
  <si>
    <t>3. Withdrawals to be entered as negative</t>
  </si>
  <si>
    <t>Current Debtors Collection Rate (Cash receipts % of Ratepayer &amp; Other revenue)</t>
  </si>
  <si>
    <t>Creditors to Cash and Investments</t>
  </si>
  <si>
    <t>Electricity Distribution Losses (2)</t>
  </si>
  <si>
    <r>
      <t>Total Volume Losses (kW</t>
    </r>
    <r>
      <rPr>
        <sz val="8"/>
        <rFont val="Arial Narrow"/>
        <family val="2"/>
      </rPr>
      <t>)</t>
    </r>
  </si>
  <si>
    <t>Total Cost of Losses (Rand '000)</t>
  </si>
  <si>
    <t>% Volume (units purchased and generated less units sold)/units purchased and generated</t>
  </si>
  <si>
    <t>Water Distribution Losses (2)</t>
  </si>
  <si>
    <t>Total Volume Losses (kℓ)</t>
  </si>
  <si>
    <t>Total remuneration/(Total Revenue - capital revenue)</t>
  </si>
  <si>
    <t>Outstanding creditors</t>
  </si>
  <si>
    <t>Lists</t>
  </si>
  <si>
    <t>&lt;1</t>
  </si>
  <si>
    <t>&lt;4</t>
  </si>
  <si>
    <t>Market</t>
  </si>
  <si>
    <t>Land &amp; impr.</t>
  </si>
  <si>
    <t>Uniform</t>
  </si>
  <si>
    <t>Yrs</t>
  </si>
  <si>
    <t>Local Government Equitable Share</t>
  </si>
  <si>
    <t>Health subsidy</t>
  </si>
  <si>
    <t xml:space="preserve"> Municipal Infrastructure Grant (MIG)</t>
  </si>
  <si>
    <t>Agriculture</t>
  </si>
  <si>
    <t>Dep.Replace</t>
  </si>
  <si>
    <t>Land only</t>
  </si>
  <si>
    <t>Variable</t>
  </si>
  <si>
    <t>Mths</t>
  </si>
  <si>
    <t xml:space="preserve">RSC Levy Replacement </t>
  </si>
  <si>
    <t>Ambulance subsidy</t>
  </si>
  <si>
    <t xml:space="preserve"> Public Transport and Systems</t>
  </si>
  <si>
    <t>Education</t>
  </si>
  <si>
    <t xml:space="preserve">Finance Management </t>
  </si>
  <si>
    <t>Rural Transport Services and Infrastructure</t>
  </si>
  <si>
    <t>Health</t>
  </si>
  <si>
    <t>Municipal Systems Improvement</t>
  </si>
  <si>
    <t>Sport and Recreation</t>
  </si>
  <si>
    <t>Regional Bulk Infrastructure</t>
  </si>
  <si>
    <t xml:space="preserve">Housing and Local Government </t>
  </si>
  <si>
    <t>6-10</t>
  </si>
  <si>
    <t xml:space="preserve">Water Services Operating Subsidy </t>
  </si>
  <si>
    <t xml:space="preserve">Rural Households Infrastructure </t>
  </si>
  <si>
    <t>Other Departments</t>
  </si>
  <si>
    <t>&gt;10</t>
  </si>
  <si>
    <t>Energy Efficiency  and Demand Management</t>
  </si>
  <si>
    <t>Neighbourhood Development Partnership</t>
  </si>
  <si>
    <t xml:space="preserve">Public Works, Roads, Transport </t>
  </si>
  <si>
    <t>&gt;5</t>
  </si>
  <si>
    <t>Integrated National Electrification Programme</t>
  </si>
  <si>
    <t>2010 FIFA World Cup Stadiums Development</t>
  </si>
  <si>
    <t xml:space="preserve">Municipal Drought Relief </t>
  </si>
  <si>
    <t>2010 FIFA World Cup Operating</t>
  </si>
  <si>
    <t>Electricity Demand Side Management</t>
  </si>
  <si>
    <t>EPWP Incentive</t>
  </si>
  <si>
    <t>Asset sub-class old</t>
  </si>
  <si>
    <t>Asset sub-class</t>
  </si>
  <si>
    <t>MTSF</t>
  </si>
  <si>
    <t>Roads, Pavements &amp; Bridges</t>
  </si>
  <si>
    <t>Spatial integration</t>
  </si>
  <si>
    <t>Quality basic education</t>
  </si>
  <si>
    <t>Storm water</t>
  </si>
  <si>
    <t>Inclusion and access</t>
  </si>
  <si>
    <t>A long and healthy life for all South Africans</t>
  </si>
  <si>
    <t>Generation</t>
  </si>
  <si>
    <t>Growth</t>
  </si>
  <si>
    <t>All people in South Africa are and feel safe</t>
  </si>
  <si>
    <t>Transmission &amp; Reticulation</t>
  </si>
  <si>
    <t>Governance</t>
  </si>
  <si>
    <t>Decent employment through inclusive growth</t>
  </si>
  <si>
    <t>Street Lighting</t>
  </si>
  <si>
    <t>A skilled and capable workforce to support an inclusive growth path</t>
  </si>
  <si>
    <t>Dams &amp; Reservoirs</t>
  </si>
  <si>
    <t>An efficient, competitive and responsive economic infrastructure network</t>
  </si>
  <si>
    <t>Water purification</t>
  </si>
  <si>
    <t>Vibrant, equitable, sustainable rural communities contributing towards food security for all</t>
  </si>
  <si>
    <t>Sustainable human settlements and improved quality of household life</t>
  </si>
  <si>
    <t>Sewerage purification</t>
  </si>
  <si>
    <t>Responsive, accountable, effective and efficient local government</t>
  </si>
  <si>
    <t>NOTE: This sheet should not be directly amended - select headings from sheet 'S'</t>
  </si>
  <si>
    <t>Waste Management</t>
  </si>
  <si>
    <t>Protect and enhance our environmental assets and natural resources</t>
  </si>
  <si>
    <t>Transportation</t>
  </si>
  <si>
    <t>Create a better South Africa and contribute to a better Africa and a better world</t>
  </si>
  <si>
    <t>Gas</t>
  </si>
  <si>
    <t>An efficient, effective and development-oriented public service</t>
  </si>
  <si>
    <t>Parks &amp; gardens</t>
  </si>
  <si>
    <t>A comprehensive, responsive and sustainable social protection system</t>
  </si>
  <si>
    <t>Sportsfields &amp; stadia</t>
  </si>
  <si>
    <t>A diverse, socially cohesive society with a common national identity</t>
  </si>
  <si>
    <t>EC EASTERN CAPE</t>
  </si>
  <si>
    <t>Swimming pools</t>
  </si>
  <si>
    <t>Community halls</t>
  </si>
  <si>
    <t>Recreational facilities</t>
  </si>
  <si>
    <t>Fire, safety &amp; emergency</t>
  </si>
  <si>
    <t>Security and policing</t>
  </si>
  <si>
    <t>Buses</t>
  </si>
  <si>
    <t>Clinics</t>
  </si>
  <si>
    <t>Museums &amp; Art Galleries</t>
  </si>
  <si>
    <t>Cemeteries</t>
  </si>
  <si>
    <t>Social rental housing</t>
  </si>
  <si>
    <t>Buildings</t>
  </si>
  <si>
    <t>Housing development</t>
  </si>
  <si>
    <t>General vehicles</t>
  </si>
  <si>
    <t>Specialised vehicles - Refuse</t>
  </si>
  <si>
    <t>Specialised vehicles - Fire</t>
  </si>
  <si>
    <t>Specialised vehicles - Conservancy</t>
  </si>
  <si>
    <t>Specialised vehicles - Ambulances</t>
  </si>
  <si>
    <t>Plant &amp; equipment</t>
  </si>
  <si>
    <t>Computers - hardware/equipment</t>
  </si>
  <si>
    <t>Furniture and other office equipment</t>
  </si>
  <si>
    <t>Civic Land and Buildings</t>
  </si>
  <si>
    <t>Other Buildings</t>
  </si>
  <si>
    <t>Other Land</t>
  </si>
  <si>
    <t>Surplus Assets - (Investment or Inventory)</t>
  </si>
  <si>
    <t>Computers - software &amp; programming</t>
  </si>
  <si>
    <t>SA16 - Investments</t>
  </si>
  <si>
    <t>Security</t>
  </si>
  <si>
    <t>Interest rate</t>
  </si>
  <si>
    <t>Fixed</t>
  </si>
  <si>
    <t>SA36, SA37 - Capital projects</t>
  </si>
  <si>
    <t>FS FREE STATE</t>
  </si>
  <si>
    <t>Purls</t>
  </si>
  <si>
    <t>GT GAUTENG</t>
  </si>
  <si>
    <t>KZN KWAZULU-NATAL</t>
  </si>
  <si>
    <t>LIM LIMPOPO</t>
  </si>
  <si>
    <t>MP MPUMALANGA</t>
  </si>
  <si>
    <t>NC NORTHERN CAPE</t>
  </si>
  <si>
    <t>NW NORTH WEST</t>
  </si>
  <si>
    <t>WC WESTERN CAPE</t>
  </si>
  <si>
    <t>DC4 Garden Route</t>
  </si>
  <si>
    <t>Losses</t>
  </si>
  <si>
    <t>Gains</t>
  </si>
  <si>
    <t>Transfers and Subsidies - Operational</t>
  </si>
  <si>
    <t>Transfers and Subsidies - Capital</t>
  </si>
  <si>
    <t>Decrease (increase) in non-current receivables</t>
  </si>
  <si>
    <t xml:space="preserve">ABSA - 1 Day Account </t>
  </si>
  <si>
    <t>February 2013</t>
  </si>
  <si>
    <t>Call Account</t>
  </si>
  <si>
    <t>n/a</t>
  </si>
  <si>
    <t>ENGINEERING RETAIL</t>
  </si>
  <si>
    <t>ENGINEERING WIRES</t>
  </si>
  <si>
    <t>COMPLIANCE &amp; PERFORMANCE</t>
  </si>
  <si>
    <t>HUMAN RESOURCES</t>
  </si>
  <si>
    <t>TRAINING &amp; DEVELOPMENT</t>
  </si>
  <si>
    <t>DIGITAL RADIO SYSTEM</t>
  </si>
  <si>
    <t>UPGRADE &amp; REFURB  COMPUTER NETWORK</t>
  </si>
  <si>
    <t>PUBLIC ELECTRICITY CONNECTIONS</t>
  </si>
  <si>
    <t>REFURBISHMENT OF HIGH MAST LIGHTS</t>
  </si>
  <si>
    <t>ELECTRIFICATION INTERNAL PROJECTS</t>
  </si>
  <si>
    <t>INSTALLATION OF PUBLIC LIGHTING</t>
  </si>
  <si>
    <t>REP LOW VOLT DECREPIT 2/4/8 WAY BOXES</t>
  </si>
  <si>
    <t>REP BRITTLE OVERHEAD CONNECTIONS</t>
  </si>
  <si>
    <t>REMEDIAL WORK 132KV SOUTHERN  LINES</t>
  </si>
  <si>
    <t>S/LIGHTS REPLACE POLE TRNS POLES SECTION</t>
  </si>
  <si>
    <t>REPLACEMENT OF 11KV SWITCHGEARS</t>
  </si>
  <si>
    <t>REPLACEMENT OF OIL PLANT</t>
  </si>
  <si>
    <t>REPLACEMENT OF 32V BATTERIES</t>
  </si>
  <si>
    <t>REPLACEMENT OF 110V BATTERIES</t>
  </si>
  <si>
    <t>REPAIR MMM DIST DIST CENTRE</t>
  </si>
  <si>
    <t>REPAIR VISTA DIST DIST CENTRE</t>
  </si>
  <si>
    <t>VEHICLES</t>
  </si>
  <si>
    <t>SECURITY EQUIPMENT (CCTV )</t>
  </si>
  <si>
    <t>FURNITURE AND OFFICE EQUIPMENT</t>
  </si>
  <si>
    <t>SOLAR FARM GENERATION PLANT</t>
  </si>
  <si>
    <t>OFFICE BUILDING</t>
  </si>
  <si>
    <t>Centlec</t>
  </si>
  <si>
    <t>Complete 1550 household connections identified for electrification in the MMM area by 30 June 2020.</t>
  </si>
  <si>
    <t>Monthly,quarterly progress report and proof of payments</t>
  </si>
  <si>
    <t>Complete 1550 household connections identified for electrification in the MMM area by 30 June 2021.</t>
  </si>
  <si>
    <t>Erection of 23 high mast lights within Mangaung by 30 June 2020</t>
  </si>
  <si>
    <t>346 DC Transformer Inspections based on the maintenance plan to be completed from 1st of July 2018 to 30 June 2019.</t>
  </si>
  <si>
    <t>504 Distribution Centre Panels to be tested based on the maintenance plan from 1st of July 2018 to 30 June 2019.</t>
  </si>
  <si>
    <t>Unplanned interruptions of the supply should be restored as per NERSA license requirements in terms of NRS 048 by 30 June 2020</t>
  </si>
  <si>
    <t>Planned scheduled interruptions of the supply should be restored as per NERSA license requirements in terms of NRS 048 by 30 June 2020.</t>
  </si>
  <si>
    <t>Installed capacity of embedded generators on the Municipal Distribution Network</t>
  </si>
  <si>
    <t>Variable Interest Rate</t>
  </si>
  <si>
    <t>Complete 1550 household connections identified for electrification in the MMM area by 30 June 2022.</t>
  </si>
  <si>
    <t>Complete 1550 household connections identified for electrification in the MMM area by 30 June 2023.</t>
  </si>
  <si>
    <t>BULK SMART METER INSTALLATIONS</t>
  </si>
  <si>
    <t>METER REPLACEMENT PROJECT</t>
  </si>
  <si>
    <t>ELECTRIFICATION (USDG GRANT)</t>
  </si>
  <si>
    <t>BOTSHABELO: ESTABLISHMENT OF 132kV CONNECTION (INDUSTRIAL)</t>
  </si>
  <si>
    <t>BOTSHABELO: ESTABLISHMENT OF 132kV CONNECTION (VAALKRAAL)</t>
  </si>
  <si>
    <t>UPGRADING AND EXTENTION OF LV NETWORK</t>
  </si>
  <si>
    <t>INSTALL PREPAID METERS</t>
  </si>
  <si>
    <t>REP 2 &amp;4 WAY FIBREGLAS BOX (BOTS % TBAN)</t>
  </si>
  <si>
    <t>COMPUTER EQUIPMENT (COVID-19)</t>
  </si>
  <si>
    <t>Erection of 23 high mast lights within Mangaung by 30 June 2021</t>
  </si>
  <si>
    <t>Erection of 23 high mast lights within Mangaung by 30 June 2022</t>
  </si>
  <si>
    <t>Erection of 23 high mast lights within Mangaung by 30 June 2023</t>
  </si>
  <si>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2019 to 30 June 2020.</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</si>
  <si>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2020 to 30 June 2021.</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</si>
  <si>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2021 to 30 June 2022.</t>
    </r>
  </si>
  <si>
    <r>
      <t>480 kilometers of 132kV lines inspections based on the maintenance plan from 1</t>
    </r>
    <r>
      <rPr>
        <vertAlign val="superscript"/>
        <sz val="9"/>
        <color rgb="FF000000"/>
        <rFont val="Arial Narrow"/>
        <family val="2"/>
      </rPr>
      <t>st</t>
    </r>
    <r>
      <rPr>
        <sz val="9"/>
        <color rgb="FF000000"/>
        <rFont val="Arial Narrow"/>
        <family val="2"/>
      </rPr>
      <t xml:space="preserve"> July 2022 to 30 June 2023.</t>
    </r>
  </si>
  <si>
    <t>346 DC Transformer Inspections based on the maintenance plan to be completed from 1st of July 2020 to 30 June 2021.</t>
  </si>
  <si>
    <t>346 DC Transformer Inspections based on the maintenance plan to be completed from 1st of July 2021 to 30 June 2022.</t>
  </si>
  <si>
    <t>346 DC Transformer Inspections based on the maintenance plan to be completed from 1st of July 2022 to 30 June 2023.</t>
  </si>
  <si>
    <t>504 Distribution Centre Panels to be tested based on the maintenance plan from 1st of July 2020 to 30 June 2021.</t>
  </si>
  <si>
    <t>504 Distribution Centre Panels to be tested based on the maintenance plan from 1st of July 2021 to 30 June 2022.</t>
  </si>
  <si>
    <t>504 Distribution Centre Panels to be tested based on the maintenance plan from 1st of July 2022 to 30 June 2023.</t>
  </si>
  <si>
    <t>Unplanned interruptions of the supply should be restored as per NERSA license requirements in terms of NRS 048 by 30 June 2021</t>
  </si>
  <si>
    <t>Unplanned interruptions of the supply should be restored as per NERSA license requirements in terms of NRS 048 by 30 June 2022</t>
  </si>
  <si>
    <t>Unplanned interruptions of the supply should be restored as per NERSA license requirements in terms of NRS 048 by 30 June 2023</t>
  </si>
  <si>
    <t>IMPLEM BUSINESS CONT DISASTER RECOVERY</t>
  </si>
  <si>
    <t xml:space="preserve">SERVITUDES  LAND </t>
  </si>
  <si>
    <t>EXTENSION AND UPGRADING OF THE 11KV NETWORK</t>
  </si>
  <si>
    <t>TRANSFORMER REPLACE &amp; OTHER RELATED EQUIPMENT</t>
  </si>
  <si>
    <t>REFUR PROTEC &amp; SCADA SYSTEMS  DIST CENTRE</t>
  </si>
  <si>
    <t>SHIFTING OF CONNECTION AND REPLACEMENTS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</si>
</sst>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 #,##0.0000_ ;_ * \-#,##0.0000_ ;_ * &quot;-&quot;??_ ;_ @_ "/>
    <numFmt numFmtId="172" formatCode="_(* #,##0,_);_(* \(#,##0,\);_(* &quot;–&quot;?_);_(@_)"/>
    <numFmt numFmtId="173" formatCode="_(* #,##0_);_(* \(#,##0\);_(* &quot;–&quot;?_);_(@_)"/>
    <numFmt numFmtId="174" formatCode="_(* #,##0.0%_);_(* \(#,##0.0%\);_(* &quot;–&quot;?_);_(@_)"/>
    <numFmt numFmtId="175" formatCode="[$-1C09]dd\ mmmm\ yyyy"/>
  </numFmts>
  <fonts count="43"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name val="Arial"/>
      <family val="2"/>
    </font>
    <font>
      <sz val="10"/>
      <color rgb="FF000000"/>
      <name val="Arial"/>
      <family val="2"/>
    </font>
    <font>
      <vertAlign val="superscript"/>
      <sz val="9"/>
      <color rgb="FF000000"/>
      <name val="Arial Narrow"/>
      <family val="2"/>
    </font>
    <font>
      <sz val="9"/>
      <color rgb="FF000000"/>
      <name val="Arial Narrow"/>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5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4"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 fillId="0" borderId="0"/>
    <xf numFmtId="0" fontId="1" fillId="0" borderId="0"/>
    <xf numFmtId="0" fontId="1" fillId="0" borderId="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789">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6" fillId="0" borderId="11" xfId="0" applyFont="1" applyBorder="1" applyAlignment="1">
      <alignment horizontal="left" indent="1"/>
    </xf>
    <xf numFmtId="0" fontId="6" fillId="0" borderId="11" xfId="0" applyFont="1" applyBorder="1"/>
    <xf numFmtId="172" fontId="6" fillId="0" borderId="0" xfId="0" applyNumberFormat="1" applyFont="1" applyBorder="1"/>
    <xf numFmtId="172" fontId="6" fillId="0" borderId="20" xfId="0" applyNumberFormat="1" applyFont="1" applyBorder="1"/>
    <xf numFmtId="172" fontId="6" fillId="0" borderId="21" xfId="0" applyNumberFormat="1" applyFont="1" applyBorder="1"/>
    <xf numFmtId="172" fontId="7" fillId="0" borderId="0" xfId="0" applyNumberFormat="1" applyFont="1" applyBorder="1"/>
    <xf numFmtId="172" fontId="7" fillId="0" borderId="20" xfId="0" applyNumberFormat="1" applyFont="1" applyBorder="1"/>
    <xf numFmtId="172" fontId="7" fillId="0" borderId="21" xfId="0" applyNumberFormat="1" applyFont="1" applyBorder="1"/>
    <xf numFmtId="0" fontId="7" fillId="0" borderId="22" xfId="0" applyFont="1" applyBorder="1"/>
    <xf numFmtId="172" fontId="7" fillId="0" borderId="23" xfId="0" applyNumberFormat="1" applyFont="1" applyBorder="1"/>
    <xf numFmtId="172"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2" fontId="7" fillId="0" borderId="25" xfId="0" applyNumberFormat="1" applyFont="1" applyBorder="1"/>
    <xf numFmtId="172" fontId="7" fillId="0" borderId="26" xfId="0" applyNumberFormat="1" applyFont="1" applyBorder="1"/>
    <xf numFmtId="169" fontId="8" fillId="0" borderId="0" xfId="0" applyNumberFormat="1" applyFont="1" applyBorder="1"/>
    <xf numFmtId="0" fontId="10" fillId="0" borderId="0" xfId="0" applyFont="1" applyBorder="1"/>
    <xf numFmtId="0" fontId="8" fillId="0" borderId="0" xfId="0" applyFont="1" applyBorder="1"/>
    <xf numFmtId="165" fontId="10" fillId="0" borderId="0" xfId="28" applyNumberFormat="1" applyFont="1" applyBorder="1" applyAlignment="1">
      <alignment horizontal="right"/>
    </xf>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7" fontId="6" fillId="0" borderId="0" xfId="0" applyNumberFormat="1" applyFont="1"/>
    <xf numFmtId="0" fontId="6" fillId="0" borderId="0" xfId="0" applyFont="1" applyBorder="1" applyAlignment="1"/>
    <xf numFmtId="0" fontId="7" fillId="0" borderId="27" xfId="0" applyFont="1" applyBorder="1"/>
    <xf numFmtId="172" fontId="6" fillId="0" borderId="28" xfId="0" applyNumberFormat="1" applyFont="1" applyBorder="1"/>
    <xf numFmtId="172" fontId="6" fillId="0" borderId="29" xfId="0" applyNumberFormat="1" applyFont="1" applyBorder="1"/>
    <xf numFmtId="172" fontId="6" fillId="0" borderId="30" xfId="0" applyNumberFormat="1" applyFont="1" applyBorder="1"/>
    <xf numFmtId="172" fontId="7" fillId="0" borderId="30" xfId="0" applyNumberFormat="1" applyFont="1" applyBorder="1"/>
    <xf numFmtId="172" fontId="6" fillId="0" borderId="31" xfId="0" applyNumberFormat="1" applyFont="1" applyBorder="1"/>
    <xf numFmtId="172" fontId="6" fillId="0" borderId="32" xfId="0" applyNumberFormat="1" applyFont="1" applyBorder="1"/>
    <xf numFmtId="172" fontId="6" fillId="0" borderId="33" xfId="0" applyNumberFormat="1" applyFont="1" applyBorder="1"/>
    <xf numFmtId="172" fontId="6" fillId="0" borderId="34"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5"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8" fontId="6" fillId="0" borderId="21" xfId="44" applyNumberFormat="1" applyFont="1" applyFill="1" applyBorder="1" applyAlignment="1">
      <alignment horizontal="center" vertical="top" wrapText="1"/>
    </xf>
    <xf numFmtId="168" fontId="6" fillId="0" borderId="20" xfId="44"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8" fontId="6" fillId="0" borderId="21" xfId="0" applyNumberFormat="1" applyFont="1" applyFill="1" applyBorder="1" applyAlignment="1">
      <alignment horizontal="center" vertical="top" wrapText="1"/>
    </xf>
    <xf numFmtId="168"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6" fontId="6" fillId="0" borderId="21" xfId="28" applyNumberFormat="1" applyFont="1" applyFill="1" applyBorder="1" applyAlignment="1">
      <alignment vertical="top" wrapText="1"/>
    </xf>
    <xf numFmtId="166" fontId="6" fillId="0" borderId="20" xfId="28" applyNumberFormat="1" applyFont="1" applyFill="1" applyBorder="1" applyAlignment="1">
      <alignment vertical="top" wrapText="1"/>
    </xf>
    <xf numFmtId="166" fontId="6" fillId="0" borderId="0" xfId="28" applyNumberFormat="1" applyFont="1" applyFill="1" applyBorder="1" applyAlignment="1">
      <alignment vertical="top" wrapText="1"/>
    </xf>
    <xf numFmtId="9" fontId="6" fillId="0" borderId="20" xfId="44"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8"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6" fontId="6" fillId="0" borderId="33" xfId="28" applyNumberFormat="1" applyFont="1" applyBorder="1" applyAlignment="1">
      <alignment vertical="top" wrapText="1"/>
    </xf>
    <xf numFmtId="166" fontId="6" fillId="0" borderId="33" xfId="28" applyNumberFormat="1" applyFont="1" applyFill="1" applyBorder="1" applyAlignment="1">
      <alignment vertical="top" wrapText="1"/>
    </xf>
    <xf numFmtId="172" fontId="6" fillId="0" borderId="10" xfId="0" applyNumberFormat="1" applyFont="1" applyBorder="1"/>
    <xf numFmtId="0" fontId="7" fillId="0" borderId="28" xfId="0" applyFont="1" applyFill="1" applyBorder="1" applyAlignment="1">
      <alignment horizontal="center" vertical="center" wrapText="1"/>
    </xf>
    <xf numFmtId="0" fontId="7" fillId="0" borderId="35" xfId="0" applyFont="1" applyFill="1" applyBorder="1" applyAlignment="1">
      <alignment horizontal="center" vertical="center" wrapText="1"/>
    </xf>
    <xf numFmtId="164" fontId="6" fillId="0" borderId="0" xfId="28" applyFont="1"/>
    <xf numFmtId="172" fontId="6" fillId="0" borderId="36" xfId="0" applyNumberFormat="1" applyFont="1" applyBorder="1"/>
    <xf numFmtId="172" fontId="6" fillId="0" borderId="37" xfId="0" applyNumberFormat="1" applyFont="1" applyBorder="1"/>
    <xf numFmtId="172" fontId="7" fillId="0" borderId="38" xfId="0" applyNumberFormat="1" applyFont="1" applyBorder="1"/>
    <xf numFmtId="0" fontId="7" fillId="0" borderId="39" xfId="0" applyFont="1" applyFill="1" applyBorder="1" applyAlignment="1">
      <alignment horizontal="center" vertical="center" wrapText="1"/>
    </xf>
    <xf numFmtId="170" fontId="6" fillId="0" borderId="0" xfId="0" applyNumberFormat="1" applyFont="1"/>
    <xf numFmtId="172" fontId="6" fillId="0" borderId="25" xfId="0" applyNumberFormat="1" applyFont="1" applyBorder="1"/>
    <xf numFmtId="0" fontId="5" fillId="0" borderId="0" xfId="0" applyFont="1" applyFill="1" applyBorder="1" applyAlignment="1">
      <alignment horizontal="left"/>
    </xf>
    <xf numFmtId="0" fontId="7" fillId="0" borderId="40"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1" xfId="0" applyFont="1" applyBorder="1" applyAlignment="1">
      <alignment horizontal="left" vertical="top" wrapText="1"/>
    </xf>
    <xf numFmtId="171" fontId="6" fillId="0" borderId="0" xfId="28" applyNumberFormat="1" applyFont="1" applyBorder="1"/>
    <xf numFmtId="172" fontId="6" fillId="0" borderId="42" xfId="0" applyNumberFormat="1" applyFont="1" applyBorder="1"/>
    <xf numFmtId="172" fontId="7" fillId="0" borderId="37" xfId="0" applyNumberFormat="1" applyFont="1" applyBorder="1"/>
    <xf numFmtId="172" fontId="6" fillId="0" borderId="43" xfId="0" applyNumberFormat="1" applyFont="1" applyBorder="1"/>
    <xf numFmtId="0" fontId="7" fillId="0" borderId="29" xfId="0" applyFont="1" applyFill="1" applyBorder="1" applyAlignment="1">
      <alignment horizontal="center" vertical="center" wrapText="1"/>
    </xf>
    <xf numFmtId="9" fontId="7" fillId="0" borderId="28" xfId="44" applyFont="1" applyFill="1" applyBorder="1" applyAlignment="1">
      <alignment horizontal="center" vertical="center" wrapText="1"/>
    </xf>
    <xf numFmtId="9" fontId="7" fillId="0" borderId="20" xfId="44"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35"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6" fillId="0" borderId="44" xfId="0" applyFont="1" applyBorder="1" applyAlignment="1">
      <alignment horizontal="center"/>
    </xf>
    <xf numFmtId="172" fontId="7" fillId="0" borderId="45" xfId="0" applyNumberFormat="1" applyFont="1" applyBorder="1"/>
    <xf numFmtId="0" fontId="6" fillId="0" borderId="46" xfId="0" applyFont="1" applyBorder="1" applyAlignment="1">
      <alignment horizontal="center"/>
    </xf>
    <xf numFmtId="172" fontId="7" fillId="0" borderId="44" xfId="0" applyNumberFormat="1" applyFont="1" applyBorder="1"/>
    <xf numFmtId="0" fontId="6" fillId="0" borderId="47" xfId="0" applyFont="1" applyBorder="1" applyAlignment="1">
      <alignment horizontal="center"/>
    </xf>
    <xf numFmtId="172" fontId="7" fillId="0" borderId="48" xfId="0" applyNumberFormat="1" applyFont="1" applyBorder="1"/>
    <xf numFmtId="172" fontId="7" fillId="0" borderId="49" xfId="0" applyNumberFormat="1" applyFont="1" applyBorder="1"/>
    <xf numFmtId="172" fontId="6" fillId="0" borderId="38" xfId="0" applyNumberFormat="1" applyFont="1" applyBorder="1"/>
    <xf numFmtId="168" fontId="6" fillId="0" borderId="37" xfId="44"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2" fontId="6" fillId="0" borderId="24" xfId="0" applyNumberFormat="1" applyFont="1" applyBorder="1"/>
    <xf numFmtId="172" fontId="6" fillId="0" borderId="23" xfId="0" applyNumberFormat="1" applyFont="1" applyBorder="1"/>
    <xf numFmtId="172" fontId="6" fillId="0" borderId="45" xfId="0" applyNumberFormat="1" applyFont="1" applyBorder="1"/>
    <xf numFmtId="172" fontId="7" fillId="0" borderId="50" xfId="0" applyNumberFormat="1" applyFont="1" applyBorder="1"/>
    <xf numFmtId="0" fontId="7" fillId="0" borderId="51" xfId="0" applyFont="1" applyFill="1" applyBorder="1" applyAlignment="1">
      <alignment horizontal="left"/>
    </xf>
    <xf numFmtId="172" fontId="6" fillId="0" borderId="26" xfId="0" applyNumberFormat="1" applyFont="1" applyBorder="1"/>
    <xf numFmtId="9" fontId="7" fillId="0" borderId="40" xfId="44" applyFont="1" applyFill="1" applyBorder="1" applyAlignment="1">
      <alignment horizontal="center" vertical="center" wrapText="1"/>
    </xf>
    <xf numFmtId="168" fontId="7" fillId="0" borderId="37" xfId="44" applyNumberFormat="1" applyFont="1" applyFill="1" applyBorder="1" applyAlignment="1">
      <alignment vertical="top" wrapText="1"/>
    </xf>
    <xf numFmtId="0" fontId="7" fillId="0" borderId="52" xfId="0" applyFont="1" applyFill="1" applyBorder="1" applyAlignment="1">
      <alignment horizontal="center" vertical="top" wrapText="1"/>
    </xf>
    <xf numFmtId="0" fontId="7" fillId="0" borderId="53" xfId="0" applyFont="1" applyFill="1" applyBorder="1" applyAlignment="1">
      <alignment horizontal="center" vertical="top" wrapText="1"/>
    </xf>
    <xf numFmtId="0" fontId="7" fillId="0" borderId="54" xfId="0" applyFont="1" applyFill="1" applyBorder="1" applyAlignment="1">
      <alignment horizontal="center" vertical="top" wrapText="1"/>
    </xf>
    <xf numFmtId="0" fontId="7" fillId="0" borderId="47" xfId="0" applyFont="1" applyFill="1" applyBorder="1" applyAlignment="1">
      <alignment horizontal="left"/>
    </xf>
    <xf numFmtId="166" fontId="6" fillId="0" borderId="0" xfId="28" applyNumberFormat="1" applyFont="1" applyBorder="1" applyAlignment="1">
      <alignment vertical="top" wrapText="1"/>
    </xf>
    <xf numFmtId="0" fontId="6" fillId="0" borderId="47"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37" xfId="0" applyFont="1" applyBorder="1" applyAlignment="1">
      <alignment horizontal="center" vertical="top" wrapText="1"/>
    </xf>
    <xf numFmtId="9" fontId="6" fillId="0" borderId="21" xfId="44" applyNumberFormat="1" applyFont="1" applyBorder="1" applyAlignment="1">
      <alignment horizontal="center" vertical="top" wrapText="1"/>
    </xf>
    <xf numFmtId="9" fontId="6" fillId="0" borderId="37" xfId="44"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37"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37" xfId="0" applyNumberFormat="1" applyFont="1" applyBorder="1" applyAlignment="1">
      <alignment horizontal="center" vertical="top" wrapText="1"/>
    </xf>
    <xf numFmtId="168" fontId="6" fillId="0" borderId="37" xfId="0" applyNumberFormat="1" applyFont="1" applyBorder="1" applyAlignment="1">
      <alignment horizontal="center" vertical="top" wrapText="1"/>
    </xf>
    <xf numFmtId="168" fontId="6" fillId="0" borderId="21" xfId="0" applyNumberFormat="1" applyFont="1" applyBorder="1" applyAlignment="1">
      <alignment horizontal="center" vertical="top" wrapText="1"/>
    </xf>
    <xf numFmtId="166" fontId="6" fillId="0" borderId="21" xfId="28" applyNumberFormat="1" applyFont="1" applyBorder="1" applyAlignment="1">
      <alignment vertical="top" wrapText="1"/>
    </xf>
    <xf numFmtId="166" fontId="6" fillId="0" borderId="20" xfId="28" applyNumberFormat="1" applyFont="1" applyBorder="1" applyAlignment="1">
      <alignment vertical="top" wrapText="1"/>
    </xf>
    <xf numFmtId="166" fontId="6" fillId="0" borderId="37" xfId="28" applyNumberFormat="1" applyFont="1" applyBorder="1" applyAlignment="1">
      <alignment vertical="top" wrapText="1"/>
    </xf>
    <xf numFmtId="166" fontId="6" fillId="0" borderId="42" xfId="28" applyNumberFormat="1" applyFont="1" applyBorder="1" applyAlignment="1">
      <alignment vertical="top" wrapText="1"/>
    </xf>
    <xf numFmtId="9" fontId="6" fillId="0" borderId="20" xfId="44" applyFont="1" applyFill="1" applyBorder="1" applyAlignment="1">
      <alignment horizontal="center" vertical="top" wrapText="1"/>
    </xf>
    <xf numFmtId="9" fontId="6" fillId="0" borderId="37" xfId="44" applyFont="1" applyFill="1" applyBorder="1" applyAlignment="1">
      <alignment horizontal="center" vertical="top" wrapText="1"/>
    </xf>
    <xf numFmtId="166" fontId="6" fillId="0" borderId="37" xfId="28" applyNumberFormat="1" applyFont="1" applyFill="1" applyBorder="1" applyAlignment="1">
      <alignment vertical="top" wrapText="1"/>
    </xf>
    <xf numFmtId="166" fontId="6" fillId="0" borderId="34" xfId="28" applyNumberFormat="1" applyFont="1" applyFill="1" applyBorder="1" applyAlignment="1">
      <alignment vertical="top" wrapText="1"/>
    </xf>
    <xf numFmtId="166" fontId="6" fillId="0" borderId="42" xfId="28" applyNumberFormat="1" applyFont="1" applyFill="1" applyBorder="1" applyAlignment="1">
      <alignment vertical="top" wrapText="1"/>
    </xf>
    <xf numFmtId="9" fontId="6" fillId="0" borderId="21" xfId="44" applyNumberFormat="1" applyFont="1" applyFill="1" applyBorder="1" applyAlignment="1">
      <alignment horizontal="center" vertical="top" wrapText="1"/>
    </xf>
    <xf numFmtId="9" fontId="6" fillId="0" borderId="20" xfId="44" applyNumberFormat="1" applyFont="1" applyFill="1" applyBorder="1" applyAlignment="1">
      <alignment horizontal="center" vertical="top" wrapText="1"/>
    </xf>
    <xf numFmtId="9" fontId="6" fillId="0" borderId="37" xfId="44" applyNumberFormat="1" applyFont="1" applyFill="1" applyBorder="1" applyAlignment="1">
      <alignment horizontal="center" vertical="top" wrapText="1"/>
    </xf>
    <xf numFmtId="0" fontId="6" fillId="0" borderId="37"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37" xfId="28" applyNumberFormat="1" applyFont="1" applyFill="1" applyBorder="1" applyAlignment="1">
      <alignment horizontal="center" vertical="top" wrapText="1"/>
    </xf>
    <xf numFmtId="9" fontId="6" fillId="0" borderId="37" xfId="0" applyNumberFormat="1" applyFont="1" applyFill="1" applyBorder="1" applyAlignment="1">
      <alignment horizontal="center" vertical="top" wrapText="1"/>
    </xf>
    <xf numFmtId="172" fontId="6" fillId="0" borderId="54" xfId="0" applyNumberFormat="1" applyFont="1" applyBorder="1" applyAlignment="1">
      <alignment horizontal="center"/>
    </xf>
    <xf numFmtId="172" fontId="6" fillId="0" borderId="52" xfId="0" applyNumberFormat="1" applyFont="1" applyBorder="1" applyAlignment="1">
      <alignment horizontal="center"/>
    </xf>
    <xf numFmtId="172" fontId="6" fillId="0" borderId="55" xfId="0" applyNumberFormat="1" applyFont="1" applyBorder="1" applyAlignment="1">
      <alignment horizontal="center"/>
    </xf>
    <xf numFmtId="172" fontId="6" fillId="0" borderId="50" xfId="0" applyNumberFormat="1" applyFont="1" applyBorder="1"/>
    <xf numFmtId="0" fontId="7" fillId="0" borderId="51" xfId="0" applyFont="1" applyFill="1" applyBorder="1" applyAlignment="1">
      <alignment horizontal="left" wrapText="1"/>
    </xf>
    <xf numFmtId="9" fontId="7" fillId="0" borderId="20" xfId="44" applyFont="1" applyFill="1" applyBorder="1" applyAlignment="1">
      <alignment horizontal="center" vertical="top" wrapText="1"/>
    </xf>
    <xf numFmtId="9" fontId="7" fillId="0" borderId="19" xfId="44" applyFont="1" applyFill="1" applyBorder="1" applyAlignment="1">
      <alignment horizontal="center" vertical="top" wrapText="1"/>
    </xf>
    <xf numFmtId="9" fontId="7" fillId="0" borderId="31" xfId="44" applyFont="1" applyFill="1" applyBorder="1" applyAlignment="1">
      <alignment horizontal="center" vertical="top" wrapText="1"/>
    </xf>
    <xf numFmtId="9" fontId="7" fillId="0" borderId="52" xfId="44" applyFont="1" applyFill="1" applyBorder="1" applyAlignment="1">
      <alignment horizontal="center" vertical="top" wrapText="1"/>
    </xf>
    <xf numFmtId="0" fontId="2" fillId="0" borderId="57" xfId="0" applyFont="1" applyFill="1" applyBorder="1" applyAlignment="1">
      <alignment horizontal="center"/>
    </xf>
    <xf numFmtId="0" fontId="2" fillId="0" borderId="58" xfId="0" applyFont="1" applyFill="1" applyBorder="1"/>
    <xf numFmtId="0" fontId="3" fillId="0" borderId="0" xfId="0" applyFont="1"/>
    <xf numFmtId="0" fontId="2" fillId="0" borderId="57" xfId="0" applyFont="1" applyBorder="1" applyAlignment="1">
      <alignment horizontal="center"/>
    </xf>
    <xf numFmtId="0" fontId="2" fillId="0" borderId="13" xfId="0" applyFont="1" applyFill="1" applyBorder="1"/>
    <xf numFmtId="172" fontId="7" fillId="0" borderId="29" xfId="0" applyNumberFormat="1" applyFont="1" applyBorder="1"/>
    <xf numFmtId="172" fontId="7" fillId="0" borderId="28" xfId="0" applyNumberFormat="1" applyFont="1" applyBorder="1"/>
    <xf numFmtId="172" fontId="7" fillId="0" borderId="43" xfId="0" applyNumberFormat="1" applyFont="1" applyBorder="1"/>
    <xf numFmtId="172" fontId="7" fillId="0" borderId="34" xfId="0" applyNumberFormat="1" applyFont="1" applyBorder="1"/>
    <xf numFmtId="172" fontId="7" fillId="0" borderId="33" xfId="0" applyNumberFormat="1" applyFont="1" applyBorder="1"/>
    <xf numFmtId="172" fontId="7" fillId="0" borderId="42" xfId="0" applyNumberFormat="1" applyFont="1" applyBorder="1"/>
    <xf numFmtId="172" fontId="6" fillId="0" borderId="46" xfId="0" applyNumberFormat="1" applyFont="1" applyBorder="1"/>
    <xf numFmtId="9" fontId="6" fillId="0" borderId="34" xfId="44"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39"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35" xfId="0" applyFont="1" applyFill="1" applyBorder="1" applyAlignment="1" applyProtection="1">
      <alignment horizontal="centerContinuous" vertical="center" wrapText="1"/>
    </xf>
    <xf numFmtId="0" fontId="9" fillId="0" borderId="11" xfId="0" applyFont="1" applyBorder="1" applyProtection="1"/>
    <xf numFmtId="172" fontId="6" fillId="0" borderId="20" xfId="0" applyNumberFormat="1" applyFont="1" applyBorder="1" applyProtection="1"/>
    <xf numFmtId="172" fontId="6" fillId="0" borderId="37" xfId="0" applyNumberFormat="1" applyFont="1" applyBorder="1" applyProtection="1"/>
    <xf numFmtId="172"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9" fontId="6" fillId="0" borderId="0" xfId="0" applyNumberFormat="1" applyFont="1" applyBorder="1" applyProtection="1"/>
    <xf numFmtId="0" fontId="6" fillId="0" borderId="0" xfId="0" applyFont="1" applyFill="1" applyProtection="1"/>
    <xf numFmtId="172" fontId="7" fillId="0" borderId="25" xfId="0" applyNumberFormat="1" applyFont="1" applyBorder="1" applyProtection="1"/>
    <xf numFmtId="172" fontId="7" fillId="0" borderId="38" xfId="0" applyNumberFormat="1" applyFont="1" applyBorder="1" applyProtection="1"/>
    <xf numFmtId="172" fontId="7" fillId="0" borderId="26" xfId="0" applyNumberFormat="1" applyFont="1" applyBorder="1" applyProtection="1"/>
    <xf numFmtId="169"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2" fontId="7" fillId="0" borderId="20" xfId="0" applyNumberFormat="1" applyFont="1" applyBorder="1" applyProtection="1"/>
    <xf numFmtId="172" fontId="7" fillId="0" borderId="37" xfId="0" applyNumberFormat="1" applyFont="1" applyBorder="1" applyProtection="1"/>
    <xf numFmtId="172" fontId="7" fillId="0" borderId="21" xfId="0" applyNumberFormat="1" applyFont="1" applyBorder="1" applyProtection="1"/>
    <xf numFmtId="172" fontId="7" fillId="0" borderId="20" xfId="0" applyNumberFormat="1" applyFont="1" applyBorder="1" applyAlignment="1" applyProtection="1">
      <alignment vertical="top"/>
    </xf>
    <xf numFmtId="172" fontId="7" fillId="0" borderId="37" xfId="0" applyNumberFormat="1" applyFont="1" applyBorder="1" applyAlignment="1" applyProtection="1">
      <alignment vertical="top"/>
    </xf>
    <xf numFmtId="172" fontId="7" fillId="0" borderId="21" xfId="0" applyNumberFormat="1" applyFont="1" applyBorder="1" applyAlignment="1" applyProtection="1">
      <alignment vertical="top"/>
    </xf>
    <xf numFmtId="0" fontId="6" fillId="0" borderId="0" xfId="0" applyFont="1" applyBorder="1" applyProtection="1"/>
    <xf numFmtId="169"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2" fontId="6" fillId="25" borderId="20" xfId="0" applyNumberFormat="1" applyFont="1" applyFill="1" applyBorder="1" applyProtection="1">
      <protection locked="0"/>
    </xf>
    <xf numFmtId="172" fontId="6" fillId="25" borderId="37" xfId="0" applyNumberFormat="1" applyFont="1" applyFill="1" applyBorder="1" applyProtection="1">
      <protection locked="0"/>
    </xf>
    <xf numFmtId="172" fontId="6" fillId="25" borderId="21" xfId="0" applyNumberFormat="1" applyFont="1" applyFill="1" applyBorder="1" applyProtection="1">
      <protection locked="0"/>
    </xf>
    <xf numFmtId="172" fontId="6" fillId="25" borderId="52" xfId="0" applyNumberFormat="1" applyFont="1" applyFill="1" applyBorder="1" applyProtection="1">
      <protection locked="0"/>
    </xf>
    <xf numFmtId="172" fontId="6" fillId="25" borderId="55" xfId="0" applyNumberFormat="1" applyFont="1" applyFill="1" applyBorder="1" applyProtection="1">
      <protection locked="0"/>
    </xf>
    <xf numFmtId="172" fontId="6" fillId="25" borderId="54" xfId="0" applyNumberFormat="1" applyFont="1" applyFill="1" applyBorder="1" applyProtection="1">
      <protection locked="0"/>
    </xf>
    <xf numFmtId="172" fontId="6" fillId="0" borderId="20" xfId="0" applyNumberFormat="1" applyFont="1" applyFill="1" applyBorder="1"/>
    <xf numFmtId="172" fontId="6" fillId="0" borderId="37" xfId="0" applyNumberFormat="1" applyFont="1" applyFill="1" applyBorder="1"/>
    <xf numFmtId="172" fontId="6" fillId="0" borderId="21" xfId="0" applyNumberFormat="1" applyFont="1" applyFill="1" applyBorder="1"/>
    <xf numFmtId="172" fontId="7" fillId="25" borderId="21" xfId="0" applyNumberFormat="1" applyFont="1" applyFill="1" applyBorder="1" applyProtection="1">
      <protection locked="0"/>
    </xf>
    <xf numFmtId="169"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4" applyFont="1" applyFill="1" applyBorder="1" applyAlignment="1" applyProtection="1">
      <alignment horizontal="center" vertical="top" wrapText="1"/>
      <protection locked="0"/>
    </xf>
    <xf numFmtId="9" fontId="6" fillId="25" borderId="20" xfId="44" applyFont="1" applyFill="1" applyBorder="1" applyAlignment="1" applyProtection="1">
      <alignment horizontal="center" vertical="top" wrapText="1"/>
      <protection locked="0"/>
    </xf>
    <xf numFmtId="9" fontId="6" fillId="25" borderId="37" xfId="44" applyFont="1" applyFill="1" applyBorder="1" applyAlignment="1" applyProtection="1">
      <alignment horizontal="center" vertical="top" wrapText="1"/>
      <protection locked="0"/>
    </xf>
    <xf numFmtId="0" fontId="6" fillId="25" borderId="11" xfId="0" applyFont="1" applyFill="1" applyBorder="1" applyProtection="1">
      <protection locked="0"/>
    </xf>
    <xf numFmtId="169" fontId="6" fillId="25" borderId="20" xfId="0" applyNumberFormat="1" applyFont="1" applyFill="1" applyBorder="1" applyProtection="1">
      <protection locked="0"/>
    </xf>
    <xf numFmtId="169" fontId="6" fillId="25" borderId="37" xfId="0" applyNumberFormat="1" applyFont="1" applyFill="1" applyBorder="1" applyProtection="1">
      <protection locked="0"/>
    </xf>
    <xf numFmtId="172" fontId="6" fillId="25" borderId="30" xfId="0" applyNumberFormat="1" applyFont="1" applyFill="1" applyBorder="1" applyProtection="1">
      <protection locked="0"/>
    </xf>
    <xf numFmtId="169" fontId="6" fillId="25" borderId="28" xfId="0" applyNumberFormat="1" applyFont="1" applyFill="1" applyBorder="1" applyAlignment="1" applyProtection="1">
      <alignment horizontal="center"/>
      <protection locked="0"/>
    </xf>
    <xf numFmtId="169"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57" xfId="0" applyFont="1" applyFill="1" applyBorder="1" applyAlignment="1">
      <alignment horizontal="center" vertical="center" wrapText="1"/>
    </xf>
    <xf numFmtId="0" fontId="14" fillId="26" borderId="57" xfId="0" applyFont="1" applyFill="1" applyBorder="1"/>
    <xf numFmtId="0" fontId="14" fillId="26" borderId="58" xfId="0" applyFont="1" applyFill="1" applyBorder="1" applyAlignment="1">
      <alignment horizontal="left"/>
    </xf>
    <xf numFmtId="0" fontId="14" fillId="26" borderId="14" xfId="0" applyFont="1" applyFill="1" applyBorder="1" applyAlignment="1">
      <alignment horizontal="left"/>
    </xf>
    <xf numFmtId="0" fontId="14" fillId="26" borderId="57" xfId="0" applyFont="1" applyFill="1" applyBorder="1" applyAlignment="1">
      <alignment horizontal="left"/>
    </xf>
    <xf numFmtId="0" fontId="3" fillId="27" borderId="0" xfId="0" applyFont="1" applyFill="1"/>
    <xf numFmtId="0" fontId="2" fillId="0" borderId="10" xfId="0" applyFont="1" applyBorder="1"/>
    <xf numFmtId="0" fontId="2" fillId="0" borderId="41" xfId="0" applyFont="1" applyBorder="1"/>
    <xf numFmtId="0" fontId="15" fillId="0" borderId="0" xfId="0" applyFont="1"/>
    <xf numFmtId="0" fontId="2" fillId="0" borderId="15" xfId="0" applyFont="1" applyBorder="1"/>
    <xf numFmtId="0" fontId="16" fillId="0" borderId="0" xfId="0" applyFont="1"/>
    <xf numFmtId="0" fontId="7" fillId="0" borderId="39" xfId="0" applyFont="1" applyFill="1" applyBorder="1" applyAlignment="1" applyProtection="1">
      <alignment horizontal="center" vertical="center" wrapText="1"/>
    </xf>
    <xf numFmtId="0" fontId="9" fillId="0" borderId="59" xfId="0" applyFont="1" applyFill="1" applyBorder="1"/>
    <xf numFmtId="0" fontId="7" fillId="0" borderId="59" xfId="0" applyFont="1" applyFill="1" applyBorder="1"/>
    <xf numFmtId="0" fontId="6" fillId="0" borderId="15" xfId="0" applyFont="1" applyFill="1" applyBorder="1"/>
    <xf numFmtId="0" fontId="9" fillId="0" borderId="57"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0" borderId="15" xfId="0" applyFont="1" applyBorder="1" applyAlignment="1">
      <alignment horizontal="left" indent="1"/>
    </xf>
    <xf numFmtId="0" fontId="6" fillId="0" borderId="41" xfId="0" applyFont="1" applyBorder="1" applyAlignment="1">
      <alignment horizontal="center"/>
    </xf>
    <xf numFmtId="0" fontId="7" fillId="0" borderId="11" xfId="0" applyFont="1" applyFill="1" applyBorder="1" applyAlignment="1">
      <alignment horizontal="center" vertical="center" wrapText="1"/>
    </xf>
    <xf numFmtId="0" fontId="6" fillId="25" borderId="59" xfId="0" applyFont="1" applyFill="1" applyBorder="1" applyProtection="1">
      <protection locked="0"/>
    </xf>
    <xf numFmtId="0" fontId="6" fillId="0" borderId="54" xfId="0" applyFont="1" applyBorder="1" applyAlignment="1">
      <alignment horizontal="center" wrapText="1"/>
    </xf>
    <xf numFmtId="0" fontId="6" fillId="0" borderId="29"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7" fillId="0" borderId="11" xfId="0" applyNumberFormat="1" applyFont="1" applyBorder="1" applyAlignment="1">
      <alignment horizontal="left" wrapText="1"/>
    </xf>
    <xf numFmtId="172" fontId="7" fillId="0" borderId="26" xfId="0" applyNumberFormat="1" applyFont="1" applyBorder="1" applyAlignment="1">
      <alignment vertical="top"/>
    </xf>
    <xf numFmtId="172" fontId="7" fillId="0" borderId="25" xfId="0" applyNumberFormat="1" applyFont="1" applyBorder="1" applyAlignment="1">
      <alignment vertical="top"/>
    </xf>
    <xf numFmtId="172" fontId="7" fillId="0" borderId="38"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59"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2" fontId="7" fillId="0" borderId="28" xfId="0" applyNumberFormat="1" applyFont="1" applyFill="1" applyBorder="1"/>
    <xf numFmtId="172" fontId="7" fillId="0" borderId="0" xfId="0" applyNumberFormat="1" applyFont="1" applyFill="1" applyBorder="1"/>
    <xf numFmtId="172" fontId="7" fillId="0" borderId="11" xfId="0" applyNumberFormat="1" applyFont="1" applyFill="1" applyBorder="1"/>
    <xf numFmtId="172" fontId="7" fillId="0" borderId="20" xfId="0" applyNumberFormat="1" applyFont="1" applyFill="1" applyBorder="1"/>
    <xf numFmtId="172" fontId="7" fillId="0" borderId="12" xfId="0" applyNumberFormat="1" applyFont="1" applyFill="1" applyBorder="1"/>
    <xf numFmtId="172" fontId="7" fillId="0" borderId="43" xfId="0" applyNumberFormat="1" applyFont="1" applyFill="1" applyBorder="1"/>
    <xf numFmtId="172" fontId="7" fillId="0" borderId="37" xfId="0" applyNumberFormat="1" applyFont="1" applyFill="1" applyBorder="1"/>
    <xf numFmtId="0" fontId="6" fillId="0" borderId="11" xfId="0" applyFont="1" applyBorder="1" applyAlignment="1">
      <alignment horizontal="left" indent="2"/>
    </xf>
    <xf numFmtId="0" fontId="6" fillId="0" borderId="60" xfId="0" applyFont="1" applyBorder="1" applyAlignment="1">
      <alignment horizontal="center"/>
    </xf>
    <xf numFmtId="0" fontId="7" fillId="0" borderId="11" xfId="0" applyFont="1" applyBorder="1" applyAlignment="1">
      <alignment horizontal="left" indent="1"/>
    </xf>
    <xf numFmtId="0" fontId="7" fillId="0" borderId="51"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2" fontId="6" fillId="25" borderId="48" xfId="0" applyNumberFormat="1" applyFont="1" applyFill="1" applyBorder="1" applyProtection="1">
      <protection locked="0"/>
    </xf>
    <xf numFmtId="0" fontId="6" fillId="0" borderId="11" xfId="0" applyNumberFormat="1" applyFont="1" applyBorder="1"/>
    <xf numFmtId="172" fontId="6" fillId="0" borderId="12" xfId="0" applyNumberFormat="1" applyFont="1" applyBorder="1"/>
    <xf numFmtId="172" fontId="6" fillId="0" borderId="11" xfId="0" applyNumberFormat="1" applyFont="1" applyBorder="1"/>
    <xf numFmtId="172" fontId="7" fillId="0" borderId="12" xfId="0" applyNumberFormat="1" applyFont="1" applyBorder="1"/>
    <xf numFmtId="172" fontId="7" fillId="0" borderId="11" xfId="0" applyNumberFormat="1" applyFont="1" applyBorder="1"/>
    <xf numFmtId="0" fontId="10" fillId="0" borderId="11" xfId="0" applyNumberFormat="1" applyFont="1" applyBorder="1"/>
    <xf numFmtId="0" fontId="9" fillId="0" borderId="57" xfId="0" applyFont="1" applyBorder="1"/>
    <xf numFmtId="0" fontId="7" fillId="0" borderId="59" xfId="0" applyFont="1" applyBorder="1"/>
    <xf numFmtId="172" fontId="7" fillId="0" borderId="40" xfId="0" applyNumberFormat="1" applyFont="1" applyBorder="1"/>
    <xf numFmtId="172" fontId="7" fillId="0" borderId="61" xfId="0" applyNumberFormat="1" applyFont="1" applyBorder="1"/>
    <xf numFmtId="0" fontId="6" fillId="0" borderId="58" xfId="0" applyFont="1" applyBorder="1"/>
    <xf numFmtId="0" fontId="6" fillId="0" borderId="58" xfId="0" applyFont="1" applyBorder="1" applyAlignment="1">
      <alignment horizontal="center"/>
    </xf>
    <xf numFmtId="172" fontId="6" fillId="0" borderId="58" xfId="0" applyNumberFormat="1" applyFont="1" applyBorder="1"/>
    <xf numFmtId="0" fontId="5" fillId="0" borderId="13" xfId="0" applyFont="1" applyFill="1" applyBorder="1" applyAlignment="1">
      <alignment horizontal="left"/>
    </xf>
    <xf numFmtId="49" fontId="7" fillId="0" borderId="32" xfId="0" applyNumberFormat="1" applyFont="1" applyFill="1" applyBorder="1" applyAlignment="1">
      <alignment horizontal="center" vertical="center" wrapText="1"/>
    </xf>
    <xf numFmtId="0" fontId="7" fillId="0" borderId="31" xfId="0" applyFont="1" applyFill="1" applyBorder="1" applyAlignment="1">
      <alignment vertical="center"/>
    </xf>
    <xf numFmtId="0" fontId="7" fillId="0" borderId="33"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3" fontId="6" fillId="0" borderId="20" xfId="28" applyNumberFormat="1" applyFont="1" applyBorder="1"/>
    <xf numFmtId="173" fontId="6" fillId="0" borderId="12" xfId="28" applyNumberFormat="1" applyFont="1" applyBorder="1"/>
    <xf numFmtId="173" fontId="6" fillId="0" borderId="11" xfId="28" applyNumberFormat="1" applyFont="1" applyBorder="1"/>
    <xf numFmtId="173" fontId="6" fillId="0" borderId="37" xfId="28" applyNumberFormat="1" applyFont="1" applyBorder="1"/>
    <xf numFmtId="173" fontId="6" fillId="0" borderId="0" xfId="28" applyNumberFormat="1" applyFont="1" applyBorder="1"/>
    <xf numFmtId="173" fontId="6" fillId="25" borderId="20" xfId="28" applyNumberFormat="1" applyFont="1" applyFill="1" applyBorder="1" applyProtection="1">
      <protection locked="0"/>
    </xf>
    <xf numFmtId="173" fontId="6" fillId="25" borderId="12" xfId="28" applyNumberFormat="1" applyFont="1" applyFill="1" applyBorder="1" applyProtection="1">
      <protection locked="0"/>
    </xf>
    <xf numFmtId="173" fontId="6" fillId="25" borderId="11" xfId="28" applyNumberFormat="1" applyFont="1" applyFill="1" applyBorder="1" applyProtection="1">
      <protection locked="0"/>
    </xf>
    <xf numFmtId="173" fontId="6" fillId="25" borderId="37" xfId="28" applyNumberFormat="1" applyFont="1" applyFill="1" applyBorder="1" applyProtection="1">
      <protection locked="0"/>
    </xf>
    <xf numFmtId="173" fontId="6" fillId="25" borderId="0" xfId="28" applyNumberFormat="1" applyFont="1" applyFill="1" applyBorder="1" applyProtection="1">
      <protection locked="0"/>
    </xf>
    <xf numFmtId="173" fontId="10" fillId="0" borderId="20" xfId="28" applyNumberFormat="1" applyFont="1" applyFill="1" applyBorder="1" applyProtection="1"/>
    <xf numFmtId="173" fontId="10" fillId="0" borderId="12" xfId="28" applyNumberFormat="1" applyFont="1" applyFill="1" applyBorder="1" applyProtection="1"/>
    <xf numFmtId="173" fontId="10" fillId="0" borderId="11" xfId="28" applyNumberFormat="1" applyFont="1" applyFill="1" applyBorder="1" applyProtection="1"/>
    <xf numFmtId="173" fontId="10" fillId="0" borderId="37" xfId="28" applyNumberFormat="1" applyFont="1" applyFill="1" applyBorder="1" applyProtection="1"/>
    <xf numFmtId="173" fontId="10" fillId="0" borderId="0" xfId="28" applyNumberFormat="1" applyFont="1" applyFill="1" applyBorder="1" applyProtection="1"/>
    <xf numFmtId="173" fontId="7" fillId="0" borderId="23" xfId="28" applyNumberFormat="1" applyFont="1" applyBorder="1"/>
    <xf numFmtId="173" fontId="7" fillId="0" borderId="56" xfId="28" applyNumberFormat="1" applyFont="1" applyBorder="1"/>
    <xf numFmtId="173" fontId="7" fillId="0" borderId="24" xfId="28" applyNumberFormat="1" applyFont="1" applyBorder="1"/>
    <xf numFmtId="173" fontId="7" fillId="0" borderId="45" xfId="28" applyNumberFormat="1" applyFont="1" applyBorder="1"/>
    <xf numFmtId="173" fontId="7" fillId="0" borderId="63" xfId="28" applyNumberFormat="1" applyFont="1" applyBorder="1"/>
    <xf numFmtId="174" fontId="7" fillId="0" borderId="20" xfId="28" applyNumberFormat="1" applyFont="1" applyBorder="1"/>
    <xf numFmtId="174" fontId="6" fillId="0" borderId="31" xfId="44" applyNumberFormat="1" applyFont="1" applyBorder="1" applyAlignment="1">
      <alignment horizontal="center"/>
    </xf>
    <xf numFmtId="174" fontId="6" fillId="0" borderId="36" xfId="44" applyNumberFormat="1" applyFont="1" applyBorder="1" applyAlignment="1">
      <alignment horizontal="center"/>
    </xf>
    <xf numFmtId="174" fontId="6" fillId="0" borderId="11" xfId="44" applyNumberFormat="1" applyFont="1" applyBorder="1" applyAlignment="1">
      <alignment horizontal="center"/>
    </xf>
    <xf numFmtId="174" fontId="6" fillId="0" borderId="20" xfId="44" applyNumberFormat="1" applyFont="1" applyBorder="1" applyAlignment="1">
      <alignment horizontal="center"/>
    </xf>
    <xf numFmtId="174" fontId="6" fillId="0" borderId="37" xfId="44" applyNumberFormat="1" applyFont="1" applyBorder="1" applyAlignment="1">
      <alignment horizontal="center"/>
    </xf>
    <xf numFmtId="174" fontId="6" fillId="0" borderId="0" xfId="44" applyNumberFormat="1" applyFont="1" applyBorder="1" applyAlignment="1">
      <alignment horizontal="center"/>
    </xf>
    <xf numFmtId="174" fontId="6" fillId="0" borderId="12" xfId="44" applyNumberFormat="1" applyFont="1" applyBorder="1" applyAlignment="1">
      <alignment horizontal="center"/>
    </xf>
    <xf numFmtId="173" fontId="7" fillId="25" borderId="20" xfId="28" applyNumberFormat="1" applyFont="1" applyFill="1" applyBorder="1" applyProtection="1">
      <protection locked="0"/>
    </xf>
    <xf numFmtId="173" fontId="7" fillId="25" borderId="20" xfId="28" applyNumberFormat="1" applyFont="1" applyFill="1" applyBorder="1" applyAlignment="1" applyProtection="1">
      <alignment horizontal="center"/>
      <protection locked="0"/>
    </xf>
    <xf numFmtId="173" fontId="7" fillId="25" borderId="12" xfId="28" applyNumberFormat="1" applyFont="1" applyFill="1" applyBorder="1" applyAlignment="1" applyProtection="1">
      <alignment horizontal="center"/>
      <protection locked="0"/>
    </xf>
    <xf numFmtId="173" fontId="7" fillId="25" borderId="11" xfId="44" applyNumberFormat="1" applyFont="1" applyFill="1" applyBorder="1" applyAlignment="1" applyProtection="1">
      <alignment horizontal="center"/>
      <protection locked="0"/>
    </xf>
    <xf numFmtId="173" fontId="7" fillId="25" borderId="20" xfId="44" applyNumberFormat="1" applyFont="1" applyFill="1" applyBorder="1" applyAlignment="1" applyProtection="1">
      <alignment horizontal="center"/>
      <protection locked="0"/>
    </xf>
    <xf numFmtId="173" fontId="7" fillId="25" borderId="37" xfId="44" applyNumberFormat="1" applyFont="1" applyFill="1" applyBorder="1" applyAlignment="1" applyProtection="1">
      <alignment horizontal="center"/>
      <protection locked="0"/>
    </xf>
    <xf numFmtId="173" fontId="7" fillId="25" borderId="0" xfId="44" applyNumberFormat="1" applyFont="1" applyFill="1" applyBorder="1" applyAlignment="1" applyProtection="1">
      <alignment horizontal="center"/>
      <protection locked="0"/>
    </xf>
    <xf numFmtId="173" fontId="7" fillId="25" borderId="12" xfId="44"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3" xfId="0" applyNumberFormat="1" applyFont="1" applyBorder="1" applyAlignment="1">
      <alignment horizontal="center"/>
    </xf>
    <xf numFmtId="173" fontId="7" fillId="25" borderId="33" xfId="28" applyNumberFormat="1" applyFont="1" applyFill="1" applyBorder="1" applyProtection="1">
      <protection locked="0"/>
    </xf>
    <xf numFmtId="173" fontId="7" fillId="25" borderId="33" xfId="28" applyNumberFormat="1" applyFont="1" applyFill="1" applyBorder="1" applyAlignment="1" applyProtection="1">
      <alignment horizontal="center"/>
      <protection locked="0"/>
    </xf>
    <xf numFmtId="173" fontId="7" fillId="25" borderId="16" xfId="28" applyNumberFormat="1" applyFont="1" applyFill="1" applyBorder="1" applyAlignment="1" applyProtection="1">
      <alignment horizontal="center"/>
      <protection locked="0"/>
    </xf>
    <xf numFmtId="173" fontId="7" fillId="25" borderId="15" xfId="44" applyNumberFormat="1" applyFont="1" applyFill="1" applyBorder="1" applyAlignment="1" applyProtection="1">
      <alignment horizontal="center"/>
      <protection locked="0"/>
    </xf>
    <xf numFmtId="173" fontId="7" fillId="25" borderId="33" xfId="44" applyNumberFormat="1" applyFont="1" applyFill="1" applyBorder="1" applyAlignment="1" applyProtection="1">
      <alignment horizontal="center"/>
      <protection locked="0"/>
    </xf>
    <xf numFmtId="173" fontId="7" fillId="25" borderId="42" xfId="44" applyNumberFormat="1" applyFont="1" applyFill="1" applyBorder="1" applyAlignment="1" applyProtection="1">
      <alignment horizontal="center"/>
      <protection locked="0"/>
    </xf>
    <xf numFmtId="173" fontId="7" fillId="25" borderId="13" xfId="44" applyNumberFormat="1" applyFont="1" applyFill="1" applyBorder="1" applyAlignment="1" applyProtection="1">
      <alignment horizontal="center"/>
      <protection locked="0"/>
    </xf>
    <xf numFmtId="173" fontId="7" fillId="25" borderId="16" xfId="44"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9"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29" xfId="44"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57" xfId="0" applyFont="1" applyFill="1" applyBorder="1" applyAlignment="1">
      <alignment horizontal="center" vertical="center"/>
    </xf>
    <xf numFmtId="0" fontId="7" fillId="0" borderId="57"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8" xfId="44"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9" fontId="7" fillId="0" borderId="29" xfId="44"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1"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7" xfId="0" applyNumberFormat="1" applyFont="1" applyBorder="1" applyAlignment="1">
      <alignment horizontal="left" wrapText="1"/>
    </xf>
    <xf numFmtId="0" fontId="6" fillId="0" borderId="44" xfId="0" applyFont="1" applyBorder="1" applyAlignment="1" applyProtection="1">
      <alignment horizontal="center"/>
    </xf>
    <xf numFmtId="0" fontId="7" fillId="0" borderId="27" xfId="0" applyFont="1" applyBorder="1" applyProtection="1"/>
    <xf numFmtId="0" fontId="10" fillId="0" borderId="0" xfId="0" applyFont="1" applyBorder="1" applyProtection="1"/>
    <xf numFmtId="0" fontId="6" fillId="0" borderId="0" xfId="0" applyFont="1" applyAlignment="1"/>
    <xf numFmtId="172" fontId="7" fillId="0" borderId="54" xfId="0" applyNumberFormat="1" applyFont="1" applyBorder="1"/>
    <xf numFmtId="172" fontId="7" fillId="0" borderId="52" xfId="0" applyNumberFormat="1" applyFont="1" applyBorder="1"/>
    <xf numFmtId="172" fontId="7" fillId="0" borderId="55" xfId="0" applyNumberFormat="1" applyFont="1" applyBorder="1"/>
    <xf numFmtId="0" fontId="6" fillId="0" borderId="60" xfId="0" applyFont="1" applyBorder="1" applyAlignment="1" applyProtection="1">
      <alignment horizontal="center"/>
    </xf>
    <xf numFmtId="0" fontId="17" fillId="0" borderId="0" xfId="41"/>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2" fontId="7" fillId="0" borderId="29" xfId="0" applyNumberFormat="1" applyFont="1" applyBorder="1" applyAlignment="1">
      <alignment vertical="top"/>
    </xf>
    <xf numFmtId="172" fontId="7" fillId="0" borderId="28" xfId="0" applyNumberFormat="1" applyFont="1" applyBorder="1" applyAlignment="1">
      <alignment vertical="top"/>
    </xf>
    <xf numFmtId="172" fontId="7" fillId="0" borderId="43" xfId="0" applyNumberFormat="1" applyFont="1" applyBorder="1" applyAlignment="1">
      <alignment vertical="top"/>
    </xf>
    <xf numFmtId="0" fontId="0" fillId="0" borderId="0" xfId="0" applyProtection="1"/>
    <xf numFmtId="0" fontId="13" fillId="0" borderId="0" xfId="0" applyFont="1" applyProtection="1"/>
    <xf numFmtId="172" fontId="7" fillId="0" borderId="20" xfId="0" applyNumberFormat="1" applyFont="1" applyFill="1" applyBorder="1" applyProtection="1"/>
    <xf numFmtId="172" fontId="7" fillId="0" borderId="37" xfId="0" applyNumberFormat="1" applyFont="1" applyFill="1" applyBorder="1" applyProtection="1"/>
    <xf numFmtId="172"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2" fontId="6" fillId="0" borderId="28" xfId="0" applyNumberFormat="1" applyFont="1" applyFill="1" applyBorder="1" applyProtection="1"/>
    <xf numFmtId="172" fontId="6" fillId="0" borderId="40" xfId="0" applyNumberFormat="1" applyFont="1" applyFill="1" applyBorder="1" applyProtection="1"/>
    <xf numFmtId="172" fontId="6" fillId="0" borderId="29" xfId="0" applyNumberFormat="1" applyFont="1" applyFill="1" applyBorder="1" applyProtection="1"/>
    <xf numFmtId="172" fontId="6" fillId="0" borderId="43" xfId="0" applyNumberFormat="1" applyFont="1" applyFill="1" applyBorder="1" applyProtection="1"/>
    <xf numFmtId="172" fontId="6" fillId="0" borderId="61" xfId="0" applyNumberFormat="1" applyFont="1" applyFill="1" applyBorder="1" applyProtection="1"/>
    <xf numFmtId="172" fontId="6" fillId="0" borderId="20" xfId="0" applyNumberFormat="1" applyFont="1" applyFill="1" applyBorder="1" applyProtection="1"/>
    <xf numFmtId="172" fontId="6" fillId="0" borderId="30" xfId="0" applyNumberFormat="1" applyFont="1" applyFill="1" applyBorder="1" applyProtection="1"/>
    <xf numFmtId="172" fontId="6" fillId="0" borderId="21" xfId="0" applyNumberFormat="1" applyFont="1" applyFill="1" applyBorder="1" applyProtection="1"/>
    <xf numFmtId="172" fontId="6" fillId="0" borderId="37" xfId="0" applyNumberFormat="1" applyFont="1" applyFill="1" applyBorder="1" applyProtection="1"/>
    <xf numFmtId="172" fontId="6" fillId="0" borderId="48"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58" xfId="0" applyNumberFormat="1" applyFont="1" applyFill="1" applyBorder="1" applyProtection="1">
      <protection locked="0"/>
    </xf>
    <xf numFmtId="0" fontId="2" fillId="25" borderId="58"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9" fontId="6" fillId="25" borderId="0" xfId="44" applyFont="1" applyFill="1" applyBorder="1" applyAlignment="1" applyProtection="1">
      <alignment horizontal="center"/>
      <protection locked="0"/>
    </xf>
    <xf numFmtId="0" fontId="7" fillId="0" borderId="10" xfId="0" applyNumberFormat="1" applyFont="1" applyBorder="1" applyAlignment="1">
      <alignment horizontal="left" wrapText="1"/>
    </xf>
    <xf numFmtId="0" fontId="6" fillId="0" borderId="10" xfId="0" applyNumberFormat="1" applyFont="1" applyBorder="1" applyAlignment="1">
      <alignment horizontal="left" vertical="top" indent="1"/>
    </xf>
    <xf numFmtId="0" fontId="6" fillId="0" borderId="0" xfId="0" applyFont="1" applyFill="1"/>
    <xf numFmtId="172" fontId="7" fillId="0" borderId="29" xfId="0" applyNumberFormat="1" applyFont="1" applyFill="1" applyBorder="1"/>
    <xf numFmtId="172" fontId="6" fillId="25" borderId="43" xfId="0" applyNumberFormat="1" applyFont="1" applyFill="1" applyBorder="1" applyProtection="1">
      <protection locked="0"/>
    </xf>
    <xf numFmtId="0" fontId="6" fillId="30" borderId="23" xfId="0" applyFont="1" applyFill="1" applyBorder="1" applyAlignment="1">
      <alignment horizontal="center"/>
    </xf>
    <xf numFmtId="0" fontId="7" fillId="30" borderId="64" xfId="0" applyFont="1" applyFill="1" applyBorder="1" applyAlignment="1">
      <alignment horizontal="center"/>
    </xf>
    <xf numFmtId="0" fontId="7" fillId="30" borderId="23" xfId="0" applyFont="1" applyFill="1" applyBorder="1" applyAlignment="1">
      <alignment horizontal="center"/>
    </xf>
    <xf numFmtId="0" fontId="7" fillId="30" borderId="45" xfId="0" applyFont="1" applyFill="1" applyBorder="1" applyAlignment="1">
      <alignment horizontal="center"/>
    </xf>
    <xf numFmtId="0" fontId="37" fillId="0" borderId="0" xfId="0" applyFont="1" applyAlignment="1">
      <alignment wrapText="1"/>
    </xf>
    <xf numFmtId="0" fontId="38" fillId="0" borderId="0" xfId="0" applyFont="1" applyProtection="1"/>
    <xf numFmtId="172" fontId="7" fillId="30" borderId="45" xfId="0" applyNumberFormat="1" applyFont="1" applyFill="1" applyBorder="1"/>
    <xf numFmtId="0" fontId="38" fillId="0" borderId="0" xfId="0" applyFont="1"/>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57" xfId="0" applyFont="1" applyFill="1" applyBorder="1" applyAlignment="1">
      <alignment vertical="center"/>
    </xf>
    <xf numFmtId="0" fontId="7" fillId="0" borderId="36" xfId="0" applyFont="1" applyFill="1" applyBorder="1" applyAlignment="1">
      <alignment vertical="center"/>
    </xf>
    <xf numFmtId="0" fontId="6" fillId="0" borderId="37" xfId="0" applyFont="1" applyBorder="1" applyAlignment="1">
      <alignment horizontal="center"/>
    </xf>
    <xf numFmtId="0" fontId="6" fillId="0" borderId="20" xfId="0" applyNumberFormat="1" applyFont="1" applyFill="1" applyBorder="1" applyAlignment="1">
      <alignment horizontal="center"/>
    </xf>
    <xf numFmtId="0" fontId="6" fillId="0" borderId="45" xfId="0" applyFont="1" applyBorder="1" applyAlignment="1">
      <alignment horizontal="center"/>
    </xf>
    <xf numFmtId="0" fontId="6" fillId="0" borderId="65" xfId="0" applyFont="1" applyBorder="1" applyAlignment="1">
      <alignment horizontal="center"/>
    </xf>
    <xf numFmtId="172" fontId="7" fillId="0" borderId="24" xfId="0" applyNumberFormat="1" applyFont="1" applyFill="1" applyBorder="1"/>
    <xf numFmtId="172" fontId="7" fillId="0" borderId="23" xfId="0" applyNumberFormat="1" applyFont="1" applyFill="1" applyBorder="1"/>
    <xf numFmtId="172" fontId="7" fillId="0" borderId="45" xfId="0" applyNumberFormat="1" applyFont="1" applyFill="1" applyBorder="1"/>
    <xf numFmtId="164" fontId="6" fillId="0" borderId="0" xfId="28" applyFont="1" applyBorder="1" applyProtection="1"/>
    <xf numFmtId="172" fontId="6" fillId="0" borderId="52" xfId="0" applyNumberFormat="1" applyFont="1" applyBorder="1"/>
    <xf numFmtId="0" fontId="11" fillId="0" borderId="0" xfId="0" applyFont="1" applyFill="1" applyBorder="1" applyProtection="1"/>
    <xf numFmtId="0" fontId="8" fillId="0" borderId="0" xfId="0" applyFont="1" applyFill="1" applyBorder="1" applyAlignment="1" applyProtection="1">
      <alignment horizontal="center"/>
    </xf>
    <xf numFmtId="172" fontId="10" fillId="0" borderId="0" xfId="0" applyNumberFormat="1" applyFont="1" applyFill="1" applyBorder="1" applyProtection="1"/>
    <xf numFmtId="169" fontId="7" fillId="0" borderId="0" xfId="0" applyNumberFormat="1" applyFont="1" applyFill="1" applyBorder="1" applyProtection="1"/>
    <xf numFmtId="0" fontId="10" fillId="0" borderId="0" xfId="0" applyFont="1" applyFill="1" applyBorder="1" applyProtection="1"/>
    <xf numFmtId="172" fontId="10" fillId="0" borderId="0" xfId="0" applyNumberFormat="1" applyFont="1" applyFill="1" applyBorder="1" applyProtection="1">
      <protection locked="0"/>
    </xf>
    <xf numFmtId="0" fontId="10" fillId="0" borderId="0" xfId="0" applyFont="1" applyFill="1" applyBorder="1" applyAlignment="1" applyProtection="1">
      <alignment horizontal="center"/>
    </xf>
    <xf numFmtId="169" fontId="6" fillId="0" borderId="0" xfId="0" applyNumberFormat="1" applyFont="1" applyFill="1" applyBorder="1" applyProtection="1"/>
    <xf numFmtId="0" fontId="10" fillId="0" borderId="0" xfId="0" applyNumberFormat="1" applyFont="1" applyFill="1" applyBorder="1" applyProtection="1"/>
    <xf numFmtId="0" fontId="0" fillId="0" borderId="0" xfId="0" applyFill="1"/>
    <xf numFmtId="0" fontId="39" fillId="0" borderId="0" xfId="0" applyFont="1"/>
    <xf numFmtId="0" fontId="6" fillId="0" borderId="11" xfId="0" applyNumberFormat="1" applyFont="1" applyBorder="1" applyAlignment="1">
      <alignment horizontal="left" wrapText="1" indent="1"/>
    </xf>
    <xf numFmtId="0" fontId="6" fillId="0" borderId="0" xfId="0" applyFont="1" applyFill="1" applyAlignment="1"/>
    <xf numFmtId="172" fontId="6" fillId="31" borderId="20" xfId="0" applyNumberFormat="1" applyFont="1" applyFill="1" applyBorder="1" applyProtection="1">
      <protection locked="0"/>
    </xf>
    <xf numFmtId="172" fontId="6" fillId="31" borderId="12" xfId="0" applyNumberFormat="1" applyFont="1" applyFill="1" applyBorder="1" applyProtection="1">
      <protection locked="0"/>
    </xf>
    <xf numFmtId="172" fontId="6" fillId="31" borderId="11" xfId="0" applyNumberFormat="1" applyFont="1" applyFill="1" applyBorder="1" applyProtection="1">
      <protection locked="0"/>
    </xf>
    <xf numFmtId="172" fontId="6" fillId="31" borderId="0" xfId="0" applyNumberFormat="1" applyFont="1" applyFill="1" applyBorder="1" applyProtection="1">
      <protection locked="0"/>
    </xf>
    <xf numFmtId="0" fontId="6" fillId="0" borderId="0" xfId="0" applyFont="1" applyFill="1" applyAlignment="1">
      <alignment wrapText="1"/>
    </xf>
    <xf numFmtId="172" fontId="6" fillId="31" borderId="30" xfId="0" applyNumberFormat="1" applyFont="1" applyFill="1" applyBorder="1" applyProtection="1">
      <protection locked="0"/>
    </xf>
    <xf numFmtId="172" fontId="6" fillId="31" borderId="21" xfId="0" applyNumberFormat="1" applyFont="1" applyFill="1" applyBorder="1" applyProtection="1">
      <protection locked="0"/>
    </xf>
    <xf numFmtId="172" fontId="6" fillId="31" borderId="37" xfId="0" applyNumberFormat="1" applyFont="1" applyFill="1" applyBorder="1" applyProtection="1">
      <protection locked="0"/>
    </xf>
    <xf numFmtId="172" fontId="6" fillId="31" borderId="48" xfId="0" applyNumberFormat="1" applyFont="1" applyFill="1" applyBorder="1" applyProtection="1">
      <protection locked="0"/>
    </xf>
    <xf numFmtId="172" fontId="6" fillId="0" borderId="0" xfId="0" applyNumberFormat="1" applyFont="1" applyFill="1" applyProtection="1">
      <protection locked="0"/>
    </xf>
    <xf numFmtId="172" fontId="7" fillId="31" borderId="28" xfId="0" applyNumberFormat="1" applyFont="1" applyFill="1" applyBorder="1" applyProtection="1">
      <protection locked="0"/>
    </xf>
    <xf numFmtId="172" fontId="7" fillId="31" borderId="66" xfId="0" applyNumberFormat="1" applyFont="1" applyFill="1" applyBorder="1" applyProtection="1">
      <protection locked="0"/>
    </xf>
    <xf numFmtId="172" fontId="7" fillId="31" borderId="59" xfId="0" applyNumberFormat="1" applyFont="1" applyFill="1" applyBorder="1" applyProtection="1">
      <protection locked="0"/>
    </xf>
    <xf numFmtId="172" fontId="7" fillId="31" borderId="67" xfId="0" applyNumberFormat="1" applyFont="1" applyFill="1" applyBorder="1" applyProtection="1">
      <protection locked="0"/>
    </xf>
    <xf numFmtId="172" fontId="7" fillId="31" borderId="20" xfId="0" applyNumberFormat="1" applyFont="1" applyFill="1" applyBorder="1" applyProtection="1">
      <protection locked="0"/>
    </xf>
    <xf numFmtId="172" fontId="7" fillId="31" borderId="12" xfId="0" applyNumberFormat="1" applyFont="1" applyFill="1" applyBorder="1" applyProtection="1">
      <protection locked="0"/>
    </xf>
    <xf numFmtId="172" fontId="7" fillId="31" borderId="11" xfId="0" applyNumberFormat="1" applyFont="1" applyFill="1" applyBorder="1" applyProtection="1">
      <protection locked="0"/>
    </xf>
    <xf numFmtId="172" fontId="7" fillId="31" borderId="0" xfId="0" applyNumberFormat="1" applyFont="1" applyFill="1" applyBorder="1" applyProtection="1">
      <protection locked="0"/>
    </xf>
    <xf numFmtId="0" fontId="6" fillId="0" borderId="11" xfId="0" applyNumberFormat="1" applyFont="1" applyFill="1" applyBorder="1"/>
    <xf numFmtId="0" fontId="9" fillId="0" borderId="11" xfId="0" applyNumberFormat="1" applyFont="1" applyFill="1" applyBorder="1"/>
    <xf numFmtId="172" fontId="6" fillId="31" borderId="28" xfId="0" applyNumberFormat="1" applyFont="1" applyFill="1" applyBorder="1" applyProtection="1">
      <protection locked="0"/>
    </xf>
    <xf numFmtId="172" fontId="6" fillId="31" borderId="66" xfId="0" applyNumberFormat="1" applyFont="1" applyFill="1" applyBorder="1" applyProtection="1">
      <protection locked="0"/>
    </xf>
    <xf numFmtId="172" fontId="6" fillId="31" borderId="59" xfId="0" applyNumberFormat="1" applyFont="1" applyFill="1" applyBorder="1" applyProtection="1">
      <protection locked="0"/>
    </xf>
    <xf numFmtId="172" fontId="6" fillId="31" borderId="67" xfId="0" applyNumberFormat="1" applyFont="1" applyFill="1" applyBorder="1" applyProtection="1">
      <protection locked="0"/>
    </xf>
    <xf numFmtId="0" fontId="7" fillId="0" borderId="22" xfId="0" applyNumberFormat="1" applyFont="1" applyBorder="1"/>
    <xf numFmtId="0" fontId="6" fillId="0" borderId="23" xfId="0" applyNumberFormat="1" applyFont="1" applyBorder="1" applyAlignment="1">
      <alignment horizontal="center"/>
    </xf>
    <xf numFmtId="172" fontId="7" fillId="0" borderId="68" xfId="0" applyNumberFormat="1" applyFont="1" applyBorder="1"/>
    <xf numFmtId="172" fontId="7" fillId="0" borderId="22" xfId="0" applyNumberFormat="1" applyFont="1" applyBorder="1"/>
    <xf numFmtId="172" fontId="7" fillId="0" borderId="64" xfId="0" applyNumberFormat="1" applyFont="1" applyBorder="1"/>
    <xf numFmtId="0" fontId="6" fillId="0" borderId="30" xfId="0" applyNumberFormat="1" applyFont="1" applyBorder="1" applyAlignment="1">
      <alignment horizontal="center"/>
    </xf>
    <xf numFmtId="0" fontId="9" fillId="0" borderId="57" xfId="0" applyNumberFormat="1" applyFont="1" applyBorder="1"/>
    <xf numFmtId="0" fontId="38" fillId="0" borderId="11" xfId="0" applyFont="1" applyBorder="1" applyAlignment="1">
      <alignment horizontal="center"/>
    </xf>
    <xf numFmtId="0" fontId="38" fillId="0" borderId="12" xfId="0" applyFont="1" applyBorder="1" applyAlignment="1">
      <alignment horizontal="center"/>
    </xf>
    <xf numFmtId="172" fontId="6" fillId="0" borderId="0" xfId="0" applyNumberFormat="1" applyFont="1" applyFill="1" applyBorder="1" applyProtection="1"/>
    <xf numFmtId="0" fontId="6" fillId="0" borderId="14" xfId="0" applyFont="1" applyBorder="1" applyAlignment="1">
      <alignment horizontal="center"/>
    </xf>
    <xf numFmtId="172" fontId="6" fillId="0" borderId="32" xfId="0" applyNumberFormat="1" applyFont="1" applyFill="1" applyBorder="1"/>
    <xf numFmtId="172" fontId="6" fillId="0" borderId="31" xfId="0" applyNumberFormat="1" applyFont="1" applyFill="1" applyBorder="1"/>
    <xf numFmtId="172" fontId="6" fillId="0" borderId="36" xfId="0" applyNumberFormat="1" applyFont="1" applyFill="1" applyBorder="1"/>
    <xf numFmtId="172" fontId="6" fillId="0" borderId="69" xfId="0" applyNumberFormat="1" applyFont="1" applyBorder="1"/>
    <xf numFmtId="172" fontId="6" fillId="0" borderId="51" xfId="0" applyNumberFormat="1" applyFont="1" applyBorder="1"/>
    <xf numFmtId="172" fontId="6" fillId="0" borderId="70" xfId="0" applyNumberFormat="1" applyFont="1" applyBorder="1"/>
    <xf numFmtId="0" fontId="10" fillId="0" borderId="0" xfId="0" applyNumberFormat="1" applyFont="1" applyBorder="1" applyProtection="1"/>
    <xf numFmtId="0" fontId="6" fillId="0" borderId="10" xfId="0" applyNumberFormat="1" applyFont="1" applyBorder="1" applyAlignment="1">
      <alignment horizontal="left" indent="1"/>
    </xf>
    <xf numFmtId="0" fontId="7" fillId="0" borderId="71"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6" fillId="0" borderId="11" xfId="0" applyFont="1" applyFill="1" applyBorder="1" applyAlignment="1">
      <alignment horizontal="left" vertical="top" wrapText="1" indent="1"/>
    </xf>
    <xf numFmtId="0" fontId="6" fillId="0" borderId="10" xfId="0" applyFont="1" applyFill="1" applyBorder="1" applyAlignment="1">
      <alignment horizontal="left" vertical="top" wrapText="1"/>
    </xf>
    <xf numFmtId="0" fontId="6" fillId="31" borderId="20" xfId="0" applyNumberFormat="1" applyFont="1" applyFill="1" applyBorder="1" applyAlignment="1" applyProtection="1">
      <alignment horizontal="center" vertical="top" wrapText="1"/>
      <protection locked="0"/>
    </xf>
    <xf numFmtId="0" fontId="7" fillId="0" borderId="32" xfId="0" applyFont="1" applyFill="1" applyBorder="1" applyAlignment="1">
      <alignment horizontal="left" vertical="center"/>
    </xf>
    <xf numFmtId="0" fontId="7" fillId="0" borderId="31" xfId="0" applyFont="1" applyFill="1" applyBorder="1" applyAlignment="1">
      <alignment horizontal="center" wrapText="1"/>
    </xf>
    <xf numFmtId="0" fontId="7" fillId="0" borderId="65" xfId="0" applyFont="1" applyFill="1" applyBorder="1" applyAlignment="1">
      <alignment horizontal="center" wrapText="1"/>
    </xf>
    <xf numFmtId="0" fontId="7" fillId="0" borderId="0" xfId="0" applyFont="1" applyAlignment="1">
      <alignment horizontal="center" vertical="center"/>
    </xf>
    <xf numFmtId="0" fontId="7" fillId="0" borderId="7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6" fillId="0" borderId="0" xfId="0" applyFont="1" applyAlignment="1">
      <alignment horizontal="center" vertical="center"/>
    </xf>
    <xf numFmtId="0" fontId="7" fillId="0" borderId="20" xfId="0" applyNumberFormat="1" applyFont="1" applyFill="1" applyBorder="1" applyAlignment="1">
      <alignment horizontal="center"/>
    </xf>
    <xf numFmtId="173" fontId="7" fillId="0" borderId="20" xfId="28" applyNumberFormat="1" applyFont="1" applyFill="1" applyBorder="1" applyAlignment="1">
      <alignment horizontal="center"/>
    </xf>
    <xf numFmtId="0" fontId="10" fillId="0" borderId="20" xfId="0" applyNumberFormat="1" applyFont="1" applyFill="1" applyBorder="1" applyAlignment="1">
      <alignment horizontal="center"/>
    </xf>
    <xf numFmtId="0" fontId="10" fillId="0" borderId="0" xfId="0" applyNumberFormat="1" applyFont="1" applyFill="1" applyBorder="1" applyAlignment="1">
      <alignment horizontal="center"/>
    </xf>
    <xf numFmtId="0" fontId="10" fillId="0" borderId="30" xfId="0" applyNumberFormat="1" applyFont="1" applyFill="1" applyBorder="1" applyAlignment="1">
      <alignment horizontal="center"/>
    </xf>
    <xf numFmtId="0" fontId="10" fillId="0" borderId="37" xfId="0" applyNumberFormat="1" applyFont="1" applyFill="1" applyBorder="1" applyAlignment="1">
      <alignment horizontal="center"/>
    </xf>
    <xf numFmtId="0" fontId="10" fillId="0" borderId="11" xfId="0" applyNumberFormat="1" applyFont="1" applyFill="1" applyBorder="1" applyAlignment="1">
      <alignment horizontal="left" indent="1"/>
    </xf>
    <xf numFmtId="172" fontId="7" fillId="0" borderId="20" xfId="0" applyNumberFormat="1" applyFont="1" applyBorder="1" applyAlignment="1">
      <alignment horizontal="center"/>
    </xf>
    <xf numFmtId="172" fontId="7" fillId="0" borderId="0" xfId="0" applyNumberFormat="1" applyFont="1" applyBorder="1" applyAlignment="1">
      <alignment horizontal="center"/>
    </xf>
    <xf numFmtId="172" fontId="7" fillId="0" borderId="11" xfId="0" applyNumberFormat="1" applyFont="1" applyBorder="1" applyAlignment="1">
      <alignment horizontal="center"/>
    </xf>
    <xf numFmtId="172" fontId="7" fillId="0" borderId="12" xfId="0" applyNumberFormat="1" applyFont="1" applyBorder="1" applyAlignment="1">
      <alignment horizontal="center"/>
    </xf>
    <xf numFmtId="0" fontId="10" fillId="0" borderId="11" xfId="0" applyNumberFormat="1" applyFont="1" applyFill="1" applyBorder="1"/>
    <xf numFmtId="0" fontId="7" fillId="31" borderId="11" xfId="0" applyNumberFormat="1" applyFont="1" applyFill="1" applyBorder="1" applyProtection="1">
      <protection locked="0"/>
    </xf>
    <xf numFmtId="0" fontId="7" fillId="31" borderId="20" xfId="0" applyNumberFormat="1" applyFont="1" applyFill="1" applyBorder="1" applyAlignment="1" applyProtection="1">
      <alignment horizontal="center"/>
      <protection locked="0"/>
    </xf>
    <xf numFmtId="173" fontId="7" fillId="31" borderId="20" xfId="28" applyNumberFormat="1" applyFont="1" applyFill="1" applyBorder="1" applyAlignment="1" applyProtection="1">
      <alignment horizontal="center"/>
      <protection locked="0"/>
    </xf>
    <xf numFmtId="0" fontId="10" fillId="31" borderId="20" xfId="0" applyNumberFormat="1" applyFont="1" applyFill="1" applyBorder="1" applyAlignment="1" applyProtection="1">
      <alignment horizontal="center"/>
      <protection locked="0"/>
    </xf>
    <xf numFmtId="0" fontId="10" fillId="31" borderId="0" xfId="0" applyNumberFormat="1" applyFont="1" applyFill="1" applyBorder="1" applyAlignment="1" applyProtection="1">
      <alignment horizontal="center"/>
      <protection locked="0"/>
    </xf>
    <xf numFmtId="0" fontId="6" fillId="31" borderId="20" xfId="0" applyNumberFormat="1" applyFont="1" applyFill="1" applyBorder="1" applyProtection="1">
      <protection locked="0"/>
    </xf>
    <xf numFmtId="0" fontId="10" fillId="31" borderId="37" xfId="0" applyNumberFormat="1" applyFont="1" applyFill="1" applyBorder="1" applyAlignment="1" applyProtection="1">
      <alignment horizontal="center"/>
      <protection locked="0"/>
    </xf>
    <xf numFmtId="0" fontId="6" fillId="31" borderId="11" xfId="0" applyNumberFormat="1" applyFont="1" applyFill="1" applyBorder="1" applyAlignment="1" applyProtection="1">
      <alignment horizontal="left" indent="1"/>
      <protection locked="0"/>
    </xf>
    <xf numFmtId="173" fontId="6" fillId="31" borderId="20" xfId="28" applyNumberFormat="1" applyFont="1" applyFill="1" applyBorder="1" applyAlignment="1" applyProtection="1">
      <alignment horizontal="center"/>
      <protection locked="0"/>
    </xf>
    <xf numFmtId="0" fontId="6" fillId="31" borderId="11" xfId="0" applyNumberFormat="1" applyFont="1" applyFill="1" applyBorder="1" applyProtection="1">
      <protection locked="0"/>
    </xf>
    <xf numFmtId="173" fontId="6" fillId="31" borderId="20" xfId="0" applyNumberFormat="1" applyFont="1" applyFill="1" applyBorder="1" applyProtection="1">
      <protection locked="0"/>
    </xf>
    <xf numFmtId="0" fontId="7" fillId="0" borderId="25" xfId="0" applyNumberFormat="1" applyFont="1" applyBorder="1"/>
    <xf numFmtId="169" fontId="7" fillId="0" borderId="50" xfId="0" applyNumberFormat="1" applyFont="1" applyBorder="1"/>
    <xf numFmtId="169" fontId="7" fillId="0" borderId="74" xfId="0" applyNumberFormat="1" applyFont="1" applyBorder="1"/>
    <xf numFmtId="169" fontId="7" fillId="0" borderId="75" xfId="0" applyNumberFormat="1" applyFont="1" applyBorder="1"/>
    <xf numFmtId="0" fontId="7" fillId="0" borderId="32" xfId="0" applyNumberFormat="1" applyFont="1" applyFill="1" applyBorder="1"/>
    <xf numFmtId="0" fontId="7" fillId="0" borderId="76" xfId="0" applyFont="1" applyFill="1" applyBorder="1" applyAlignment="1">
      <alignment horizontal="center" vertical="center" wrapText="1"/>
    </xf>
    <xf numFmtId="0" fontId="7" fillId="0" borderId="11" xfId="0" applyNumberFormat="1" applyFont="1" applyBorder="1"/>
    <xf numFmtId="172" fontId="7" fillId="0" borderId="10" xfId="0" applyNumberFormat="1" applyFont="1" applyBorder="1" applyAlignment="1">
      <alignment horizontal="center"/>
    </xf>
    <xf numFmtId="0" fontId="10" fillId="31" borderId="11" xfId="0" applyNumberFormat="1" applyFont="1" applyFill="1" applyBorder="1" applyAlignment="1" applyProtection="1">
      <alignment horizontal="left" indent="1"/>
      <protection locked="0"/>
    </xf>
    <xf numFmtId="172" fontId="7" fillId="31" borderId="20" xfId="0" applyNumberFormat="1" applyFont="1" applyFill="1" applyBorder="1" applyAlignment="1" applyProtection="1">
      <alignment horizontal="center"/>
      <protection locked="0"/>
    </xf>
    <xf numFmtId="172" fontId="7" fillId="31" borderId="0" xfId="0" applyNumberFormat="1" applyFont="1" applyFill="1" applyBorder="1" applyAlignment="1" applyProtection="1">
      <alignment horizontal="center"/>
      <protection locked="0"/>
    </xf>
    <xf numFmtId="172" fontId="7" fillId="31" borderId="11" xfId="0" applyNumberFormat="1" applyFont="1" applyFill="1" applyBorder="1" applyAlignment="1" applyProtection="1">
      <alignment horizontal="center"/>
      <protection locked="0"/>
    </xf>
    <xf numFmtId="172" fontId="7" fillId="31" borderId="12" xfId="0" applyNumberFormat="1" applyFont="1" applyFill="1" applyBorder="1" applyAlignment="1" applyProtection="1">
      <alignment horizontal="center"/>
      <protection locked="0"/>
    </xf>
    <xf numFmtId="172" fontId="7" fillId="0" borderId="67" xfId="0" applyNumberFormat="1" applyFont="1" applyBorder="1"/>
    <xf numFmtId="172" fontId="7" fillId="0" borderId="59" xfId="0" applyNumberFormat="1" applyFont="1" applyBorder="1"/>
    <xf numFmtId="172" fontId="7" fillId="0" borderId="66" xfId="0" applyNumberFormat="1" applyFont="1" applyBorder="1"/>
    <xf numFmtId="172" fontId="6" fillId="0" borderId="60" xfId="0" applyNumberFormat="1" applyFont="1" applyBorder="1"/>
    <xf numFmtId="172" fontId="6" fillId="0" borderId="67" xfId="0" applyNumberFormat="1" applyFont="1" applyBorder="1"/>
    <xf numFmtId="172" fontId="6" fillId="0" borderId="59" xfId="0" applyNumberFormat="1" applyFont="1" applyBorder="1"/>
    <xf numFmtId="172" fontId="6" fillId="0" borderId="66" xfId="0" applyNumberFormat="1" applyFont="1" applyBorder="1"/>
    <xf numFmtId="172" fontId="6" fillId="0" borderId="10" xfId="0" applyNumberFormat="1" applyFont="1" applyFill="1" applyBorder="1"/>
    <xf numFmtId="0" fontId="10" fillId="0" borderId="0" xfId="0" quotePrefix="1" applyNumberFormat="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172" fontId="6" fillId="0" borderId="0" xfId="0" applyNumberFormat="1" applyFont="1"/>
    <xf numFmtId="172" fontId="7" fillId="0" borderId="20" xfId="0" applyNumberFormat="1" applyFont="1" applyFill="1" applyBorder="1" applyProtection="1">
      <protection locked="0"/>
    </xf>
    <xf numFmtId="0" fontId="7" fillId="0" borderId="65" xfId="0" applyFont="1" applyFill="1" applyBorder="1" applyAlignment="1">
      <alignment horizontal="center" vertical="center"/>
    </xf>
    <xf numFmtId="0" fontId="7" fillId="0" borderId="65"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center" wrapText="1"/>
    </xf>
    <xf numFmtId="172" fontId="6" fillId="31" borderId="21" xfId="0" applyNumberFormat="1" applyFont="1" applyFill="1" applyBorder="1" applyAlignment="1" applyProtection="1">
      <protection locked="0"/>
    </xf>
    <xf numFmtId="172" fontId="6" fillId="31" borderId="48" xfId="0" applyNumberFormat="1" applyFont="1" applyFill="1" applyBorder="1" applyAlignment="1" applyProtection="1">
      <protection locked="0"/>
    </xf>
    <xf numFmtId="172" fontId="6" fillId="31" borderId="20" xfId="0" applyNumberFormat="1" applyFont="1" applyFill="1" applyBorder="1" applyAlignment="1" applyProtection="1">
      <protection locked="0"/>
    </xf>
    <xf numFmtId="172" fontId="7" fillId="0" borderId="37" xfId="0" applyNumberFormat="1" applyFont="1" applyBorder="1" applyAlignment="1" applyProtection="1"/>
    <xf numFmtId="175" fontId="6" fillId="31" borderId="37" xfId="0" applyNumberFormat="1" applyFont="1" applyFill="1" applyBorder="1" applyAlignment="1" applyProtection="1">
      <alignment horizontal="center"/>
      <protection locked="0"/>
    </xf>
    <xf numFmtId="0" fontId="11" fillId="0" borderId="0" xfId="0" applyFont="1" applyBorder="1" applyProtection="1"/>
    <xf numFmtId="175" fontId="6" fillId="0" borderId="42" xfId="0" applyNumberFormat="1" applyFont="1" applyBorder="1" applyAlignment="1">
      <alignment horizontal="center"/>
    </xf>
    <xf numFmtId="172" fontId="7" fillId="0" borderId="24" xfId="0" applyNumberFormat="1" applyFont="1" applyBorder="1" applyAlignment="1"/>
    <xf numFmtId="172" fontId="7" fillId="0" borderId="63" xfId="0" applyNumberFormat="1" applyFont="1" applyBorder="1" applyAlignment="1"/>
    <xf numFmtId="172" fontId="7" fillId="0" borderId="23" xfId="0" applyNumberFormat="1" applyFont="1" applyBorder="1" applyAlignment="1"/>
    <xf numFmtId="172" fontId="7" fillId="0" borderId="45" xfId="0" applyNumberFormat="1" applyFont="1" applyBorder="1" applyAlignment="1"/>
    <xf numFmtId="0" fontId="6" fillId="31" borderId="37" xfId="0" applyNumberFormat="1" applyFont="1" applyFill="1" applyBorder="1" applyAlignment="1" applyProtection="1">
      <alignment horizontal="center" vertical="top" wrapText="1"/>
      <protection locked="0"/>
    </xf>
    <xf numFmtId="0" fontId="6" fillId="31" borderId="21" xfId="0" applyNumberFormat="1" applyFont="1" applyFill="1" applyBorder="1" applyAlignment="1" applyProtection="1">
      <alignment horizontal="center" vertical="top" wrapText="1"/>
      <protection locked="0"/>
    </xf>
    <xf numFmtId="0" fontId="6" fillId="0" borderId="11" xfId="44" applyNumberFormat="1" applyFont="1" applyFill="1" applyBorder="1" applyAlignment="1" applyProtection="1">
      <alignment horizontal="center" vertical="top" wrapText="1"/>
      <protection locked="0"/>
    </xf>
    <xf numFmtId="168" fontId="6" fillId="0" borderId="11" xfId="0" applyNumberFormat="1" applyFont="1" applyFill="1" applyBorder="1" applyAlignment="1">
      <alignment horizontal="center" vertical="top" wrapText="1"/>
    </xf>
    <xf numFmtId="168" fontId="6" fillId="0" borderId="12" xfId="0" applyNumberFormat="1" applyFont="1" applyFill="1" applyBorder="1" applyAlignment="1">
      <alignment horizontal="center" vertical="top" wrapText="1"/>
    </xf>
    <xf numFmtId="9" fontId="6" fillId="0" borderId="21" xfId="44" applyFont="1" applyFill="1" applyBorder="1" applyAlignment="1" applyProtection="1">
      <alignment horizontal="center" vertical="top" wrapText="1"/>
      <protection locked="0"/>
    </xf>
    <xf numFmtId="9" fontId="6" fillId="0" borderId="20" xfId="44" applyFont="1" applyFill="1" applyBorder="1" applyAlignment="1" applyProtection="1">
      <alignment horizontal="center" vertical="top" wrapText="1"/>
      <protection locked="0"/>
    </xf>
    <xf numFmtId="9" fontId="6" fillId="0" borderId="37" xfId="44" applyFont="1" applyFill="1" applyBorder="1" applyAlignment="1" applyProtection="1">
      <alignment horizontal="center" vertical="top" wrapText="1"/>
      <protection locked="0"/>
    </xf>
    <xf numFmtId="0" fontId="6" fillId="0" borderId="30" xfId="0" applyFont="1" applyFill="1" applyBorder="1" applyAlignment="1">
      <alignment horizontal="left" vertical="top" wrapText="1"/>
    </xf>
    <xf numFmtId="0" fontId="6" fillId="0" borderId="53"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47" xfId="0" applyFont="1" applyFill="1" applyBorder="1" applyAlignment="1">
      <alignment horizontal="left" indent="1"/>
    </xf>
    <xf numFmtId="168" fontId="6" fillId="0" borderId="37" xfId="0" applyNumberFormat="1" applyFont="1" applyFill="1" applyBorder="1" applyAlignment="1">
      <alignment horizontal="center" vertical="top" wrapText="1"/>
    </xf>
    <xf numFmtId="0" fontId="7" fillId="0" borderId="66" xfId="0" applyFont="1" applyFill="1" applyBorder="1" applyAlignment="1">
      <alignment horizontal="center" vertical="center" wrapText="1"/>
    </xf>
    <xf numFmtId="0" fontId="6" fillId="0" borderId="33" xfId="0" applyFont="1" applyBorder="1"/>
    <xf numFmtId="0" fontId="6" fillId="0" borderId="42" xfId="0" applyFont="1" applyBorder="1"/>
    <xf numFmtId="0" fontId="6" fillId="0" borderId="16" xfId="0" applyFont="1" applyBorder="1"/>
    <xf numFmtId="0" fontId="7" fillId="0" borderId="11" xfId="0" applyFont="1" applyFill="1" applyBorder="1" applyAlignment="1">
      <alignment horizontal="left" vertical="center"/>
    </xf>
    <xf numFmtId="0" fontId="6" fillId="0" borderId="37" xfId="0" applyNumberFormat="1" applyFont="1" applyFill="1" applyBorder="1" applyAlignment="1">
      <alignment horizontal="center" vertical="center"/>
    </xf>
    <xf numFmtId="0" fontId="6" fillId="0" borderId="55" xfId="0" applyFont="1" applyBorder="1" applyAlignment="1">
      <alignment horizontal="center"/>
    </xf>
    <xf numFmtId="0" fontId="14" fillId="26" borderId="57" xfId="38" applyFont="1" applyFill="1" applyBorder="1"/>
    <xf numFmtId="0" fontId="14" fillId="26" borderId="58" xfId="38" applyFont="1" applyFill="1" applyBorder="1" applyAlignment="1">
      <alignment horizontal="left"/>
    </xf>
    <xf numFmtId="0" fontId="14" fillId="26" borderId="14" xfId="38" applyFont="1" applyFill="1" applyBorder="1" applyAlignment="1">
      <alignment horizontal="left"/>
    </xf>
    <xf numFmtId="0" fontId="14" fillId="26" borderId="57" xfId="38" applyFont="1" applyFill="1" applyBorder="1" applyAlignment="1">
      <alignment horizontal="left"/>
    </xf>
    <xf numFmtId="0" fontId="14" fillId="28" borderId="77" xfId="38" applyFont="1" applyFill="1" applyBorder="1" applyAlignment="1">
      <alignment horizontal="left"/>
    </xf>
    <xf numFmtId="0" fontId="3" fillId="28" borderId="78" xfId="38" applyFont="1" applyFill="1" applyBorder="1"/>
    <xf numFmtId="0" fontId="3" fillId="27" borderId="0" xfId="38" applyFont="1" applyFill="1"/>
    <xf numFmtId="0" fontId="3" fillId="0" borderId="0" xfId="38" applyFont="1"/>
    <xf numFmtId="0" fontId="2" fillId="0" borderId="11" xfId="38" applyFont="1" applyBorder="1"/>
    <xf numFmtId="0" fontId="2" fillId="0" borderId="0" xfId="38" applyFont="1" applyBorder="1"/>
    <xf numFmtId="0" fontId="2" fillId="0" borderId="10" xfId="38" applyFont="1" applyBorder="1"/>
    <xf numFmtId="0" fontId="2" fillId="0" borderId="11" xfId="38" applyFont="1" applyBorder="1" applyAlignment="1">
      <alignment horizontal="center"/>
    </xf>
    <xf numFmtId="0" fontId="2" fillId="0" borderId="10" xfId="38" quotePrefix="1" applyFont="1" applyBorder="1" applyAlignment="1">
      <alignment horizontal="center"/>
    </xf>
    <xf numFmtId="0" fontId="2" fillId="0" borderId="10" xfId="38" applyFont="1" applyBorder="1" applyAlignment="1">
      <alignment horizontal="center"/>
    </xf>
    <xf numFmtId="0" fontId="2" fillId="0" borderId="14" xfId="38" applyFont="1" applyBorder="1" applyAlignment="1">
      <alignment horizontal="center"/>
    </xf>
    <xf numFmtId="0" fontId="2" fillId="0" borderId="0" xfId="38" applyFont="1"/>
    <xf numFmtId="0" fontId="2" fillId="0" borderId="41" xfId="38" applyFont="1" applyBorder="1" applyAlignment="1">
      <alignment horizontal="center"/>
    </xf>
    <xf numFmtId="0" fontId="2" fillId="0" borderId="15" xfId="38" applyFont="1" applyBorder="1" applyAlignment="1">
      <alignment horizontal="center"/>
    </xf>
    <xf numFmtId="0" fontId="2" fillId="0" borderId="41" xfId="38" applyFont="1" applyBorder="1"/>
    <xf numFmtId="0" fontId="2" fillId="0" borderId="57" xfId="38" applyFont="1" applyBorder="1" applyAlignment="1">
      <alignment horizontal="center"/>
    </xf>
    <xf numFmtId="16" fontId="2" fillId="0" borderId="10" xfId="38" quotePrefix="1" applyNumberFormat="1" applyFont="1" applyBorder="1" applyAlignment="1">
      <alignment horizontal="center"/>
    </xf>
    <xf numFmtId="0" fontId="2" fillId="0" borderId="15" xfId="38" applyFont="1" applyBorder="1"/>
    <xf numFmtId="0" fontId="2" fillId="0" borderId="13" xfId="38" applyFont="1" applyBorder="1"/>
    <xf numFmtId="0" fontId="16" fillId="0" borderId="0" xfId="38" applyFont="1"/>
    <xf numFmtId="0" fontId="1" fillId="0" borderId="0" xfId="38" applyFill="1"/>
    <xf numFmtId="0" fontId="1" fillId="0" borderId="0" xfId="38" applyFont="1"/>
    <xf numFmtId="0" fontId="1" fillId="0" borderId="0" xfId="38" applyFont="1" applyProtection="1"/>
    <xf numFmtId="0" fontId="3" fillId="27" borderId="0" xfId="38" applyFont="1" applyFill="1" applyAlignment="1">
      <alignment horizontal="left" indent="1"/>
    </xf>
    <xf numFmtId="0" fontId="2" fillId="0" borderId="0" xfId="38" applyFont="1" applyAlignment="1">
      <alignment horizontal="left" indent="1"/>
    </xf>
    <xf numFmtId="0" fontId="1" fillId="0" borderId="0" xfId="0" applyFont="1"/>
    <xf numFmtId="0" fontId="1" fillId="0" borderId="0" xfId="0" applyNumberFormat="1" applyFont="1" applyProtection="1"/>
    <xf numFmtId="0" fontId="1" fillId="0" borderId="0" xfId="0" applyFont="1" applyAlignment="1" applyProtection="1">
      <alignment vertical="center"/>
    </xf>
    <xf numFmtId="0" fontId="1" fillId="0" borderId="0" xfId="0" applyFont="1" applyProtection="1"/>
    <xf numFmtId="0" fontId="0" fillId="0" borderId="0" xfId="0" applyFont="1" applyProtection="1"/>
    <xf numFmtId="0" fontId="1" fillId="0" borderId="0" xfId="0" applyFont="1" applyFill="1"/>
    <xf numFmtId="0" fontId="6" fillId="32" borderId="10" xfId="0" applyNumberFormat="1" applyFont="1" applyFill="1" applyBorder="1" applyAlignment="1">
      <alignment horizontal="left" vertical="top" wrapText="1" indent="1"/>
    </xf>
    <xf numFmtId="0" fontId="6" fillId="32" borderId="11" xfId="0" applyFont="1" applyFill="1" applyBorder="1" applyAlignment="1">
      <alignment horizontal="left" indent="1"/>
    </xf>
    <xf numFmtId="0" fontId="6" fillId="32" borderId="11" xfId="0" applyNumberFormat="1" applyFont="1" applyFill="1" applyBorder="1" applyAlignment="1">
      <alignment horizontal="left" indent="1"/>
    </xf>
    <xf numFmtId="0" fontId="6" fillId="31" borderId="10" xfId="40" applyFont="1" applyFill="1" applyBorder="1" applyAlignment="1" applyProtection="1">
      <alignment horizontal="left" wrapText="1"/>
      <protection locked="0"/>
    </xf>
    <xf numFmtId="0" fontId="6" fillId="25" borderId="10" xfId="0" applyFont="1" applyFill="1" applyBorder="1" applyProtection="1">
      <protection locked="0"/>
    </xf>
    <xf numFmtId="0" fontId="6" fillId="31" borderId="10" xfId="40" applyFont="1" applyFill="1" applyBorder="1" applyAlignment="1">
      <alignment wrapText="1"/>
    </xf>
    <xf numFmtId="172" fontId="6" fillId="25" borderId="10" xfId="0" applyNumberFormat="1" applyFont="1" applyFill="1" applyBorder="1" applyProtection="1">
      <protection locked="0"/>
    </xf>
    <xf numFmtId="0" fontId="17" fillId="25" borderId="79" xfId="0" applyFont="1" applyFill="1" applyBorder="1" applyAlignment="1" applyProtection="1">
      <alignment horizontal="left" vertical="top" wrapText="1"/>
      <protection locked="0"/>
    </xf>
    <xf numFmtId="0" fontId="17" fillId="31" borderId="79" xfId="39" applyFont="1" applyFill="1" applyBorder="1" applyAlignment="1" applyProtection="1">
      <alignment horizontal="left" vertical="top" wrapText="1"/>
      <protection locked="0"/>
    </xf>
    <xf numFmtId="10" fontId="6" fillId="25" borderId="21" xfId="44" applyNumberFormat="1" applyFont="1" applyFill="1" applyBorder="1" applyAlignment="1" applyProtection="1">
      <alignment horizontal="center" vertical="top" wrapText="1"/>
      <protection locked="0"/>
    </xf>
    <xf numFmtId="10" fontId="6" fillId="25" borderId="20" xfId="44" applyNumberFormat="1" applyFont="1" applyFill="1" applyBorder="1" applyAlignment="1" applyProtection="1">
      <alignment horizontal="center" vertical="top" wrapText="1"/>
      <protection locked="0"/>
    </xf>
    <xf numFmtId="10" fontId="6" fillId="25" borderId="37" xfId="44" applyNumberFormat="1" applyFont="1" applyFill="1" applyBorder="1" applyAlignment="1" applyProtection="1">
      <alignment horizontal="center" vertical="top" wrapText="1"/>
      <protection locked="0"/>
    </xf>
    <xf numFmtId="169" fontId="6" fillId="0" borderId="0" xfId="28" applyNumberFormat="1" applyFont="1" applyBorder="1" applyAlignment="1">
      <alignment vertical="top" wrapText="1"/>
    </xf>
    <xf numFmtId="169" fontId="6" fillId="0" borderId="0" xfId="28" applyNumberFormat="1" applyFont="1" applyFill="1" applyBorder="1" applyAlignment="1">
      <alignment vertical="top" wrapText="1"/>
    </xf>
    <xf numFmtId="169" fontId="6" fillId="25" borderId="0" xfId="28" applyNumberFormat="1" applyFont="1" applyFill="1" applyBorder="1" applyProtection="1">
      <protection locked="0"/>
    </xf>
    <xf numFmtId="168" fontId="6" fillId="25" borderId="37" xfId="44" applyNumberFormat="1" applyFont="1" applyFill="1" applyBorder="1" applyProtection="1">
      <protection locked="0"/>
    </xf>
    <xf numFmtId="43" fontId="0" fillId="0" borderId="0" xfId="0" applyNumberFormat="1"/>
    <xf numFmtId="0" fontId="10" fillId="31" borderId="4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7" fillId="25" borderId="11" xfId="0" applyFont="1" applyFill="1" applyBorder="1" applyAlignment="1" applyProtection="1">
      <alignment horizontal="left" vertical="top" wrapText="1"/>
      <protection locked="0"/>
    </xf>
    <xf numFmtId="172" fontId="6" fillId="25" borderId="79" xfId="0" applyNumberFormat="1" applyFont="1" applyFill="1" applyBorder="1" applyProtection="1">
      <protection locked="0"/>
    </xf>
    <xf numFmtId="0" fontId="7" fillId="25" borderId="79" xfId="0" applyFont="1" applyFill="1" applyBorder="1" applyAlignment="1" applyProtection="1">
      <alignment horizontal="left" vertical="top" wrapText="1"/>
      <protection locked="0"/>
    </xf>
    <xf numFmtId="0" fontId="6" fillId="25" borderId="79" xfId="0" applyFont="1" applyFill="1" applyBorder="1" applyAlignment="1" applyProtection="1">
      <alignment horizontal="left" vertical="top" wrapText="1"/>
      <protection locked="0"/>
    </xf>
    <xf numFmtId="0" fontId="6" fillId="25" borderId="79" xfId="0" applyFont="1" applyFill="1" applyBorder="1" applyAlignment="1" applyProtection="1">
      <alignment horizontal="left" wrapText="1"/>
      <protection locked="0"/>
    </xf>
    <xf numFmtId="0" fontId="9" fillId="25" borderId="79" xfId="0" applyFont="1" applyFill="1" applyBorder="1" applyAlignment="1" applyProtection="1">
      <alignment horizontal="left" wrapText="1"/>
      <protection locked="0"/>
    </xf>
    <xf numFmtId="172" fontId="0" fillId="0" borderId="0" xfId="0" applyNumberFormat="1"/>
    <xf numFmtId="9" fontId="7" fillId="0" borderId="28" xfId="44"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8" xfId="0" applyFont="1" applyFill="1" applyBorder="1" applyAlignment="1">
      <alignment horizontal="center" vertical="center" wrapText="1"/>
    </xf>
    <xf numFmtId="9" fontId="7" fillId="0" borderId="30" xfId="44"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2" xfId="0" applyFont="1" applyFill="1" applyBorder="1" applyAlignment="1">
      <alignment horizontal="center" vertical="top" wrapText="1"/>
    </xf>
    <xf numFmtId="0" fontId="0" fillId="0" borderId="0" xfId="0" applyBorder="1"/>
    <xf numFmtId="172" fontId="0" fillId="0" borderId="0" xfId="0" applyNumberFormat="1" applyBorder="1"/>
    <xf numFmtId="0" fontId="3" fillId="29" borderId="77" xfId="0" applyFont="1" applyFill="1" applyBorder="1" applyAlignment="1">
      <alignment horizontal="center"/>
    </xf>
    <xf numFmtId="0" fontId="3" fillId="29" borderId="78" xfId="0" applyFont="1" applyFill="1" applyBorder="1" applyAlignment="1">
      <alignment horizontal="center"/>
    </xf>
    <xf numFmtId="0" fontId="3" fillId="29"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1"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36" fillId="0" borderId="80" xfId="0" applyFont="1" applyBorder="1" applyAlignment="1">
      <alignment horizontal="center" vertical="center" wrapText="1"/>
    </xf>
    <xf numFmtId="0" fontId="36" fillId="0" borderId="72" xfId="0" applyFont="1" applyBorder="1" applyAlignment="1">
      <alignment horizontal="center" vertical="center" wrapText="1"/>
    </xf>
    <xf numFmtId="0" fontId="7" fillId="0" borderId="29"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wrapText="1"/>
    </xf>
    <xf numFmtId="0" fontId="7" fillId="0" borderId="55" xfId="0" applyFont="1" applyFill="1" applyBorder="1" applyAlignment="1">
      <alignment horizontal="center" vertical="center" wrapText="1"/>
    </xf>
    <xf numFmtId="9" fontId="7" fillId="0" borderId="28" xfId="44" applyFont="1" applyFill="1" applyBorder="1" applyAlignment="1">
      <alignment horizontal="center" vertical="center" wrapText="1"/>
    </xf>
    <xf numFmtId="9" fontId="7" fillId="0" borderId="52" xfId="44" applyFont="1" applyFill="1" applyBorder="1" applyAlignment="1">
      <alignment horizontal="center" vertical="center" wrapText="1"/>
    </xf>
    <xf numFmtId="9" fontId="7" fillId="0" borderId="29" xfId="44" applyFont="1" applyFill="1" applyBorder="1" applyAlignment="1">
      <alignment horizontal="center" vertical="center" wrapText="1"/>
    </xf>
    <xf numFmtId="9" fontId="7" fillId="0" borderId="54" xfId="44" applyFont="1" applyFill="1" applyBorder="1" applyAlignment="1">
      <alignment horizontal="center" vertical="center" wrapText="1"/>
    </xf>
    <xf numFmtId="0" fontId="6" fillId="0" borderId="29" xfId="0" applyFont="1" applyBorder="1" applyAlignment="1">
      <alignment horizontal="left" vertical="center" wrapText="1" indent="1"/>
    </xf>
    <xf numFmtId="0" fontId="6" fillId="0" borderId="21" xfId="0" applyFont="1" applyBorder="1" applyAlignment="1">
      <alignment horizontal="left" vertical="center" wrapText="1" indent="1"/>
    </xf>
    <xf numFmtId="0" fontId="6" fillId="0" borderId="54" xfId="0" applyFont="1" applyBorder="1" applyAlignment="1">
      <alignment horizontal="left" vertical="center" wrapText="1" indent="1"/>
    </xf>
    <xf numFmtId="0" fontId="7" fillId="0" borderId="5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6"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67" xfId="0" applyFont="1" applyFill="1" applyBorder="1" applyAlignment="1">
      <alignment horizontal="center" vertical="top" wrapText="1"/>
    </xf>
    <xf numFmtId="0" fontId="7" fillId="0" borderId="66" xfId="0"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4" xfId="0" applyFont="1" applyBorder="1" applyAlignment="1">
      <alignment horizontal="center" vertical="center" wrapText="1"/>
    </xf>
    <xf numFmtId="0" fontId="7" fillId="0" borderId="81" xfId="0" applyFont="1" applyFill="1" applyBorder="1" applyAlignment="1">
      <alignment horizontal="center" vertical="center" wrapText="1"/>
    </xf>
    <xf numFmtId="0" fontId="7" fillId="0" borderId="71"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72" xfId="0" applyFont="1" applyFill="1" applyBorder="1" applyAlignment="1">
      <alignment horizontal="center" vertical="center"/>
    </xf>
    <xf numFmtId="0" fontId="10" fillId="0" borderId="0" xfId="0" applyNumberFormat="1" applyFont="1" applyBorder="1" applyAlignment="1" applyProtection="1">
      <alignment wrapText="1"/>
    </xf>
    <xf numFmtId="0" fontId="1" fillId="0" borderId="0" xfId="0" applyFont="1" applyAlignment="1" applyProtection="1">
      <alignment wrapText="1"/>
    </xf>
    <xf numFmtId="9" fontId="7" fillId="0" borderId="21" xfId="44" applyFont="1" applyFill="1" applyBorder="1" applyAlignment="1">
      <alignment horizontal="center" vertical="center" wrapText="1"/>
    </xf>
    <xf numFmtId="9" fontId="7" fillId="0" borderId="30" xfId="44" applyFont="1" applyFill="1" applyBorder="1" applyAlignment="1">
      <alignment horizontal="center" vertical="center" wrapText="1"/>
    </xf>
    <xf numFmtId="9" fontId="7" fillId="0" borderId="53" xfId="44"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2" xfId="0" applyFont="1" applyFill="1" applyBorder="1" applyAlignment="1">
      <alignment horizontal="center" vertical="top" wrapText="1"/>
    </xf>
    <xf numFmtId="0" fontId="7" fillId="0" borderId="36" xfId="0" applyFont="1" applyFill="1" applyBorder="1" applyAlignment="1">
      <alignment horizontal="center" vertical="top" wrapText="1"/>
    </xf>
    <xf numFmtId="0" fontId="7" fillId="0" borderId="37" xfId="0" applyFont="1" applyFill="1" applyBorder="1" applyAlignment="1">
      <alignment horizontal="center" vertical="top" wrapText="1"/>
    </xf>
    <xf numFmtId="0" fontId="7" fillId="0" borderId="55" xfId="0" applyFont="1" applyFill="1" applyBorder="1" applyAlignment="1">
      <alignment horizontal="center" vertical="top" wrapText="1"/>
    </xf>
    <xf numFmtId="0" fontId="7" fillId="0" borderId="21" xfId="0" applyFont="1" applyFill="1" applyBorder="1" applyAlignment="1">
      <alignment horizontal="center" vertical="center" wrapText="1"/>
    </xf>
    <xf numFmtId="0" fontId="7" fillId="0" borderId="81" xfId="0" applyFont="1" applyFill="1" applyBorder="1" applyAlignment="1">
      <alignment horizontal="centerContinuous" vertical="center" wrapText="1"/>
    </xf>
    <xf numFmtId="172" fontId="7" fillId="0" borderId="40" xfId="0" applyNumberFormat="1" applyFont="1" applyFill="1" applyBorder="1"/>
    <xf numFmtId="172" fontId="7" fillId="0" borderId="30" xfId="0" applyNumberFormat="1" applyFont="1" applyFill="1" applyBorder="1"/>
    <xf numFmtId="0" fontId="6" fillId="0" borderId="30" xfId="0" applyFont="1" applyBorder="1"/>
    <xf numFmtId="172" fontId="6" fillId="0" borderId="53" xfId="0" applyNumberFormat="1" applyFont="1" applyBorder="1"/>
    <xf numFmtId="172" fontId="6" fillId="0" borderId="54" xfId="0" applyNumberFormat="1" applyFont="1" applyBorder="1"/>
    <xf numFmtId="172" fontId="6" fillId="0" borderId="55" xfId="0" applyNumberFormat="1" applyFont="1" applyBorder="1"/>
    <xf numFmtId="172" fontId="7" fillId="0" borderId="62" xfId="0" applyNumberFormat="1" applyFont="1" applyBorder="1"/>
    <xf numFmtId="0" fontId="6" fillId="0" borderId="11" xfId="0" applyFont="1" applyBorder="1" applyAlignment="1">
      <alignment horizontal="left" vertical="center" wrapText="1" indent="1"/>
    </xf>
    <xf numFmtId="0" fontId="6" fillId="0" borderId="51" xfId="0" applyFont="1" applyBorder="1" applyAlignment="1">
      <alignment horizontal="left" vertical="center" wrapText="1" indent="1"/>
    </xf>
    <xf numFmtId="0" fontId="6" fillId="0" borderId="47" xfId="0" applyFont="1" applyFill="1" applyBorder="1" applyAlignment="1">
      <alignment horizontal="left" vertical="top" wrapText="1"/>
    </xf>
    <xf numFmtId="10" fontId="6" fillId="25" borderId="48" xfId="44" applyNumberFormat="1" applyFont="1" applyFill="1" applyBorder="1" applyAlignment="1" applyProtection="1">
      <alignment horizontal="center" vertical="top" wrapText="1"/>
      <protection locked="0"/>
    </xf>
    <xf numFmtId="9" fontId="6" fillId="25" borderId="48" xfId="44" applyFont="1" applyFill="1" applyBorder="1" applyAlignment="1" applyProtection="1">
      <alignment horizontal="center" vertical="top" wrapText="1"/>
      <protection locked="0"/>
    </xf>
    <xf numFmtId="9" fontId="6" fillId="25" borderId="12" xfId="44" applyFont="1" applyFill="1" applyBorder="1" applyAlignment="1" applyProtection="1">
      <alignment horizontal="center" vertical="top" wrapText="1"/>
      <protection locked="0"/>
    </xf>
    <xf numFmtId="10" fontId="6" fillId="25" borderId="12" xfId="44" applyNumberFormat="1" applyFont="1" applyFill="1" applyBorder="1" applyAlignment="1" applyProtection="1">
      <alignment horizontal="center" vertical="top" wrapText="1"/>
      <protection locked="0"/>
    </xf>
    <xf numFmtId="9" fontId="6" fillId="0" borderId="12" xfId="0" applyNumberFormat="1" applyFont="1" applyFill="1" applyBorder="1" applyAlignment="1">
      <alignment horizontal="center" vertical="top" wrapText="1"/>
    </xf>
    <xf numFmtId="0" fontId="6" fillId="0" borderId="13" xfId="0" applyFont="1" applyBorder="1"/>
    <xf numFmtId="166" fontId="6" fillId="0" borderId="12" xfId="28" applyNumberFormat="1" applyFont="1" applyFill="1" applyBorder="1" applyAlignment="1">
      <alignment vertical="top" wrapText="1"/>
    </xf>
    <xf numFmtId="9" fontId="6" fillId="33" borderId="21" xfId="0" applyNumberFormat="1" applyFont="1" applyFill="1" applyBorder="1" applyAlignment="1">
      <alignment horizontal="center" vertical="top" wrapText="1"/>
    </xf>
    <xf numFmtId="0" fontId="6" fillId="0" borderId="12" xfId="0" applyFont="1" applyBorder="1"/>
    <xf numFmtId="172" fontId="7" fillId="0" borderId="38" xfId="0" applyNumberFormat="1" applyFont="1" applyFill="1" applyBorder="1"/>
    <xf numFmtId="0" fontId="7" fillId="0" borderId="52" xfId="0" applyFont="1" applyFill="1" applyBorder="1" applyAlignment="1">
      <alignment horizontal="centerContinuous" vertical="center" wrapText="1"/>
    </xf>
    <xf numFmtId="0" fontId="7" fillId="0" borderId="53" xfId="0" applyFont="1" applyFill="1" applyBorder="1" applyAlignment="1">
      <alignment horizontal="centerContinuous" vertical="center" wrapText="1"/>
    </xf>
    <xf numFmtId="0" fontId="6" fillId="0" borderId="57" xfId="0" applyFont="1" applyBorder="1"/>
    <xf numFmtId="0" fontId="7" fillId="0" borderId="84" xfId="0" applyFont="1" applyFill="1" applyBorder="1" applyAlignment="1">
      <alignment horizontal="centerContinuous" vertical="center" wrapText="1"/>
    </xf>
    <xf numFmtId="0" fontId="7" fillId="0" borderId="57" xfId="0" applyFont="1" applyBorder="1"/>
    <xf numFmtId="0" fontId="6" fillId="0" borderId="85" xfId="0" applyFont="1" applyBorder="1"/>
    <xf numFmtId="0" fontId="6" fillId="0" borderId="31" xfId="0" applyFont="1" applyBorder="1"/>
    <xf numFmtId="0" fontId="6" fillId="0" borderId="36" xfId="0" applyFont="1" applyBorder="1"/>
    <xf numFmtId="0" fontId="6" fillId="0" borderId="32" xfId="0" applyFont="1" applyBorder="1"/>
    <xf numFmtId="0" fontId="7" fillId="0" borderId="86" xfId="0" applyFont="1" applyFill="1" applyBorder="1" applyAlignment="1">
      <alignment horizontal="centerContinuous" vertical="center" wrapText="1"/>
    </xf>
    <xf numFmtId="0" fontId="7" fillId="0" borderId="82" xfId="0" applyFont="1" applyFill="1" applyBorder="1" applyAlignment="1">
      <alignment horizontal="centerContinuous" vertical="center" wrapText="1"/>
    </xf>
    <xf numFmtId="0" fontId="7" fillId="0" borderId="87" xfId="0" applyFont="1" applyFill="1" applyBorder="1" applyAlignment="1">
      <alignment horizontal="centerContinuous" vertical="center" wrapText="1"/>
    </xf>
    <xf numFmtId="0" fontId="7" fillId="0" borderId="48" xfId="0" applyFont="1" applyFill="1" applyBorder="1" applyAlignment="1">
      <alignment horizontal="center" vertical="center" wrapText="1"/>
    </xf>
    <xf numFmtId="0" fontId="7" fillId="0" borderId="83" xfId="0" applyFont="1" applyFill="1" applyBorder="1" applyAlignment="1">
      <alignment horizontal="center" vertical="top" wrapText="1"/>
    </xf>
    <xf numFmtId="0" fontId="6" fillId="0" borderId="14" xfId="0" applyFont="1" applyBorder="1"/>
    <xf numFmtId="0" fontId="9" fillId="0" borderId="10" xfId="0" applyFont="1" applyBorder="1"/>
    <xf numFmtId="0" fontId="9" fillId="0" borderId="41" xfId="0" applyFont="1" applyBorder="1"/>
    <xf numFmtId="9" fontId="7" fillId="0" borderId="43" xfId="44" applyFont="1" applyFill="1" applyBorder="1" applyAlignment="1">
      <alignment horizontal="center" vertical="center" wrapText="1"/>
    </xf>
    <xf numFmtId="0" fontId="7" fillId="0" borderId="15" xfId="0" applyFont="1" applyBorder="1"/>
    <xf numFmtId="0" fontId="7" fillId="0" borderId="3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42" xfId="0" applyFont="1" applyFill="1" applyBorder="1" applyAlignment="1">
      <alignment horizontal="center" vertical="top" wrapText="1"/>
    </xf>
    <xf numFmtId="172" fontId="7" fillId="0" borderId="21" xfId="0" applyNumberFormat="1" applyFont="1" applyBorder="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6 2 2 2" xfId="39"/>
    <cellStyle name="Normal_Centlec Capex Budget 2009_12_Draft 2_Ver 2" xfId="40"/>
    <cellStyle name="Normal_Final cover - LG Reporting" xfId="41"/>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6" dropStyle="combo" dx="22" fmlaLink="$X$33" fmlaRange="$X$17:$X$31" noThreeD="1" sel="13" val="9"/>
</file>

<file path=xl/ctrlProps/ctrlProp3.xml><?xml version="1.0" encoding="utf-8"?>
<formControlPr xmlns="http://schemas.microsoft.com/office/spreadsheetml/2009/9/main" objectType="Drop" dropLines="10" dropStyle="combo" dx="22" fmlaLink="'Lookup and lists'!$B$27" fmlaRange="'Lookup and lists (2)'!$B$29:$B$286" noThreeD="1" sel="41" val="40"/>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1365" name="Group 11"/>
        <xdr:cNvGrpSpPr>
          <a:grpSpLocks/>
        </xdr:cNvGrpSpPr>
      </xdr:nvGrpSpPr>
      <xdr:grpSpPr bwMode="auto">
        <a:xfrm>
          <a:off x="0" y="9525"/>
          <a:ext cx="7582766" cy="6502111"/>
          <a:chOff x="0" y="1"/>
          <a:chExt cx="791" cy="672"/>
        </a:xfrm>
      </xdr:grpSpPr>
      <xdr:grpSp>
        <xdr:nvGrpSpPr>
          <xdr:cNvPr id="1368" name="Group 12"/>
          <xdr:cNvGrpSpPr>
            <a:grpSpLocks/>
          </xdr:cNvGrpSpPr>
        </xdr:nvGrpSpPr>
        <xdr:grpSpPr bwMode="auto">
          <a:xfrm>
            <a:off x="0" y="1"/>
            <a:ext cx="791" cy="672"/>
            <a:chOff x="12" y="17"/>
            <a:chExt cx="791" cy="672"/>
          </a:xfrm>
        </xdr:grpSpPr>
        <xdr:pic>
          <xdr:nvPicPr>
            <xdr:cNvPr id="1370" name="Picture 1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71" name="Picture 1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72" name="Group 15"/>
            <xdr:cNvGrpSpPr>
              <a:grpSpLocks/>
            </xdr:cNvGrpSpPr>
          </xdr:nvGrpSpPr>
          <xdr:grpSpPr bwMode="auto">
            <a:xfrm>
              <a:off x="416" y="255"/>
              <a:ext cx="367" cy="413"/>
              <a:chOff x="416" y="255"/>
              <a:chExt cx="367" cy="413"/>
            </a:xfrm>
          </xdr:grpSpPr>
          <xdr:pic>
            <xdr:nvPicPr>
              <xdr:cNvPr id="1377"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78" name="Group 17"/>
              <xdr:cNvGrpSpPr>
                <a:grpSpLocks/>
              </xdr:cNvGrpSpPr>
            </xdr:nvGrpSpPr>
            <xdr:grpSpPr bwMode="auto">
              <a:xfrm>
                <a:off x="432" y="264"/>
                <a:ext cx="286" cy="128"/>
                <a:chOff x="426" y="263"/>
                <a:chExt cx="290" cy="130"/>
              </a:xfrm>
            </xdr:grpSpPr>
            <xdr:pic>
              <xdr:nvPicPr>
                <xdr:cNvPr id="1380"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81"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73" name="Group 21"/>
            <xdr:cNvGrpSpPr>
              <a:grpSpLocks/>
            </xdr:cNvGrpSpPr>
          </xdr:nvGrpSpPr>
          <xdr:grpSpPr bwMode="auto">
            <a:xfrm>
              <a:off x="76" y="364"/>
              <a:ext cx="289" cy="256"/>
              <a:chOff x="76" y="364"/>
              <a:chExt cx="289" cy="256"/>
            </a:xfrm>
          </xdr:grpSpPr>
          <xdr:pic>
            <xdr:nvPicPr>
              <xdr:cNvPr id="1374" name="Picture 2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75" name="Picture 2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76" name="Picture 2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69" name="Picture 25" descr="D1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81915</xdr:colOff>
      <xdr:row>15</xdr:row>
      <xdr:rowOff>154305</xdr:rowOff>
    </xdr:from>
    <xdr:to>
      <xdr:col>4</xdr:col>
      <xdr:colOff>487676</xdr:colOff>
      <xdr:row>18</xdr:row>
      <xdr:rowOff>164521</xdr:rowOff>
    </xdr:to>
    <xdr:sp macro="[0]!GoToInstructions" textlink="">
      <xdr:nvSpPr>
        <xdr:cNvPr id="3098" name="Text Box 26">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138545</xdr:colOff>
      <xdr:row>11</xdr:row>
      <xdr:rowOff>129540</xdr:rowOff>
    </xdr:from>
    <xdr:to>
      <xdr:col>13</xdr:col>
      <xdr:colOff>449693</xdr:colOff>
      <xdr:row>13</xdr:row>
      <xdr:rowOff>17287</xdr:rowOff>
    </xdr:to>
    <xdr:sp macro="" textlink="">
      <xdr:nvSpPr>
        <xdr:cNvPr id="3099" name="Text Box 27">
          <a:extLst/>
        </xdr:cNvPr>
        <xdr:cNvSpPr txBox="1">
          <a:spLocks noChangeArrowheads="1"/>
        </xdr:cNvSpPr>
      </xdr:nvSpPr>
      <xdr:spPr bwMode="auto">
        <a:xfrm>
          <a:off x="6044045" y="1941195"/>
          <a:ext cx="1379061" cy="2151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7059"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7060"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148839</xdr:rowOff>
    </xdr:to>
    <xdr:sp macro="" textlink="">
      <xdr:nvSpPr>
        <xdr:cNvPr id="123923" name="Text Box 19">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148590</xdr:rowOff>
    </xdr:from>
    <xdr:to>
      <xdr:col>5</xdr:col>
      <xdr:colOff>85725</xdr:colOff>
      <xdr:row>14</xdr:row>
      <xdr:rowOff>120015</xdr:rowOff>
    </xdr:to>
    <xdr:sp macro="" textlink="">
      <xdr:nvSpPr>
        <xdr:cNvPr id="123944" name="Text Box 40">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7069" name="TextBox2"/>
            <xdr:cNvPicPr preferRelativeResize="0">
              <a:picLocks noChangeArrowheads="1" noChangeShapeType="1"/>
              <a:extLst>
                <a:ext uri="{84589F7E-364E-4C9E-8A38-B11213B215E9}">
                  <a14:cameraTool cellRange="FinYear" spid="_x0000_s27173"/>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110670</xdr:rowOff>
    </xdr:to>
    <xdr:sp macro="" textlink="">
      <xdr:nvSpPr>
        <xdr:cNvPr id="5150" name="Text Box 30">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148590</xdr:rowOff>
    </xdr:from>
    <xdr:to>
      <xdr:col>5</xdr:col>
      <xdr:colOff>114300</xdr:colOff>
      <xdr:row>42</xdr:row>
      <xdr:rowOff>38213</xdr:rowOff>
    </xdr:to>
    <xdr:sp macro="" textlink="">
      <xdr:nvSpPr>
        <xdr:cNvPr id="5151" name="Text Box 31">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110739</xdr:rowOff>
    </xdr:to>
    <xdr:sp macro="" textlink="">
      <xdr:nvSpPr>
        <xdr:cNvPr id="2" name="Text Box 19">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antfiles\mscoa\Schedules%20to%20align%20to%20mSCOA\A1%20Schedule%20-%20mSCOA%20vs%206.2%20-%2025%20January%202018%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t="str">
            <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refreshError="1"/>
      <sheetData sheetId="1" refreshError="1"/>
      <sheetData sheetId="2"/>
      <sheetData sheetId="3">
        <row r="16">
          <cell r="AC16" t="str">
            <v>Spatial integration</v>
          </cell>
        </row>
      </sheetData>
      <sheetData sheetId="4">
        <row r="2">
          <cell r="A2" t="str">
            <v>Vote 1 - [NAME OF VOTE 1]</v>
          </cell>
        </row>
        <row r="3">
          <cell r="A3" t="str">
            <v>Vote 2 - [NAME OF VOTE 2]</v>
          </cell>
          <cell r="D3" t="str">
            <v>1.1 - [Name of sub-vote]</v>
          </cell>
        </row>
        <row r="4">
          <cell r="A4" t="str">
            <v>Vote 3 - [NAME OF VOTE 3]</v>
          </cell>
          <cell r="D4" t="str">
            <v>1.2 - [Name of sub-vote]</v>
          </cell>
        </row>
        <row r="5">
          <cell r="A5" t="str">
            <v>Vote 4 - [NAME OF VOTE 4]</v>
          </cell>
          <cell r="D5" t="str">
            <v>1.3 - [Name of sub-vote]</v>
          </cell>
        </row>
        <row r="6">
          <cell r="A6" t="str">
            <v>Vote 5 - [NAME OF VOTE 5]</v>
          </cell>
          <cell r="D6" t="str">
            <v>1.4 - [Name of sub-vote]</v>
          </cell>
        </row>
        <row r="7">
          <cell r="A7" t="str">
            <v>Vote 6 - [NAME OF VOTE 6]</v>
          </cell>
          <cell r="D7" t="str">
            <v>1.5 - [Name of sub-vote]</v>
          </cell>
        </row>
        <row r="8">
          <cell r="A8" t="str">
            <v>Vote 7 - [NAME OF VOTE 7]</v>
          </cell>
          <cell r="D8" t="str">
            <v>1.6 - [Name of sub-vote]</v>
          </cell>
        </row>
        <row r="9">
          <cell r="A9" t="str">
            <v>Vote 8 - [NAME OF VOTE 8]</v>
          </cell>
          <cell r="D9" t="str">
            <v>1.7 - [Name of sub-vote]</v>
          </cell>
        </row>
        <row r="10">
          <cell r="A10" t="str">
            <v>Vote 9 - [NAME OF VOTE 9]</v>
          </cell>
          <cell r="D10" t="str">
            <v>1.8 - [Name of sub-vote]</v>
          </cell>
        </row>
        <row r="11">
          <cell r="A11" t="str">
            <v>Vote 10 - [NAME OF VOTE 10]</v>
          </cell>
          <cell r="D11" t="str">
            <v>1.9 - [Name of sub-vote]</v>
          </cell>
        </row>
        <row r="12">
          <cell r="A12" t="str">
            <v>Vote 11 - [NAME OF VOTE 11]</v>
          </cell>
          <cell r="D12" t="str">
            <v>1.10 - [Name of sub-vote]</v>
          </cell>
        </row>
        <row r="13">
          <cell r="A13" t="str">
            <v>Vote 12 - [NAME OF VOTE 12]</v>
          </cell>
        </row>
        <row r="14">
          <cell r="A14" t="str">
            <v>Vote 13 - [NAME OF VOTE 13]</v>
          </cell>
          <cell r="D14" t="str">
            <v>2.1 - [Name of sub-vote]</v>
          </cell>
        </row>
        <row r="15">
          <cell r="A15" t="str">
            <v>Vote 14 - [NAME OF VOTE 14]</v>
          </cell>
          <cell r="D15" t="str">
            <v>2.2 - [Name of sub-vote]</v>
          </cell>
        </row>
        <row r="16">
          <cell r="A16" t="str">
            <v>Vote 15 - [NAME OF VOTE 15]</v>
          </cell>
          <cell r="D16" t="str">
            <v>2.3 - [Name of sub-vote]</v>
          </cell>
        </row>
        <row r="17">
          <cell r="D17" t="str">
            <v>2.4 - [Name of sub-vote]</v>
          </cell>
        </row>
        <row r="18">
          <cell r="D18" t="str">
            <v>2.5 - [Name of sub-vote]</v>
          </cell>
        </row>
        <row r="19">
          <cell r="D19" t="str">
            <v>2.6 - [Name of sub-vote]</v>
          </cell>
        </row>
        <row r="20">
          <cell r="D20" t="str">
            <v>2.7 - [Name of sub-vote]</v>
          </cell>
        </row>
        <row r="21">
          <cell r="D21" t="str">
            <v>2.8 - [Name of sub-vote]</v>
          </cell>
        </row>
        <row r="22">
          <cell r="D22" t="str">
            <v>2.9 - [Name of sub-vote]</v>
          </cell>
        </row>
        <row r="23">
          <cell r="D23" t="str">
            <v>2.10 - [Name of sub-vote]</v>
          </cell>
        </row>
        <row r="25">
          <cell r="D25" t="str">
            <v>3.1 - [Name of sub-vote]</v>
          </cell>
        </row>
        <row r="26">
          <cell r="D26" t="str">
            <v>3.2 - [Name of sub-vote]</v>
          </cell>
        </row>
        <row r="27">
          <cell r="D27" t="str">
            <v>3.3 - [Name of sub-vote]</v>
          </cell>
        </row>
        <row r="28">
          <cell r="D28" t="str">
            <v>3.4 - [Name of sub-vote]</v>
          </cell>
        </row>
        <row r="29">
          <cell r="D29" t="str">
            <v>3.5 - [Name of sub-vote]</v>
          </cell>
        </row>
        <row r="30">
          <cell r="D30" t="str">
            <v>3.6 - [Name of sub-vote]</v>
          </cell>
        </row>
        <row r="31">
          <cell r="D31" t="str">
            <v>3.7 - [Name of sub-vote]</v>
          </cell>
        </row>
        <row r="32">
          <cell r="D32" t="str">
            <v>3.8 - [Name of sub-vote]</v>
          </cell>
        </row>
        <row r="33">
          <cell r="D33" t="str">
            <v>3.9 - [Name of sub-vote]</v>
          </cell>
        </row>
        <row r="34">
          <cell r="D34" t="str">
            <v>3.10 - [Name of sub-vote]</v>
          </cell>
        </row>
        <row r="36">
          <cell r="D36" t="str">
            <v>4.1 - [Name of sub-vote]</v>
          </cell>
        </row>
        <row r="37">
          <cell r="D37" t="str">
            <v>4.2 - [Name of sub-vote]</v>
          </cell>
        </row>
        <row r="38">
          <cell r="D38" t="str">
            <v>4.3 - [Name of sub-vote]</v>
          </cell>
        </row>
        <row r="39">
          <cell r="D39" t="str">
            <v>4.4 - [Name of sub-vote]</v>
          </cell>
        </row>
        <row r="40">
          <cell r="D40" t="str">
            <v>4.5 - [Name of sub-vote]</v>
          </cell>
        </row>
        <row r="41">
          <cell r="D41" t="str">
            <v>4.6 - [Name of sub-vote]</v>
          </cell>
        </row>
        <row r="42">
          <cell r="D42" t="str">
            <v>4.7 - [Name of sub-vote]</v>
          </cell>
        </row>
        <row r="43">
          <cell r="D43" t="str">
            <v>4.8 - [Name of sub-vote]</v>
          </cell>
        </row>
        <row r="44">
          <cell r="D44" t="str">
            <v>4.9 - [Name of sub-vote]</v>
          </cell>
        </row>
        <row r="45">
          <cell r="D45" t="str">
            <v>4.10 - [Name of sub-vote]</v>
          </cell>
        </row>
        <row r="47">
          <cell r="D47" t="str">
            <v>5.1 - [Name of sub-vote]</v>
          </cell>
        </row>
        <row r="48">
          <cell r="D48" t="str">
            <v>5.2 - [Name of sub-vote]</v>
          </cell>
        </row>
        <row r="49">
          <cell r="D49" t="str">
            <v>5.3 - [Name of sub-vote]</v>
          </cell>
        </row>
        <row r="50">
          <cell r="D50" t="str">
            <v>5.4 - [Name of sub-vote]</v>
          </cell>
        </row>
        <row r="51">
          <cell r="D51" t="str">
            <v>5.5 - [Name of sub-vote]</v>
          </cell>
        </row>
        <row r="52">
          <cell r="D52" t="str">
            <v>5.6 - [Name of sub-vote]</v>
          </cell>
        </row>
        <row r="53">
          <cell r="D53" t="str">
            <v>5.7 - [Name of sub-vote]</v>
          </cell>
        </row>
        <row r="54">
          <cell r="D54" t="str">
            <v>5.8 - [Name of sub-vote]</v>
          </cell>
        </row>
        <row r="55">
          <cell r="D55" t="str">
            <v>5.9 - [Name of sub-vote]</v>
          </cell>
        </row>
        <row r="56">
          <cell r="D56" t="str">
            <v>5.10 - [Name of sub-vote]</v>
          </cell>
        </row>
        <row r="58">
          <cell r="D58" t="str">
            <v>6.1 - [Name of sub-vote]</v>
          </cell>
        </row>
        <row r="59">
          <cell r="D59" t="str">
            <v>6.2 - [Name of sub-vote]</v>
          </cell>
        </row>
        <row r="60">
          <cell r="D60" t="str">
            <v>6.3 - [Name of sub-vote]</v>
          </cell>
        </row>
        <row r="61">
          <cell r="D61" t="str">
            <v>6.4 - [Name of sub-vote]</v>
          </cell>
        </row>
        <row r="62">
          <cell r="D62" t="str">
            <v>6.5 - [Name of sub-vote]</v>
          </cell>
        </row>
        <row r="63">
          <cell r="D63" t="str">
            <v>6.6 - [Name of sub-vote]</v>
          </cell>
        </row>
        <row r="64">
          <cell r="D64" t="str">
            <v>6.7 - [Name of sub-vote]</v>
          </cell>
        </row>
        <row r="65">
          <cell r="D65" t="str">
            <v>6.8 - [Name of sub-vote]</v>
          </cell>
        </row>
        <row r="66">
          <cell r="D66" t="str">
            <v>6.9 - [Name of sub-vote]</v>
          </cell>
        </row>
        <row r="67">
          <cell r="D67" t="str">
            <v>6.10 - [Name of sub-vote]</v>
          </cell>
        </row>
        <row r="69">
          <cell r="D69" t="str">
            <v>7.1 - [Name of sub-vote]</v>
          </cell>
        </row>
        <row r="70">
          <cell r="D70" t="str">
            <v>7.2 - [Name of sub-vote]</v>
          </cell>
        </row>
        <row r="71">
          <cell r="D71" t="str">
            <v>7.3 - [Name of sub-vote]</v>
          </cell>
        </row>
        <row r="72">
          <cell r="D72" t="str">
            <v>7.4 - [Name of sub-vote]</v>
          </cell>
        </row>
        <row r="73">
          <cell r="D73" t="str">
            <v>7.5 - [Name of sub-vote]</v>
          </cell>
        </row>
        <row r="74">
          <cell r="D74" t="str">
            <v>7.6 - [Name of sub-vote]</v>
          </cell>
        </row>
        <row r="75">
          <cell r="D75" t="str">
            <v>7.7 - [Name of sub-vote]</v>
          </cell>
        </row>
        <row r="76">
          <cell r="D76" t="str">
            <v>7.8 - [Name of sub-vote]</v>
          </cell>
        </row>
        <row r="77">
          <cell r="D77" t="str">
            <v>7.9 - [Name of sub-vote]</v>
          </cell>
        </row>
        <row r="78">
          <cell r="D78" t="str">
            <v>7.10 - [Name of sub-vote]</v>
          </cell>
        </row>
        <row r="80">
          <cell r="D80" t="str">
            <v>8.1 - [Name of sub-vote]</v>
          </cell>
        </row>
        <row r="81">
          <cell r="D81" t="str">
            <v>8.2 - [Name of sub-vote]</v>
          </cell>
        </row>
        <row r="82">
          <cell r="D82" t="str">
            <v>8.3 - [Name of sub-vote]</v>
          </cell>
        </row>
        <row r="83">
          <cell r="D83" t="str">
            <v>8.4 - [Name of sub-vote]</v>
          </cell>
        </row>
        <row r="84">
          <cell r="D84" t="str">
            <v>8.5 - [Name of sub-vote]</v>
          </cell>
        </row>
        <row r="85">
          <cell r="D85" t="str">
            <v>8.6 - [Name of sub-vote]</v>
          </cell>
        </row>
        <row r="86">
          <cell r="D86" t="str">
            <v>8.7 - [Name of sub-vote]</v>
          </cell>
        </row>
        <row r="87">
          <cell r="D87" t="str">
            <v>8.8 - [Name of sub-vote]</v>
          </cell>
        </row>
        <row r="88">
          <cell r="D88" t="str">
            <v>8.9 - [Name of sub-vote]</v>
          </cell>
        </row>
        <row r="89">
          <cell r="D89" t="str">
            <v>8.10 - [Name of sub-vote]</v>
          </cell>
        </row>
        <row r="91">
          <cell r="D91" t="str">
            <v>9.1 - [Name of sub-vote]</v>
          </cell>
        </row>
        <row r="92">
          <cell r="D92" t="str">
            <v>9.2 - [Name of sub-vote]</v>
          </cell>
        </row>
        <row r="93">
          <cell r="D93" t="str">
            <v>9.3 - [Name of sub-vote]</v>
          </cell>
        </row>
        <row r="94">
          <cell r="D94" t="str">
            <v>9.4 - [Name of sub-vote]</v>
          </cell>
        </row>
        <row r="95">
          <cell r="D95" t="str">
            <v>9.5 - [Name of sub-vote]</v>
          </cell>
        </row>
        <row r="96">
          <cell r="D96" t="str">
            <v>9.6 - [Name of sub-vote]</v>
          </cell>
        </row>
        <row r="97">
          <cell r="D97" t="str">
            <v>9.7 - [Name of sub-vote]</v>
          </cell>
        </row>
        <row r="98">
          <cell r="D98" t="str">
            <v>9.8 - [Name of sub-vote]</v>
          </cell>
        </row>
        <row r="99">
          <cell r="D99" t="str">
            <v>9.9 - [Name of sub-vote]</v>
          </cell>
        </row>
        <row r="100">
          <cell r="D100" t="str">
            <v>9.10 - [Name of sub-vote]</v>
          </cell>
        </row>
        <row r="102">
          <cell r="D102" t="str">
            <v>10.1 - [Name of sub-vote]</v>
          </cell>
        </row>
        <row r="103">
          <cell r="D103" t="str">
            <v>10.2 - [Name of sub-vote]</v>
          </cell>
        </row>
        <row r="104">
          <cell r="D104" t="str">
            <v>10.3 - [Name of sub-vote]</v>
          </cell>
        </row>
        <row r="105">
          <cell r="D105" t="str">
            <v>10.4 - [Name of sub-vote]</v>
          </cell>
        </row>
        <row r="106">
          <cell r="D106" t="str">
            <v>10.5 - [Name of sub-vote]</v>
          </cell>
        </row>
        <row r="107">
          <cell r="D107" t="str">
            <v>10.6 - [Name of sub-vote]</v>
          </cell>
        </row>
        <row r="108">
          <cell r="D108" t="str">
            <v>10.7 - [Name of sub-vote]</v>
          </cell>
        </row>
        <row r="109">
          <cell r="D109" t="str">
            <v>10.8 - [Name of sub-vote]</v>
          </cell>
        </row>
        <row r="110">
          <cell r="D110" t="str">
            <v>10.9 - [Name of sub-vote]</v>
          </cell>
        </row>
        <row r="111">
          <cell r="D111" t="str">
            <v>10.10 - [Name of sub-vote]</v>
          </cell>
        </row>
        <row r="113">
          <cell r="D113" t="str">
            <v>11.1 - [Name of sub-vote]</v>
          </cell>
        </row>
        <row r="114">
          <cell r="D114" t="str">
            <v>11.2 - [Name of sub-vote]</v>
          </cell>
        </row>
        <row r="115">
          <cell r="D115" t="str">
            <v>11.3 - [Name of sub-vote]</v>
          </cell>
        </row>
        <row r="116">
          <cell r="D116" t="str">
            <v>11.4 - [Name of sub-vote]</v>
          </cell>
        </row>
        <row r="117">
          <cell r="D117" t="str">
            <v>11.5 - [Name of sub-vote]</v>
          </cell>
        </row>
        <row r="118">
          <cell r="D118" t="str">
            <v>11.6 - [Name of sub-vote]</v>
          </cell>
        </row>
        <row r="119">
          <cell r="D119" t="str">
            <v>11.7 - [Name of sub-vote]</v>
          </cell>
        </row>
        <row r="120">
          <cell r="D120" t="str">
            <v>11.8 - [Name of sub-vote]</v>
          </cell>
        </row>
        <row r="121">
          <cell r="D121" t="str">
            <v>11.9 - [Name of sub-vote]</v>
          </cell>
        </row>
        <row r="122">
          <cell r="D122" t="str">
            <v>11.10 - [Name of sub-vote]</v>
          </cell>
        </row>
        <row r="124">
          <cell r="D124" t="str">
            <v>12.1 - [Name of sub-vote]</v>
          </cell>
        </row>
        <row r="125">
          <cell r="D125" t="str">
            <v>12.2 - [Name of sub-vote]</v>
          </cell>
        </row>
        <row r="126">
          <cell r="D126" t="str">
            <v>12.3 - [Name of sub-vote]</v>
          </cell>
        </row>
        <row r="127">
          <cell r="D127" t="str">
            <v>12.4 - [Name of sub-vote]</v>
          </cell>
        </row>
        <row r="128">
          <cell r="D128" t="str">
            <v>12.5 - [Name of sub-vote]</v>
          </cell>
        </row>
        <row r="129">
          <cell r="D129" t="str">
            <v>12.6 - [Name of sub-vote]</v>
          </cell>
        </row>
        <row r="130">
          <cell r="D130" t="str">
            <v>12.7 - [Name of sub-vote]</v>
          </cell>
        </row>
        <row r="131">
          <cell r="D131" t="str">
            <v>12.8 - [Name of sub-vote]</v>
          </cell>
        </row>
        <row r="132">
          <cell r="D132" t="str">
            <v>12.9 - [Name of sub-vote]</v>
          </cell>
        </row>
        <row r="133">
          <cell r="D133" t="str">
            <v>12.10 - [Name of sub-vote]</v>
          </cell>
        </row>
        <row r="135">
          <cell r="D135" t="str">
            <v>13.1 - [Name of sub-vote]</v>
          </cell>
        </row>
        <row r="136">
          <cell r="D136" t="str">
            <v>13.2 - [Name of sub-vote]</v>
          </cell>
        </row>
        <row r="137">
          <cell r="D137" t="str">
            <v>13.3 - [Name of sub-vote]</v>
          </cell>
        </row>
        <row r="138">
          <cell r="D138" t="str">
            <v>13.4 - [Name of sub-vote]</v>
          </cell>
        </row>
        <row r="139">
          <cell r="D139" t="str">
            <v>13.5 - [Name of sub-vote]</v>
          </cell>
        </row>
        <row r="140">
          <cell r="D140" t="str">
            <v>13.6 - [Name of sub-vote]</v>
          </cell>
        </row>
        <row r="141">
          <cell r="D141" t="str">
            <v>13.7 - [Name of sub-vote]</v>
          </cell>
        </row>
        <row r="142">
          <cell r="D142" t="str">
            <v>13.8 - [Name of sub-vote]</v>
          </cell>
        </row>
        <row r="143">
          <cell r="D143" t="str">
            <v>13.9 - [Name of sub-vote]</v>
          </cell>
        </row>
        <row r="144">
          <cell r="D144" t="str">
            <v>13.10 - [Name of sub-vote]</v>
          </cell>
        </row>
        <row r="146">
          <cell r="D146" t="str">
            <v>14.1 - [Name of sub-vote]</v>
          </cell>
        </row>
        <row r="147">
          <cell r="D147" t="str">
            <v>14.2 - [Name of sub-vote]</v>
          </cell>
        </row>
        <row r="148">
          <cell r="D148" t="str">
            <v>14.3 - [Name of sub-vote]</v>
          </cell>
        </row>
        <row r="149">
          <cell r="D149" t="str">
            <v>14.4 - [Name of sub-vote]</v>
          </cell>
        </row>
        <row r="150">
          <cell r="D150" t="str">
            <v>14.5 - [Name of sub-vote]</v>
          </cell>
        </row>
        <row r="151">
          <cell r="D151" t="str">
            <v>14.6 - [Name of sub-vote]</v>
          </cell>
        </row>
        <row r="152">
          <cell r="D152" t="str">
            <v>14.7 - [Name of sub-vote]</v>
          </cell>
        </row>
        <row r="153">
          <cell r="D153" t="str">
            <v>14.8 - [Name of sub-vote]</v>
          </cell>
        </row>
        <row r="154">
          <cell r="D154" t="str">
            <v>14.9 - [Name of sub-vote]</v>
          </cell>
        </row>
        <row r="155">
          <cell r="D155" t="str">
            <v>14.10 - [Name of sub-vote]</v>
          </cell>
        </row>
        <row r="157">
          <cell r="D157" t="str">
            <v>15.1 - [Name of sub-vote]</v>
          </cell>
        </row>
        <row r="158">
          <cell r="D158" t="str">
            <v>15.2 - [Name of sub-vote]</v>
          </cell>
        </row>
        <row r="159">
          <cell r="D159" t="str">
            <v>15.3 - [Name of sub-vote]</v>
          </cell>
        </row>
        <row r="160">
          <cell r="D160" t="str">
            <v>15.4 - [Name of sub-vote]</v>
          </cell>
        </row>
        <row r="161">
          <cell r="D161" t="str">
            <v>15.5 - [Name of sub-vote]</v>
          </cell>
        </row>
        <row r="162">
          <cell r="D162" t="str">
            <v>15.6 - [Name of sub-vote]</v>
          </cell>
        </row>
        <row r="163">
          <cell r="D163" t="str">
            <v>15.7 - [Name of sub-vote]</v>
          </cell>
        </row>
        <row r="164">
          <cell r="D164" t="str">
            <v>15.8 - [Name of sub-vote]</v>
          </cell>
        </row>
        <row r="165">
          <cell r="D165" t="str">
            <v>15.9 - [Name of sub-vote]</v>
          </cell>
        </row>
        <row r="166">
          <cell r="D166" t="str">
            <v>15.10 - [Name of sub-vote]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ctrlProp" Target="../ctrlProps/ctrlProp3.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trlProp" Target="../ctrlProps/ctrlProp2.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topLeftCell="A8" zoomScale="110" workbookViewId="0">
      <selection activeCell="M160" sqref="M158:P160"/>
    </sheetView>
  </sheetViews>
  <sheetFormatPr defaultColWidth="8" defaultRowHeight="12.75" x14ac:dyDescent="0.2"/>
  <cols>
    <col min="1" max="16384" width="8" style="402"/>
  </cols>
  <sheetData>
    <row r="1" spans="1:1" x14ac:dyDescent="0.2">
      <c r="A1" s="402" t="str">
        <f>'Lookup and lists'!B28</f>
        <v>MAN Mangaung</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2"/>
  <sheetViews>
    <sheetView showGridLines="0" zoomScaleNormal="100" workbookViewId="0">
      <pane xSplit="2" ySplit="3" topLeftCell="C4" activePane="bottomRight" state="frozen"/>
      <selection activeCell="M160" sqref="M158:P160"/>
      <selection pane="topRight" activeCell="M160" sqref="M158:P160"/>
      <selection pane="bottomLeft" activeCell="M160" sqref="M158:P160"/>
      <selection pane="bottomRight" activeCell="A41" sqref="A1:K41"/>
    </sheetView>
  </sheetViews>
  <sheetFormatPr defaultRowHeight="12.75" x14ac:dyDescent="0.25"/>
  <cols>
    <col min="1" max="1" width="35.710937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1" ht="13.5" x14ac:dyDescent="0.25">
      <c r="A1" s="100" t="str">
        <f>_MEB4</f>
        <v>Centlec - Table D5 Budgeted Cash Flow</v>
      </c>
    </row>
    <row r="2" spans="1:11" s="397" customFormat="1" ht="27.75" customHeight="1" x14ac:dyDescent="0.25">
      <c r="A2" s="380" t="str">
        <f>desc</f>
        <v>Description</v>
      </c>
      <c r="B2" s="388" t="str">
        <f>head27</f>
        <v>Ref</v>
      </c>
      <c r="C2" s="97" t="str">
        <f>head1b</f>
        <v>2016/17</v>
      </c>
      <c r="D2" s="20" t="str">
        <f>head1A</f>
        <v>2017/18</v>
      </c>
      <c r="E2" s="92" t="str">
        <f>Head1</f>
        <v>2018/19</v>
      </c>
      <c r="F2" s="693" t="str">
        <f>Head2</f>
        <v>Current Year 2019/20</v>
      </c>
      <c r="G2" s="697"/>
      <c r="H2" s="698"/>
      <c r="I2" s="118" t="str">
        <f>Head3a</f>
        <v>Medium Term Revenue and Expenditure Framework</v>
      </c>
      <c r="J2" s="116"/>
      <c r="K2" s="117"/>
    </row>
    <row r="3" spans="1:11" s="397" customFormat="1" ht="27.75" customHeight="1" x14ac:dyDescent="0.25">
      <c r="A3" s="392" t="s">
        <v>184</v>
      </c>
      <c r="B3" s="389"/>
      <c r="C3" s="113" t="str">
        <f>Head5</f>
        <v>Audited Outcome</v>
      </c>
      <c r="D3" s="91" t="str">
        <f>Head5</f>
        <v>Audited Outcome</v>
      </c>
      <c r="E3" s="379" t="str">
        <f>Head5</f>
        <v>Audited Outcome</v>
      </c>
      <c r="F3" s="378" t="str">
        <f>Head6</f>
        <v>Original Budget</v>
      </c>
      <c r="G3" s="114" t="str">
        <f>Head7</f>
        <v>Adjusted Budget</v>
      </c>
      <c r="H3" s="379" t="str">
        <f>Head8</f>
        <v>Full Year Forecast</v>
      </c>
      <c r="I3" s="378" t="str">
        <f>Head9</f>
        <v>Budget Year 2020/21</v>
      </c>
      <c r="J3" s="114" t="str">
        <f>Head10</f>
        <v>Budget Year +1 2021/22</v>
      </c>
      <c r="K3" s="379" t="str">
        <f>Head11</f>
        <v>Budget Year +2 2022/23</v>
      </c>
    </row>
    <row r="4" spans="1:11" ht="12.75" customHeight="1" x14ac:dyDescent="0.25">
      <c r="A4" s="51" t="s">
        <v>310</v>
      </c>
      <c r="B4" s="102"/>
      <c r="C4" s="26"/>
      <c r="D4" s="25"/>
      <c r="E4" s="95"/>
      <c r="F4" s="26"/>
      <c r="G4" s="25"/>
      <c r="H4" s="95"/>
      <c r="I4" s="26"/>
      <c r="J4" s="25"/>
      <c r="K4" s="95"/>
    </row>
    <row r="5" spans="1:11" ht="12.75" customHeight="1" x14ac:dyDescent="0.25">
      <c r="A5" s="51" t="s">
        <v>337</v>
      </c>
      <c r="B5" s="102"/>
      <c r="C5" s="26"/>
      <c r="D5" s="25"/>
      <c r="E5" s="95"/>
      <c r="F5" s="26"/>
      <c r="G5" s="25"/>
      <c r="H5" s="95"/>
      <c r="I5" s="26"/>
      <c r="J5" s="25"/>
      <c r="K5" s="95"/>
    </row>
    <row r="6" spans="1:11" s="438" customFormat="1" ht="12.75" customHeight="1" x14ac:dyDescent="0.25">
      <c r="A6" s="284" t="s">
        <v>360</v>
      </c>
      <c r="B6" s="103"/>
      <c r="C6" s="229"/>
      <c r="D6" s="227"/>
      <c r="E6" s="228"/>
      <c r="F6" s="229"/>
      <c r="G6" s="227"/>
      <c r="H6" s="228"/>
      <c r="I6" s="229"/>
      <c r="J6" s="227"/>
      <c r="K6" s="228"/>
    </row>
    <row r="7" spans="1:11" s="438" customFormat="1" ht="12.75" customHeight="1" x14ac:dyDescent="0.25">
      <c r="A7" s="284" t="s">
        <v>404</v>
      </c>
      <c r="B7" s="103"/>
      <c r="C7" s="229">
        <v>2173120822</v>
      </c>
      <c r="D7" s="227">
        <v>2093532530</v>
      </c>
      <c r="E7" s="228">
        <v>2689648938.3209996</v>
      </c>
      <c r="F7" s="229">
        <v>2668619214.5729895</v>
      </c>
      <c r="G7" s="227">
        <v>2668619214.5729895</v>
      </c>
      <c r="H7" s="228">
        <v>2668619214.5729895</v>
      </c>
      <c r="I7" s="229">
        <v>2668052020.2041798</v>
      </c>
      <c r="J7" s="227">
        <v>2735978517.6395807</v>
      </c>
      <c r="K7" s="228">
        <v>2867088206.5139647</v>
      </c>
    </row>
    <row r="8" spans="1:11" s="438" customFormat="1" ht="12.75" customHeight="1" x14ac:dyDescent="0.25">
      <c r="A8" s="284" t="s">
        <v>20</v>
      </c>
      <c r="B8" s="103"/>
      <c r="C8" s="229"/>
      <c r="D8" s="227"/>
      <c r="E8" s="228">
        <v>15990451.949999999</v>
      </c>
      <c r="F8" s="229"/>
      <c r="G8" s="227"/>
      <c r="H8" s="228"/>
      <c r="I8" s="229">
        <v>13981604.63218</v>
      </c>
      <c r="J8" s="227">
        <v>14652721.654524639</v>
      </c>
      <c r="K8" s="228">
        <v>15356052.293941846</v>
      </c>
    </row>
    <row r="9" spans="1:11" ht="12.75" customHeight="1" x14ac:dyDescent="0.25">
      <c r="A9" s="655" t="s">
        <v>1170</v>
      </c>
      <c r="B9" s="102"/>
      <c r="C9" s="229"/>
      <c r="D9" s="227"/>
      <c r="E9" s="228">
        <v>4076963.4539999994</v>
      </c>
      <c r="F9" s="229">
        <v>37008079.340000004</v>
      </c>
      <c r="G9" s="227">
        <v>37008079.340000004</v>
      </c>
      <c r="H9" s="228">
        <v>37008079.340000004</v>
      </c>
      <c r="I9" s="229"/>
      <c r="J9" s="227"/>
      <c r="K9" s="228"/>
    </row>
    <row r="10" spans="1:11" ht="12.75" customHeight="1" x14ac:dyDescent="0.25">
      <c r="A10" s="655" t="s">
        <v>1171</v>
      </c>
      <c r="B10" s="102"/>
      <c r="C10" s="229">
        <v>7456140</v>
      </c>
      <c r="D10" s="227">
        <v>21885338</v>
      </c>
      <c r="E10" s="228"/>
      <c r="F10" s="229"/>
      <c r="G10" s="227"/>
      <c r="H10" s="228"/>
      <c r="I10" s="229">
        <v>69432826.634000003</v>
      </c>
      <c r="J10" s="227">
        <v>37374178.464432001</v>
      </c>
      <c r="K10" s="228">
        <v>40320048.582724735</v>
      </c>
    </row>
    <row r="11" spans="1:11" ht="12.75" customHeight="1" x14ac:dyDescent="0.25">
      <c r="A11" s="22" t="s">
        <v>326</v>
      </c>
      <c r="B11" s="102"/>
      <c r="C11" s="229">
        <v>32796871</v>
      </c>
      <c r="D11" s="227">
        <v>26692781</v>
      </c>
      <c r="E11" s="228"/>
      <c r="F11" s="229">
        <v>20971175.4256</v>
      </c>
      <c r="G11" s="227">
        <v>20971175.4256</v>
      </c>
      <c r="H11" s="228">
        <v>20971175.4256</v>
      </c>
      <c r="I11" s="229">
        <v>17085849.008159999</v>
      </c>
      <c r="J11" s="227">
        <v>17905969.76055168</v>
      </c>
      <c r="K11" s="228">
        <v>18765456.30905813</v>
      </c>
    </row>
    <row r="12" spans="1:11" ht="12.75" customHeight="1" x14ac:dyDescent="0.25">
      <c r="A12" s="22" t="s">
        <v>183</v>
      </c>
      <c r="B12" s="102"/>
      <c r="C12" s="229"/>
      <c r="D12" s="227"/>
      <c r="E12" s="228"/>
      <c r="F12" s="229"/>
      <c r="G12" s="227"/>
      <c r="H12" s="228"/>
      <c r="I12" s="229"/>
      <c r="J12" s="229"/>
      <c r="K12" s="229"/>
    </row>
    <row r="13" spans="1:11" ht="12.75" customHeight="1" x14ac:dyDescent="0.25">
      <c r="A13" s="51" t="s">
        <v>338</v>
      </c>
      <c r="B13" s="102">
        <v>2</v>
      </c>
      <c r="C13" s="235"/>
      <c r="D13" s="233"/>
      <c r="E13" s="234"/>
      <c r="F13" s="235"/>
      <c r="G13" s="233"/>
      <c r="H13" s="234"/>
      <c r="I13" s="235"/>
      <c r="J13" s="233"/>
      <c r="K13" s="234"/>
    </row>
    <row r="14" spans="1:11" ht="12.75" customHeight="1" x14ac:dyDescent="0.25">
      <c r="A14" s="22" t="s">
        <v>205</v>
      </c>
      <c r="B14" s="102"/>
      <c r="C14" s="229">
        <v>-1987804787</v>
      </c>
      <c r="D14" s="227">
        <v>-2018961523</v>
      </c>
      <c r="E14" s="228">
        <v>-2556031415.474</v>
      </c>
      <c r="F14" s="229">
        <v>-2385811604.2281799</v>
      </c>
      <c r="G14" s="227">
        <v>-2385811604.2281799</v>
      </c>
      <c r="H14" s="228">
        <v>-2385811604.2281799</v>
      </c>
      <c r="I14" s="229">
        <v>-2432471145.71631</v>
      </c>
      <c r="J14" s="227">
        <v>-2555411212.5617099</v>
      </c>
      <c r="K14" s="228">
        <v>-2685705484.3512301</v>
      </c>
    </row>
    <row r="15" spans="1:11" ht="12.75" customHeight="1" x14ac:dyDescent="0.25">
      <c r="A15" s="22" t="s">
        <v>19</v>
      </c>
      <c r="B15" s="102"/>
      <c r="C15" s="229">
        <v>-234408</v>
      </c>
      <c r="D15" s="227">
        <v>-62050</v>
      </c>
      <c r="E15" s="228"/>
      <c r="F15" s="229">
        <v>-3680058.0748800002</v>
      </c>
      <c r="G15" s="227">
        <v>-3680058.0748800002</v>
      </c>
      <c r="H15" s="228">
        <v>-3680058.0748800002</v>
      </c>
      <c r="I15" s="229">
        <v>-56600.334999999999</v>
      </c>
      <c r="J15" s="227">
        <v>-59203.950409999998</v>
      </c>
      <c r="K15" s="228">
        <v>-61927.332128859998</v>
      </c>
    </row>
    <row r="16" spans="1:11" s="438" customFormat="1" ht="12.75" customHeight="1" x14ac:dyDescent="0.25">
      <c r="A16" s="50" t="s">
        <v>328</v>
      </c>
      <c r="B16" s="103"/>
      <c r="C16" s="229"/>
      <c r="D16" s="227"/>
      <c r="E16" s="228"/>
      <c r="F16" s="229"/>
      <c r="G16" s="227"/>
      <c r="H16" s="228"/>
      <c r="I16" s="229">
        <v>-120000000</v>
      </c>
      <c r="J16" s="227">
        <v>-120000000</v>
      </c>
      <c r="K16" s="228">
        <v>-120000000</v>
      </c>
    </row>
    <row r="17" spans="1:23" ht="12.75" customHeight="1" x14ac:dyDescent="0.25">
      <c r="A17" s="50" t="s">
        <v>767</v>
      </c>
      <c r="B17" s="102"/>
      <c r="C17" s="229"/>
      <c r="D17" s="227"/>
      <c r="E17" s="228"/>
      <c r="F17" s="229"/>
      <c r="G17" s="227"/>
      <c r="H17" s="228"/>
      <c r="I17" s="229"/>
      <c r="J17" s="227"/>
      <c r="K17" s="228"/>
    </row>
    <row r="18" spans="1:23" ht="12.75" customHeight="1" x14ac:dyDescent="0.25">
      <c r="A18" s="55" t="s">
        <v>331</v>
      </c>
      <c r="B18" s="119"/>
      <c r="C18" s="43">
        <f>SUM(C6:C12)+SUM(C14:C17)</f>
        <v>225334638</v>
      </c>
      <c r="D18" s="42">
        <f t="shared" ref="D18:K18" si="0">SUM(D6:D12)+SUM(D14:D17)</f>
        <v>123087076</v>
      </c>
      <c r="E18" s="96">
        <f t="shared" si="0"/>
        <v>153684938.25099945</v>
      </c>
      <c r="F18" s="43">
        <f t="shared" si="0"/>
        <v>337106807.03552961</v>
      </c>
      <c r="G18" s="42">
        <f t="shared" si="0"/>
        <v>337106807.03552961</v>
      </c>
      <c r="H18" s="96">
        <f t="shared" si="0"/>
        <v>337106807.03552961</v>
      </c>
      <c r="I18" s="43">
        <f t="shared" si="0"/>
        <v>216024554.42720985</v>
      </c>
      <c r="J18" s="42">
        <f t="shared" si="0"/>
        <v>130440971.00696898</v>
      </c>
      <c r="K18" s="96">
        <f t="shared" si="0"/>
        <v>135762352.01633024</v>
      </c>
      <c r="L18" s="37"/>
      <c r="M18" s="37"/>
      <c r="N18" s="37"/>
      <c r="O18" s="37"/>
      <c r="P18" s="37"/>
      <c r="Q18" s="37"/>
      <c r="R18" s="37"/>
      <c r="S18" s="37"/>
      <c r="T18" s="37"/>
      <c r="U18" s="37"/>
      <c r="V18" s="37"/>
      <c r="W18" s="37"/>
    </row>
    <row r="19" spans="1:23" ht="5.0999999999999996" customHeight="1" x14ac:dyDescent="0.25">
      <c r="A19" s="23"/>
      <c r="B19" s="102"/>
      <c r="C19" s="26"/>
      <c r="D19" s="25"/>
      <c r="E19" s="95"/>
      <c r="F19" s="26"/>
      <c r="G19" s="25"/>
      <c r="H19" s="95"/>
      <c r="I19" s="26"/>
      <c r="J19" s="25"/>
      <c r="K19" s="95"/>
    </row>
    <row r="20" spans="1:23" ht="12.75" customHeight="1" x14ac:dyDescent="0.25">
      <c r="A20" s="51" t="s">
        <v>231</v>
      </c>
      <c r="B20" s="102"/>
      <c r="C20" s="26"/>
      <c r="D20" s="25"/>
      <c r="E20" s="95"/>
      <c r="F20" s="26"/>
      <c r="G20" s="25"/>
      <c r="H20" s="95"/>
      <c r="I20" s="26"/>
      <c r="J20" s="25"/>
      <c r="K20" s="95"/>
    </row>
    <row r="21" spans="1:23" ht="12.75" customHeight="1" x14ac:dyDescent="0.25">
      <c r="A21" s="51" t="s">
        <v>337</v>
      </c>
      <c r="B21" s="102"/>
      <c r="C21" s="26"/>
      <c r="D21" s="25"/>
      <c r="E21" s="95"/>
      <c r="F21" s="26"/>
      <c r="G21" s="25"/>
      <c r="H21" s="95"/>
      <c r="I21" s="26"/>
      <c r="J21" s="25"/>
      <c r="K21" s="95"/>
    </row>
    <row r="22" spans="1:23" ht="12.75" customHeight="1" x14ac:dyDescent="0.25">
      <c r="A22" s="22" t="s">
        <v>357</v>
      </c>
      <c r="B22" s="102"/>
      <c r="C22" s="229">
        <v>1063609</v>
      </c>
      <c r="D22" s="227">
        <v>711948</v>
      </c>
      <c r="E22" s="228"/>
      <c r="F22" s="229">
        <v>334029.27760000003</v>
      </c>
      <c r="G22" s="227">
        <v>334029.27760000003</v>
      </c>
      <c r="H22" s="228">
        <v>334030.27759999997</v>
      </c>
      <c r="I22" s="229">
        <v>349394.54320000001</v>
      </c>
      <c r="J22" s="227">
        <v>366165.48127359996</v>
      </c>
      <c r="K22" s="228">
        <v>383741.42437473283</v>
      </c>
    </row>
    <row r="23" spans="1:23" ht="12.75" hidden="1" customHeight="1" x14ac:dyDescent="0.25">
      <c r="A23" s="22"/>
      <c r="B23" s="102"/>
      <c r="C23" s="424"/>
      <c r="D23" s="422"/>
      <c r="E23" s="425"/>
      <c r="F23" s="424"/>
      <c r="G23" s="422"/>
      <c r="H23" s="425"/>
      <c r="I23" s="424"/>
      <c r="J23" s="422"/>
      <c r="K23" s="425"/>
    </row>
    <row r="24" spans="1:23" ht="12.75" customHeight="1" x14ac:dyDescent="0.25">
      <c r="A24" s="655" t="s">
        <v>1172</v>
      </c>
      <c r="B24" s="106"/>
      <c r="C24" s="229"/>
      <c r="D24" s="227">
        <v>-9931052</v>
      </c>
      <c r="E24" s="228"/>
      <c r="F24" s="229"/>
      <c r="G24" s="227"/>
      <c r="H24" s="228"/>
      <c r="I24" s="229"/>
      <c r="J24" s="227"/>
      <c r="K24" s="228"/>
    </row>
    <row r="25" spans="1:23" ht="12.75" customHeight="1" x14ac:dyDescent="0.25">
      <c r="A25" s="22" t="s">
        <v>330</v>
      </c>
      <c r="B25" s="102"/>
      <c r="C25" s="229">
        <v>-54903078</v>
      </c>
      <c r="D25" s="227">
        <v>109456423</v>
      </c>
      <c r="E25" s="228"/>
      <c r="F25" s="229"/>
      <c r="G25" s="227"/>
      <c r="H25" s="228"/>
      <c r="I25" s="229"/>
      <c r="J25" s="227"/>
      <c r="K25" s="228"/>
    </row>
    <row r="26" spans="1:23" ht="12.75" customHeight="1" x14ac:dyDescent="0.25">
      <c r="A26" s="51" t="s">
        <v>338</v>
      </c>
      <c r="B26" s="102"/>
      <c r="C26" s="26"/>
      <c r="D26" s="25"/>
      <c r="E26" s="95"/>
      <c r="F26" s="26"/>
      <c r="G26" s="25"/>
      <c r="H26" s="95"/>
      <c r="I26" s="26"/>
      <c r="J26" s="25"/>
      <c r="K26" s="95"/>
    </row>
    <row r="27" spans="1:23" ht="12.75" customHeight="1" x14ac:dyDescent="0.25">
      <c r="A27" s="22" t="s">
        <v>206</v>
      </c>
      <c r="B27" s="102"/>
      <c r="C27" s="229">
        <v>-225419836</v>
      </c>
      <c r="D27" s="227">
        <v>-113337523</v>
      </c>
      <c r="E27" s="228">
        <v>-157213237.16999999</v>
      </c>
      <c r="F27" s="229">
        <v>-205871689.20838001</v>
      </c>
      <c r="G27" s="227">
        <v>-205871689.20838001</v>
      </c>
      <c r="H27" s="228">
        <v>-205871689.20838001</v>
      </c>
      <c r="I27" s="229">
        <v>-164633249.44516</v>
      </c>
      <c r="J27" s="227">
        <v>-120320134.28596768</v>
      </c>
      <c r="K27" s="228">
        <v>-125176689.13713402</v>
      </c>
    </row>
    <row r="28" spans="1:23" ht="12.75" customHeight="1" x14ac:dyDescent="0.25">
      <c r="A28" s="55" t="s">
        <v>332</v>
      </c>
      <c r="B28" s="119"/>
      <c r="C28" s="43">
        <f>+C22+C24+C25+C27</f>
        <v>-279259305</v>
      </c>
      <c r="D28" s="42">
        <f t="shared" ref="D28:K28" si="1">+D22+D24+D25+D27</f>
        <v>-13100204</v>
      </c>
      <c r="E28" s="96">
        <f t="shared" si="1"/>
        <v>-157213237.16999999</v>
      </c>
      <c r="F28" s="43">
        <f t="shared" si="1"/>
        <v>-205537659.93078002</v>
      </c>
      <c r="G28" s="42">
        <f t="shared" si="1"/>
        <v>-205537659.93078002</v>
      </c>
      <c r="H28" s="96">
        <f t="shared" si="1"/>
        <v>-205537658.93078002</v>
      </c>
      <c r="I28" s="43">
        <f t="shared" si="1"/>
        <v>-164283854.90196002</v>
      </c>
      <c r="J28" s="42">
        <f t="shared" si="1"/>
        <v>-119953968.80469407</v>
      </c>
      <c r="K28" s="96">
        <f t="shared" si="1"/>
        <v>-124792947.71275929</v>
      </c>
      <c r="L28" s="37"/>
      <c r="M28" s="37"/>
      <c r="N28" s="37"/>
      <c r="O28" s="37"/>
      <c r="P28" s="37"/>
      <c r="Q28" s="37"/>
      <c r="R28" s="37"/>
      <c r="S28" s="37"/>
      <c r="T28" s="37"/>
      <c r="U28" s="37"/>
      <c r="V28" s="37"/>
      <c r="W28" s="37"/>
    </row>
    <row r="29" spans="1:23" ht="5.0999999999999996" customHeight="1" x14ac:dyDescent="0.25">
      <c r="A29" s="23"/>
      <c r="B29" s="102"/>
      <c r="C29" s="26"/>
      <c r="D29" s="25"/>
      <c r="E29" s="95"/>
      <c r="F29" s="26"/>
      <c r="G29" s="25"/>
      <c r="H29" s="95"/>
      <c r="I29" s="26"/>
      <c r="J29" s="25"/>
      <c r="K29" s="95"/>
    </row>
    <row r="30" spans="1:23" ht="12.75" customHeight="1" x14ac:dyDescent="0.25">
      <c r="A30" s="51" t="s">
        <v>240</v>
      </c>
      <c r="B30" s="102"/>
      <c r="C30" s="26"/>
      <c r="D30" s="25"/>
      <c r="E30" s="95"/>
      <c r="F30" s="26"/>
      <c r="G30" s="25"/>
      <c r="H30" s="95"/>
      <c r="I30" s="26"/>
      <c r="J30" s="25"/>
      <c r="K30" s="95"/>
    </row>
    <row r="31" spans="1:23" ht="12.75" customHeight="1" x14ac:dyDescent="0.25">
      <c r="A31" s="51" t="s">
        <v>337</v>
      </c>
      <c r="B31" s="102"/>
      <c r="C31" s="26"/>
      <c r="D31" s="25"/>
      <c r="E31" s="95"/>
      <c r="F31" s="26"/>
      <c r="G31" s="25"/>
      <c r="H31" s="95"/>
      <c r="I31" s="26"/>
      <c r="J31" s="25"/>
      <c r="K31" s="95"/>
    </row>
    <row r="32" spans="1:23" ht="12.75" customHeight="1" x14ac:dyDescent="0.25">
      <c r="A32" s="22" t="s">
        <v>340</v>
      </c>
      <c r="B32" s="102"/>
      <c r="C32" s="229"/>
      <c r="D32" s="227"/>
      <c r="E32" s="228"/>
      <c r="F32" s="229"/>
      <c r="G32" s="227"/>
      <c r="H32" s="228"/>
      <c r="I32" s="229"/>
      <c r="J32" s="227"/>
      <c r="K32" s="228"/>
    </row>
    <row r="33" spans="1:23" ht="12.75" customHeight="1" x14ac:dyDescent="0.25">
      <c r="A33" s="22" t="s">
        <v>385</v>
      </c>
      <c r="B33" s="102"/>
      <c r="C33" s="229">
        <v>-8246111</v>
      </c>
      <c r="D33" s="227"/>
      <c r="E33" s="228"/>
      <c r="F33" s="229"/>
      <c r="G33" s="227"/>
      <c r="H33" s="228"/>
      <c r="I33" s="229"/>
      <c r="J33" s="227"/>
      <c r="K33" s="228"/>
    </row>
    <row r="34" spans="1:23" ht="12.75" customHeight="1" x14ac:dyDescent="0.25">
      <c r="A34" s="22" t="s">
        <v>768</v>
      </c>
      <c r="B34" s="102"/>
      <c r="C34" s="229">
        <v>-12390246</v>
      </c>
      <c r="D34" s="227">
        <v>-73666460</v>
      </c>
      <c r="E34" s="228"/>
      <c r="F34" s="229">
        <v>-5106477.9359999998</v>
      </c>
      <c r="G34" s="227">
        <v>-5106477.9359999998</v>
      </c>
      <c r="H34" s="228">
        <v>-5106476.9359999998</v>
      </c>
      <c r="I34" s="229">
        <v>-4333211.27999999</v>
      </c>
      <c r="J34" s="227">
        <v>-4628832.5828800099</v>
      </c>
      <c r="K34" s="228">
        <v>-4841758.8816924803</v>
      </c>
    </row>
    <row r="35" spans="1:23" ht="12.75" customHeight="1" x14ac:dyDescent="0.25">
      <c r="A35" s="51" t="s">
        <v>338</v>
      </c>
      <c r="B35" s="102"/>
      <c r="C35" s="26"/>
      <c r="D35" s="25"/>
      <c r="E35" s="95"/>
      <c r="F35" s="26"/>
      <c r="G35" s="25"/>
      <c r="H35" s="95"/>
      <c r="I35" s="26"/>
      <c r="J35" s="25"/>
      <c r="K35" s="95"/>
    </row>
    <row r="36" spans="1:23" ht="12.75" customHeight="1" x14ac:dyDescent="0.25">
      <c r="A36" s="22" t="s">
        <v>339</v>
      </c>
      <c r="B36" s="102"/>
      <c r="C36" s="229">
        <v>-134003000</v>
      </c>
      <c r="D36" s="227"/>
      <c r="E36" s="228">
        <v>-112276876.52</v>
      </c>
      <c r="F36" s="229">
        <v>-120000000</v>
      </c>
      <c r="G36" s="227">
        <v>-120000000</v>
      </c>
      <c r="H36" s="228">
        <v>-120000000</v>
      </c>
      <c r="I36" s="229"/>
      <c r="J36" s="227"/>
      <c r="K36" s="228"/>
    </row>
    <row r="37" spans="1:23" ht="12.75" customHeight="1" x14ac:dyDescent="0.25">
      <c r="A37" s="55" t="s">
        <v>333</v>
      </c>
      <c r="B37" s="119"/>
      <c r="C37" s="43">
        <f>SUM(C31:C34)+C36</f>
        <v>-154639357</v>
      </c>
      <c r="D37" s="42">
        <f t="shared" ref="D37:K37" si="2">SUM(D31:D34)+D36</f>
        <v>-73666460</v>
      </c>
      <c r="E37" s="96">
        <f t="shared" si="2"/>
        <v>-112276876.52</v>
      </c>
      <c r="F37" s="43">
        <f t="shared" si="2"/>
        <v>-125106477.936</v>
      </c>
      <c r="G37" s="42">
        <f t="shared" si="2"/>
        <v>-125106477.936</v>
      </c>
      <c r="H37" s="96">
        <f t="shared" si="2"/>
        <v>-125106476.936</v>
      </c>
      <c r="I37" s="43">
        <f t="shared" si="2"/>
        <v>-4333211.27999999</v>
      </c>
      <c r="J37" s="42">
        <f t="shared" si="2"/>
        <v>-4628832.5828800099</v>
      </c>
      <c r="K37" s="96">
        <f t="shared" si="2"/>
        <v>-4841758.8816924803</v>
      </c>
      <c r="L37" s="37"/>
      <c r="M37" s="37"/>
      <c r="N37" s="37"/>
      <c r="O37" s="37"/>
      <c r="P37" s="37"/>
      <c r="Q37" s="37"/>
      <c r="R37" s="37"/>
      <c r="S37" s="37"/>
      <c r="T37" s="37"/>
      <c r="U37" s="37"/>
      <c r="V37" s="37"/>
      <c r="W37" s="37"/>
    </row>
    <row r="38" spans="1:23" s="40" customFormat="1" ht="5.0999999999999996" customHeight="1" x14ac:dyDescent="0.25">
      <c r="A38" s="23"/>
      <c r="B38" s="102"/>
      <c r="C38" s="26"/>
      <c r="D38" s="25"/>
      <c r="E38" s="95"/>
      <c r="F38" s="26"/>
      <c r="G38" s="25"/>
      <c r="H38" s="95"/>
      <c r="I38" s="26"/>
      <c r="J38" s="25"/>
      <c r="K38" s="95"/>
    </row>
    <row r="39" spans="1:23" ht="12.75" customHeight="1" x14ac:dyDescent="0.25">
      <c r="A39" s="300" t="s">
        <v>341</v>
      </c>
      <c r="B39" s="123">
        <v>1</v>
      </c>
      <c r="C39" s="398">
        <f t="shared" ref="C39:K39" si="3">C18+C28+C37</f>
        <v>-208564024</v>
      </c>
      <c r="D39" s="399">
        <f t="shared" si="3"/>
        <v>36320412</v>
      </c>
      <c r="E39" s="400">
        <f t="shared" si="3"/>
        <v>-115805175.43900053</v>
      </c>
      <c r="F39" s="398">
        <f t="shared" si="3"/>
        <v>6462669.1687495857</v>
      </c>
      <c r="G39" s="399">
        <f t="shared" si="3"/>
        <v>6462669.1687495857</v>
      </c>
      <c r="H39" s="400">
        <f t="shared" si="3"/>
        <v>6462671.1687495857</v>
      </c>
      <c r="I39" s="398">
        <f t="shared" si="3"/>
        <v>47407488.245249853</v>
      </c>
      <c r="J39" s="399">
        <f t="shared" si="3"/>
        <v>5858169.6193948938</v>
      </c>
      <c r="K39" s="400">
        <f t="shared" si="3"/>
        <v>6127645.4218784757</v>
      </c>
      <c r="L39" s="37"/>
      <c r="M39" s="37"/>
      <c r="N39" s="37"/>
      <c r="O39" s="37"/>
      <c r="P39" s="37"/>
      <c r="Q39" s="37"/>
      <c r="R39" s="37"/>
      <c r="S39" s="37"/>
      <c r="T39" s="37"/>
      <c r="U39" s="37"/>
      <c r="V39" s="37"/>
      <c r="W39" s="37"/>
    </row>
    <row r="40" spans="1:23" ht="12.75" customHeight="1" x14ac:dyDescent="0.25">
      <c r="A40" s="22" t="s">
        <v>311</v>
      </c>
      <c r="B40" s="102">
        <v>2</v>
      </c>
      <c r="C40" s="236">
        <v>361530141.49000025</v>
      </c>
      <c r="D40" s="412">
        <f>C41</f>
        <v>152966117.49000025</v>
      </c>
      <c r="E40" s="413">
        <f>D41</f>
        <v>189286529.49000025</v>
      </c>
      <c r="F40" s="236">
        <v>115404809.13524649</v>
      </c>
      <c r="G40" s="412">
        <f>$E$41</f>
        <v>73481354.050999716</v>
      </c>
      <c r="H40" s="413">
        <f>$E$41</f>
        <v>73481354.050999716</v>
      </c>
      <c r="I40" s="414">
        <f>H41</f>
        <v>79944025.219749302</v>
      </c>
      <c r="J40" s="293">
        <f>I41</f>
        <v>127351513.46499915</v>
      </c>
      <c r="K40" s="296">
        <f>J41</f>
        <v>133209683.08439405</v>
      </c>
    </row>
    <row r="41" spans="1:23" ht="12.75" customHeight="1" x14ac:dyDescent="0.25">
      <c r="A41" s="269" t="s">
        <v>269</v>
      </c>
      <c r="B41" s="270">
        <v>2</v>
      </c>
      <c r="C41" s="189">
        <f>C39+C40</f>
        <v>152966117.49000025</v>
      </c>
      <c r="D41" s="190">
        <f>D39+D40</f>
        <v>189286529.49000025</v>
      </c>
      <c r="E41" s="191">
        <f>E39+E40</f>
        <v>73481354.050999716</v>
      </c>
      <c r="F41" s="189">
        <f t="shared" ref="F41:K41" si="4">F39+F40</f>
        <v>121867478.30399607</v>
      </c>
      <c r="G41" s="190">
        <f t="shared" si="4"/>
        <v>79944023.219749302</v>
      </c>
      <c r="H41" s="191">
        <f t="shared" si="4"/>
        <v>79944025.219749302</v>
      </c>
      <c r="I41" s="189">
        <f t="shared" si="4"/>
        <v>127351513.46499915</v>
      </c>
      <c r="J41" s="190">
        <f t="shared" si="4"/>
        <v>133209683.08439405</v>
      </c>
      <c r="K41" s="191">
        <f t="shared" si="4"/>
        <v>139337328.50627252</v>
      </c>
    </row>
    <row r="42" spans="1:23" ht="12.75" customHeight="1" x14ac:dyDescent="0.25">
      <c r="A42" s="33" t="s">
        <v>163</v>
      </c>
      <c r="B42" s="34"/>
      <c r="C42" s="36"/>
      <c r="D42" s="36"/>
      <c r="E42" s="37"/>
      <c r="F42" s="37"/>
      <c r="G42" s="37"/>
      <c r="H42" s="37"/>
      <c r="I42" s="37"/>
      <c r="J42" s="37"/>
      <c r="K42" s="37"/>
    </row>
    <row r="43" spans="1:23" ht="12.75" customHeight="1" x14ac:dyDescent="0.25">
      <c r="A43" s="45" t="s">
        <v>538</v>
      </c>
      <c r="B43" s="34"/>
      <c r="C43" s="36"/>
      <c r="D43" s="36"/>
      <c r="E43" s="37"/>
      <c r="F43" s="37"/>
      <c r="G43" s="37"/>
      <c r="H43" s="37"/>
      <c r="I43" s="37"/>
      <c r="J43" s="37"/>
      <c r="K43" s="37"/>
    </row>
    <row r="44" spans="1:23" ht="12.75" customHeight="1" x14ac:dyDescent="0.25">
      <c r="A44" s="396" t="s">
        <v>537</v>
      </c>
      <c r="B44" s="34"/>
      <c r="C44" s="36"/>
      <c r="D44" s="36"/>
      <c r="E44" s="37"/>
      <c r="F44" s="37"/>
      <c r="G44" s="37"/>
      <c r="H44" s="37"/>
      <c r="I44" s="37"/>
      <c r="J44" s="37"/>
      <c r="K44" s="37"/>
    </row>
    <row r="45" spans="1:23" ht="12.75" customHeight="1" x14ac:dyDescent="0.25">
      <c r="A45" s="40"/>
      <c r="B45" s="34"/>
      <c r="C45" s="36"/>
      <c r="D45" s="36"/>
      <c r="E45" s="37"/>
      <c r="F45" s="37"/>
      <c r="G45" s="37"/>
      <c r="H45" s="37"/>
      <c r="I45" s="37"/>
      <c r="J45" s="37"/>
      <c r="K45" s="37"/>
    </row>
    <row r="46" spans="1:23" ht="12.75" customHeight="1" x14ac:dyDescent="0.25">
      <c r="A46" s="39"/>
      <c r="B46" s="39" t="s">
        <v>125</v>
      </c>
      <c r="C46" s="24">
        <f>C41-('D4-FinPos'!C6+'D4-FinPos'!C7)</f>
        <v>-54903080.509999752</v>
      </c>
      <c r="D46" s="24">
        <f>D41-('D4-FinPos'!D6+'D4-FinPos'!D7)</f>
        <v>54553342.490000248</v>
      </c>
      <c r="E46" s="24">
        <f>E41-('D4-FinPos'!E6+'D4-FinPos'!E7)</f>
        <v>59925445.050999716</v>
      </c>
      <c r="F46" s="24">
        <f>F41-('D4-FinPos'!F6+'D4-FinPos'!F7)</f>
        <v>1.3039960712194443</v>
      </c>
      <c r="G46" s="24">
        <f>G41-('D4-FinPos'!G6+'D4-FinPos'!G7)</f>
        <v>-41923453.780250698</v>
      </c>
      <c r="H46" s="24">
        <f>H41-('D4-FinPos'!H6+'D4-FinPos'!H7)</f>
        <v>-41923451.780250698</v>
      </c>
      <c r="I46" s="24">
        <f>I41-('D4-FinPos'!I6+'D4-FinPos'!I7)</f>
        <v>-8.3446502685546875E-7</v>
      </c>
      <c r="J46" s="24">
        <f>J41-('D4-FinPos'!J6+'D4-FinPos'!J7)</f>
        <v>4.0680170059204102E-6</v>
      </c>
      <c r="K46" s="24">
        <f>K41-('D4-FinPos'!K6+'D4-FinPos'!K7)</f>
        <v>5.9604644775390625E-7</v>
      </c>
    </row>
    <row r="47" spans="1:23" ht="11.25" customHeight="1" x14ac:dyDescent="0.25">
      <c r="A47" s="39"/>
      <c r="B47" s="38"/>
      <c r="C47" s="39"/>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17"/>
  <sheetViews>
    <sheetView showGridLines="0" zoomScaleNormal="100" workbookViewId="0">
      <pane xSplit="2" ySplit="4" topLeftCell="C5" activePane="bottomRight" state="frozen"/>
      <selection activeCell="M160" sqref="M158:P160"/>
      <selection pane="topRight" activeCell="M160" sqref="M158:P160"/>
      <selection pane="bottomLeft" activeCell="M160" sqref="M158:P160"/>
      <selection pane="bottomRight" activeCell="C7" sqref="C7"/>
    </sheetView>
  </sheetViews>
  <sheetFormatPr defaultRowHeight="12.75" x14ac:dyDescent="0.2"/>
  <cols>
    <col min="1" max="1" width="18.7109375" customWidth="1"/>
    <col min="2" max="2" width="20.7109375" customWidth="1"/>
    <col min="3" max="3" width="14.140625" customWidth="1"/>
    <col min="4" max="4" width="16.7109375" customWidth="1"/>
    <col min="5" max="5" width="15.140625" customWidth="1"/>
    <col min="6" max="6" width="14.5703125" customWidth="1"/>
    <col min="7" max="7" width="14.28515625" customWidth="1"/>
    <col min="8" max="8" width="15.28515625" customWidth="1"/>
    <col min="9" max="9" width="18.28515625" customWidth="1"/>
    <col min="10" max="10" width="18" customWidth="1"/>
    <col min="11" max="11" width="16.42578125" customWidth="1"/>
  </cols>
  <sheetData>
    <row r="1" spans="1:11" ht="13.5" x14ac:dyDescent="0.25">
      <c r="A1" s="100" t="str">
        <f>_MEB6</f>
        <v>Centlec - Supporting Table SD1 Measurable performance targets</v>
      </c>
      <c r="B1" s="41"/>
      <c r="C1" s="19"/>
      <c r="D1" s="19"/>
      <c r="E1" s="19"/>
      <c r="F1" s="19"/>
      <c r="G1" s="19"/>
      <c r="H1" s="19"/>
      <c r="I1" s="19"/>
      <c r="J1" s="19"/>
      <c r="K1" s="19"/>
    </row>
    <row r="2" spans="1:11" x14ac:dyDescent="0.2">
      <c r="A2" s="703" t="s">
        <v>388</v>
      </c>
      <c r="B2" s="703" t="s">
        <v>40</v>
      </c>
      <c r="C2" s="97" t="str">
        <f>head1b</f>
        <v>2016/17</v>
      </c>
      <c r="D2" s="20" t="str">
        <f>head1A</f>
        <v>2017/18</v>
      </c>
      <c r="E2" s="92" t="str">
        <f>Head1</f>
        <v>2018/19</v>
      </c>
      <c r="F2" s="693" t="str">
        <f>Head2</f>
        <v>Current Year 2019/20</v>
      </c>
      <c r="G2" s="694"/>
      <c r="H2" s="695"/>
      <c r="I2" s="693" t="str">
        <f>Head3a</f>
        <v>Medium Term Revenue and Expenditure Framework</v>
      </c>
      <c r="J2" s="694"/>
      <c r="K2" s="695"/>
    </row>
    <row r="3" spans="1:11" x14ac:dyDescent="0.2">
      <c r="A3" s="704"/>
      <c r="B3" s="704"/>
      <c r="C3" s="699" t="str">
        <f>Head5</f>
        <v>Audited Outcome</v>
      </c>
      <c r="D3" s="701" t="str">
        <f>Head5</f>
        <v>Audited Outcome</v>
      </c>
      <c r="E3" s="706" t="str">
        <f>Head5</f>
        <v>Audited Outcome</v>
      </c>
      <c r="F3" s="710" t="str">
        <f>Head6</f>
        <v>Original Budget</v>
      </c>
      <c r="G3" s="708" t="str">
        <f>Head7</f>
        <v>Adjusted Budget</v>
      </c>
      <c r="H3" s="706" t="str">
        <f>Head8</f>
        <v>Full Year Forecast</v>
      </c>
      <c r="I3" s="710" t="str">
        <f>Head9</f>
        <v>Budget Year 2020/21</v>
      </c>
      <c r="J3" s="708" t="str">
        <f>Head10</f>
        <v>Budget Year +1 2021/22</v>
      </c>
      <c r="K3" s="706" t="str">
        <f>Head11</f>
        <v>Budget Year +2 2022/23</v>
      </c>
    </row>
    <row r="4" spans="1:11" x14ac:dyDescent="0.2">
      <c r="A4" s="705"/>
      <c r="B4" s="705"/>
      <c r="C4" s="700"/>
      <c r="D4" s="702"/>
      <c r="E4" s="707"/>
      <c r="F4" s="711"/>
      <c r="G4" s="709"/>
      <c r="H4" s="707"/>
      <c r="I4" s="711"/>
      <c r="J4" s="709"/>
      <c r="K4" s="707"/>
    </row>
    <row r="5" spans="1:11" ht="13.5" x14ac:dyDescent="0.25">
      <c r="A5" s="671" t="s">
        <v>816</v>
      </c>
      <c r="B5" s="672"/>
      <c r="C5" s="229"/>
      <c r="D5" s="227"/>
      <c r="E5" s="228"/>
      <c r="F5" s="229"/>
      <c r="G5" s="227"/>
      <c r="H5" s="228"/>
      <c r="I5" s="229"/>
      <c r="J5" s="227"/>
      <c r="K5" s="228"/>
    </row>
    <row r="6" spans="1:11" ht="13.5" x14ac:dyDescent="0.25">
      <c r="A6" s="673"/>
      <c r="B6" s="672"/>
      <c r="C6" s="229"/>
      <c r="D6" s="227"/>
      <c r="E6" s="228"/>
      <c r="F6" s="229"/>
      <c r="G6" s="227"/>
      <c r="H6" s="228"/>
      <c r="I6" s="229"/>
      <c r="J6" s="227"/>
      <c r="K6" s="228"/>
    </row>
    <row r="7" spans="1:11" ht="79.5" customHeight="1" x14ac:dyDescent="0.25">
      <c r="A7" s="661" t="s">
        <v>1204</v>
      </c>
      <c r="B7" s="662" t="s">
        <v>1205</v>
      </c>
      <c r="C7" s="674"/>
      <c r="D7" s="674"/>
      <c r="E7" s="674"/>
      <c r="F7" s="674"/>
      <c r="G7" s="674"/>
      <c r="H7" s="674"/>
      <c r="I7" s="661" t="s">
        <v>1206</v>
      </c>
      <c r="J7" s="661" t="s">
        <v>1214</v>
      </c>
      <c r="K7" s="661" t="s">
        <v>1215</v>
      </c>
    </row>
    <row r="8" spans="1:11" ht="59.25" customHeight="1" x14ac:dyDescent="0.25">
      <c r="A8" s="661" t="s">
        <v>1207</v>
      </c>
      <c r="B8" s="662" t="s">
        <v>1205</v>
      </c>
      <c r="C8" s="674"/>
      <c r="D8" s="674"/>
      <c r="E8" s="674"/>
      <c r="F8" s="674"/>
      <c r="G8" s="674"/>
      <c r="H8" s="674"/>
      <c r="I8" s="661" t="s">
        <v>1225</v>
      </c>
      <c r="J8" s="661" t="s">
        <v>1226</v>
      </c>
      <c r="K8" s="661" t="s">
        <v>1227</v>
      </c>
    </row>
    <row r="9" spans="1:11" ht="80.25" x14ac:dyDescent="0.25">
      <c r="A9" s="661" t="s">
        <v>1228</v>
      </c>
      <c r="B9" s="662" t="s">
        <v>1205</v>
      </c>
      <c r="C9" s="674"/>
      <c r="D9" s="674"/>
      <c r="E9" s="674"/>
      <c r="F9" s="674"/>
      <c r="G9" s="674"/>
      <c r="H9" s="674"/>
      <c r="I9" s="661" t="s">
        <v>1229</v>
      </c>
      <c r="J9" s="661" t="s">
        <v>1230</v>
      </c>
      <c r="K9" s="661" t="s">
        <v>1231</v>
      </c>
    </row>
    <row r="10" spans="1:11" ht="76.5" x14ac:dyDescent="0.25">
      <c r="A10" s="661" t="s">
        <v>1208</v>
      </c>
      <c r="B10" s="662" t="s">
        <v>1205</v>
      </c>
      <c r="C10" s="674"/>
      <c r="D10" s="674"/>
      <c r="E10" s="674"/>
      <c r="F10" s="674"/>
      <c r="G10" s="674"/>
      <c r="H10" s="674"/>
      <c r="I10" s="661" t="s">
        <v>1232</v>
      </c>
      <c r="J10" s="661" t="s">
        <v>1233</v>
      </c>
      <c r="K10" s="661" t="s">
        <v>1234</v>
      </c>
    </row>
    <row r="11" spans="1:11" ht="76.5" x14ac:dyDescent="0.25">
      <c r="A11" s="661" t="s">
        <v>1209</v>
      </c>
      <c r="B11" s="662" t="s">
        <v>1205</v>
      </c>
      <c r="C11" s="674"/>
      <c r="D11" s="674"/>
      <c r="E11" s="674"/>
      <c r="F11" s="674"/>
      <c r="G11" s="674"/>
      <c r="H11" s="674"/>
      <c r="I11" s="661" t="s">
        <v>1235</v>
      </c>
      <c r="J11" s="661" t="s">
        <v>1236</v>
      </c>
      <c r="K11" s="661" t="s">
        <v>1237</v>
      </c>
    </row>
    <row r="12" spans="1:11" ht="102" x14ac:dyDescent="0.25">
      <c r="A12" s="661" t="s">
        <v>1210</v>
      </c>
      <c r="B12" s="662" t="s">
        <v>1205</v>
      </c>
      <c r="C12" s="674"/>
      <c r="D12" s="674"/>
      <c r="E12" s="674"/>
      <c r="F12" s="674"/>
      <c r="G12" s="674"/>
      <c r="H12" s="674"/>
      <c r="I12" s="661" t="s">
        <v>1238</v>
      </c>
      <c r="J12" s="661" t="s">
        <v>1239</v>
      </c>
      <c r="K12" s="661" t="s">
        <v>1240</v>
      </c>
    </row>
    <row r="13" spans="1:11" ht="102" x14ac:dyDescent="0.25">
      <c r="A13" s="661" t="s">
        <v>1211</v>
      </c>
      <c r="B13" s="662" t="s">
        <v>1205</v>
      </c>
      <c r="C13" s="674"/>
      <c r="D13" s="674"/>
      <c r="E13" s="674"/>
      <c r="F13" s="674"/>
      <c r="G13" s="674"/>
      <c r="H13" s="674"/>
      <c r="I13" s="661" t="s">
        <v>1211</v>
      </c>
      <c r="J13" s="661" t="s">
        <v>1211</v>
      </c>
      <c r="K13" s="661" t="s">
        <v>1211</v>
      </c>
    </row>
    <row r="14" spans="1:11" ht="92.25" customHeight="1" x14ac:dyDescent="0.25">
      <c r="A14" s="661" t="s">
        <v>1212</v>
      </c>
      <c r="B14" s="662" t="s">
        <v>1205</v>
      </c>
      <c r="C14" s="674"/>
      <c r="D14" s="674"/>
      <c r="E14" s="674"/>
      <c r="F14" s="674"/>
      <c r="G14" s="674"/>
      <c r="H14" s="674"/>
      <c r="I14" s="661" t="s">
        <v>1212</v>
      </c>
      <c r="J14" s="661" t="s">
        <v>1212</v>
      </c>
      <c r="K14" s="661" t="s">
        <v>1212</v>
      </c>
    </row>
    <row r="15" spans="1:11" ht="13.5" x14ac:dyDescent="0.25">
      <c r="A15" s="675"/>
      <c r="B15" s="676"/>
      <c r="C15" s="674"/>
      <c r="D15" s="674"/>
      <c r="E15" s="674"/>
      <c r="F15" s="674"/>
      <c r="G15" s="674"/>
      <c r="H15" s="674"/>
      <c r="I15" s="674"/>
      <c r="J15" s="674"/>
      <c r="K15" s="674"/>
    </row>
    <row r="16" spans="1:11" ht="13.5" x14ac:dyDescent="0.25">
      <c r="A16" s="677"/>
      <c r="B16" s="678"/>
      <c r="C16" s="674"/>
      <c r="D16" s="674"/>
      <c r="E16" s="674"/>
      <c r="F16" s="674"/>
      <c r="G16" s="674"/>
      <c r="H16" s="674"/>
      <c r="I16" s="674"/>
      <c r="J16" s="674"/>
      <c r="K16" s="674"/>
    </row>
    <row r="17" spans="1:11" x14ac:dyDescent="0.2">
      <c r="A17" s="143" t="s">
        <v>278</v>
      </c>
      <c r="B17" s="80"/>
      <c r="C17" s="141"/>
      <c r="D17" s="141"/>
      <c r="E17" s="141"/>
      <c r="F17" s="83"/>
      <c r="G17" s="83"/>
      <c r="H17" s="83"/>
      <c r="I17" s="83"/>
      <c r="J17" s="83"/>
      <c r="K17" s="83"/>
    </row>
  </sheetData>
  <mergeCells count="13">
    <mergeCell ref="G3:G4"/>
    <mergeCell ref="H3:H4"/>
    <mergeCell ref="F2:H2"/>
    <mergeCell ref="I2:K2"/>
    <mergeCell ref="I3:I4"/>
    <mergeCell ref="J3:J4"/>
    <mergeCell ref="K3:K4"/>
    <mergeCell ref="F3:F4"/>
    <mergeCell ref="C3:C4"/>
    <mergeCell ref="D3:D4"/>
    <mergeCell ref="A2:A4"/>
    <mergeCell ref="B2:B4"/>
    <mergeCell ref="E3:E4"/>
  </mergeCells>
  <phoneticPr fontId="2" type="noConversion"/>
  <printOptions horizontalCentered="1"/>
  <pageMargins left="0.36" right="0.17" top="0.79" bottom="0.6" header="0.51181102362204722" footer="0.39"/>
  <pageSetup paperSize="9" scale="4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FF0000"/>
    <pageSetUpPr fitToPage="1"/>
  </sheetPr>
  <dimension ref="A1:O106"/>
  <sheetViews>
    <sheetView showGridLines="0" zoomScaleNormal="100" workbookViewId="0">
      <selection activeCell="A40" sqref="A1:L40"/>
    </sheetView>
  </sheetViews>
  <sheetFormatPr defaultRowHeight="12.75" customHeight="1" x14ac:dyDescent="0.25"/>
  <cols>
    <col min="1" max="2" width="25.7109375" style="19" customWidth="1"/>
    <col min="3" max="3" width="3.140625" style="19" customWidth="1"/>
    <col min="4" max="12" width="8.7109375" style="19" customWidth="1"/>
    <col min="13" max="16384" width="9.140625" style="19"/>
  </cols>
  <sheetData>
    <row r="1" spans="1:12" ht="13.5" x14ac:dyDescent="0.25">
      <c r="A1" s="100" t="str">
        <f>_MEB7</f>
        <v>Centlec - Supporting Table SD2 Financial and non-financial indicators</v>
      </c>
      <c r="B1" s="41"/>
      <c r="C1" s="41"/>
    </row>
    <row r="2" spans="1:12" ht="25.5" x14ac:dyDescent="0.25">
      <c r="A2" s="715" t="s">
        <v>389</v>
      </c>
      <c r="B2" s="703" t="s">
        <v>266</v>
      </c>
      <c r="C2" s="703" t="str">
        <f>head27</f>
        <v>Ref</v>
      </c>
      <c r="D2" s="97" t="str">
        <f>head1b</f>
        <v>2016/17</v>
      </c>
      <c r="E2" s="20" t="str">
        <f>head1A</f>
        <v>2017/18</v>
      </c>
      <c r="F2" s="92" t="str">
        <f>Head1</f>
        <v>2018/19</v>
      </c>
      <c r="G2" s="693" t="str">
        <f>Head2</f>
        <v>Current Year 2019/20</v>
      </c>
      <c r="H2" s="694"/>
      <c r="I2" s="695"/>
      <c r="J2" s="118" t="str">
        <f>Head3a</f>
        <v>Medium Term Revenue and Expenditure Framework</v>
      </c>
      <c r="K2" s="116"/>
      <c r="L2" s="117"/>
    </row>
    <row r="3" spans="1:12" x14ac:dyDescent="0.25">
      <c r="A3" s="716"/>
      <c r="B3" s="704"/>
      <c r="C3" s="704"/>
      <c r="D3" s="699" t="str">
        <f>Head5</f>
        <v>Audited Outcome</v>
      </c>
      <c r="E3" s="701" t="str">
        <f>Head5</f>
        <v>Audited Outcome</v>
      </c>
      <c r="F3" s="706" t="str">
        <f>Head5</f>
        <v>Audited Outcome</v>
      </c>
      <c r="G3" s="710" t="str">
        <f>Head6</f>
        <v>Original Budget</v>
      </c>
      <c r="H3" s="708" t="str">
        <f>Head7</f>
        <v>Adjusted Budget</v>
      </c>
      <c r="I3" s="706" t="str">
        <f>Head8</f>
        <v>Full Year Forecast</v>
      </c>
      <c r="J3" s="710" t="str">
        <f>Head9</f>
        <v>Budget Year 2020/21</v>
      </c>
      <c r="K3" s="708" t="str">
        <f>Head10</f>
        <v>Budget Year +1 2021/22</v>
      </c>
      <c r="L3" s="706" t="str">
        <f>Head11</f>
        <v>Budget Year +2 2022/23</v>
      </c>
    </row>
    <row r="4" spans="1:12" x14ac:dyDescent="0.25">
      <c r="A4" s="133"/>
      <c r="B4" s="142"/>
      <c r="C4" s="123"/>
      <c r="D4" s="700"/>
      <c r="E4" s="702"/>
      <c r="F4" s="707"/>
      <c r="G4" s="711"/>
      <c r="H4" s="709"/>
      <c r="I4" s="707"/>
      <c r="J4" s="711"/>
      <c r="K4" s="709"/>
      <c r="L4" s="707"/>
    </row>
    <row r="5" spans="1:12" ht="12.75" customHeight="1" x14ac:dyDescent="0.25">
      <c r="A5" s="73" t="s">
        <v>67</v>
      </c>
      <c r="B5" s="104"/>
      <c r="C5" s="69"/>
      <c r="D5" s="238"/>
      <c r="E5" s="65"/>
      <c r="F5" s="145"/>
      <c r="G5" s="144"/>
      <c r="H5" s="65"/>
      <c r="I5" s="145"/>
      <c r="J5" s="70"/>
      <c r="K5" s="65"/>
      <c r="L5" s="145"/>
    </row>
    <row r="6" spans="1:12" x14ac:dyDescent="0.25">
      <c r="A6" s="522" t="s">
        <v>992</v>
      </c>
      <c r="B6" s="104"/>
      <c r="C6" s="601"/>
      <c r="D6" s="600"/>
      <c r="E6" s="524"/>
      <c r="F6" s="599"/>
      <c r="G6" s="600"/>
      <c r="H6" s="524"/>
      <c r="I6" s="599"/>
      <c r="J6" s="524"/>
      <c r="K6" s="524"/>
      <c r="L6" s="599"/>
    </row>
    <row r="7" spans="1:12" ht="25.5" x14ac:dyDescent="0.25">
      <c r="A7" s="72" t="s">
        <v>290</v>
      </c>
      <c r="B7" s="104" t="s">
        <v>420</v>
      </c>
      <c r="C7" s="69"/>
      <c r="D7" s="146">
        <f>IF(ISERROR((D48+D49)/D50),0,((D48+D49)/D50))</f>
        <v>8.2707528518522366E-2</v>
      </c>
      <c r="E7" s="84">
        <f t="shared" ref="E7:L7" si="0">IF(ISERROR((E48+E49)/E50),0,((E48+E49)/E50))</f>
        <v>1.1084492165859279E-2</v>
      </c>
      <c r="F7" s="147">
        <f t="shared" si="0"/>
        <v>-1.7558684649901499E-2</v>
      </c>
      <c r="G7" s="146">
        <f t="shared" si="0"/>
        <v>3.4285540970028579E-3</v>
      </c>
      <c r="H7" s="84">
        <f t="shared" si="0"/>
        <v>3.9941751244111662E-3</v>
      </c>
      <c r="I7" s="147">
        <f t="shared" si="0"/>
        <v>3.9941751244111662E-3</v>
      </c>
      <c r="J7" s="164">
        <f t="shared" si="0"/>
        <v>3.7987801752091556E-3</v>
      </c>
      <c r="K7" s="165">
        <f t="shared" si="0"/>
        <v>3.7952599152513947E-3</v>
      </c>
      <c r="L7" s="166">
        <f t="shared" si="0"/>
        <v>3.7537091822790318E-3</v>
      </c>
    </row>
    <row r="8" spans="1:12" ht="25.5" x14ac:dyDescent="0.25">
      <c r="A8" s="72" t="s">
        <v>181</v>
      </c>
      <c r="B8" s="104" t="s">
        <v>766</v>
      </c>
      <c r="C8" s="69"/>
      <c r="D8" s="70">
        <f>IF(ISERROR(D51/(D52-D53-D54)),0,(D51/(D52-D53-D54)))</f>
        <v>-4.0762731071409132E-2</v>
      </c>
      <c r="E8" s="71">
        <f t="shared" ref="E8:L8" si="1">IF(ISERROR(E51/(E52-E53-E54)),0,(E51/(E52-E53-E54)))</f>
        <v>0</v>
      </c>
      <c r="F8" s="127">
        <f t="shared" si="1"/>
        <v>0</v>
      </c>
      <c r="G8" s="70">
        <f t="shared" si="1"/>
        <v>0</v>
      </c>
      <c r="H8" s="71">
        <f t="shared" si="1"/>
        <v>0</v>
      </c>
      <c r="I8" s="127">
        <f t="shared" si="1"/>
        <v>0</v>
      </c>
      <c r="J8" s="70">
        <f t="shared" si="1"/>
        <v>0</v>
      </c>
      <c r="K8" s="71">
        <f t="shared" si="1"/>
        <v>0</v>
      </c>
      <c r="L8" s="127">
        <f t="shared" si="1"/>
        <v>0</v>
      </c>
    </row>
    <row r="9" spans="1:12" ht="12.75" hidden="1" customHeight="1" x14ac:dyDescent="0.25">
      <c r="A9" s="73" t="s">
        <v>234</v>
      </c>
      <c r="B9" s="104"/>
      <c r="C9" s="69"/>
      <c r="D9" s="144"/>
      <c r="E9" s="65"/>
      <c r="F9" s="145"/>
      <c r="G9" s="144"/>
      <c r="H9" s="65"/>
      <c r="I9" s="145"/>
      <c r="J9" s="74"/>
      <c r="K9" s="75"/>
      <c r="L9" s="167"/>
    </row>
    <row r="10" spans="1:12" ht="25.5" hidden="1" x14ac:dyDescent="0.25">
      <c r="A10" s="72" t="s">
        <v>233</v>
      </c>
      <c r="B10" s="104" t="s">
        <v>284</v>
      </c>
      <c r="C10" s="69"/>
      <c r="D10" s="146">
        <f>IF(ISERROR(D57/D56),0,(D57/D56))</f>
        <v>0</v>
      </c>
      <c r="E10" s="84">
        <f t="shared" ref="E10:L10" si="2">IF(ISERROR(E57/E56),0,(E57/E56))</f>
        <v>0</v>
      </c>
      <c r="F10" s="147">
        <f t="shared" si="2"/>
        <v>0</v>
      </c>
      <c r="G10" s="146">
        <f t="shared" si="2"/>
        <v>0</v>
      </c>
      <c r="H10" s="84">
        <f t="shared" si="2"/>
        <v>0</v>
      </c>
      <c r="I10" s="147">
        <f t="shared" si="2"/>
        <v>0</v>
      </c>
      <c r="J10" s="146">
        <f t="shared" si="2"/>
        <v>0</v>
      </c>
      <c r="K10" s="84">
        <f t="shared" si="2"/>
        <v>0</v>
      </c>
      <c r="L10" s="147">
        <f t="shared" si="2"/>
        <v>0</v>
      </c>
    </row>
    <row r="11" spans="1:12" ht="12.75" customHeight="1" x14ac:dyDescent="0.25">
      <c r="A11" s="73" t="s">
        <v>235</v>
      </c>
      <c r="B11" s="104"/>
      <c r="C11" s="69"/>
      <c r="D11" s="144"/>
      <c r="E11" s="65"/>
      <c r="F11" s="145"/>
      <c r="G11" s="144"/>
      <c r="H11" s="65"/>
      <c r="I11" s="145"/>
      <c r="J11" s="144"/>
      <c r="K11" s="65"/>
      <c r="L11" s="145"/>
    </row>
    <row r="12" spans="1:12" ht="12.75" customHeight="1" x14ac:dyDescent="0.25">
      <c r="A12" s="72" t="s">
        <v>291</v>
      </c>
      <c r="B12" s="104" t="s">
        <v>286</v>
      </c>
      <c r="C12" s="68"/>
      <c r="D12" s="148">
        <f>IF(ISERROR(D58/D59),0,(D58/D59))</f>
        <v>1.4798756506397999</v>
      </c>
      <c r="E12" s="85">
        <f t="shared" ref="E12:L12" si="3">IF(ISERROR(E58/E59),0,(E58/E59))</f>
        <v>1.3060595807142263</v>
      </c>
      <c r="F12" s="149">
        <f t="shared" si="3"/>
        <v>0.91660616164178366</v>
      </c>
      <c r="G12" s="148">
        <f t="shared" si="3"/>
        <v>1.4340266887721225</v>
      </c>
      <c r="H12" s="85">
        <f t="shared" si="3"/>
        <v>1.4340266887721225</v>
      </c>
      <c r="I12" s="149">
        <f t="shared" si="3"/>
        <v>1.4340266887721225</v>
      </c>
      <c r="J12" s="148">
        <f t="shared" si="3"/>
        <v>1.4340266887721222</v>
      </c>
      <c r="K12" s="85">
        <f t="shared" si="3"/>
        <v>1.4340266887721222</v>
      </c>
      <c r="L12" s="149">
        <f t="shared" si="3"/>
        <v>1.4340266887721225</v>
      </c>
    </row>
    <row r="13" spans="1:12" ht="25.5" x14ac:dyDescent="0.25">
      <c r="A13" s="72" t="s">
        <v>158</v>
      </c>
      <c r="B13" s="104" t="s">
        <v>157</v>
      </c>
      <c r="C13" s="69"/>
      <c r="D13" s="148">
        <f>IF(ISERROR((D58-D60)/D59),0,((D58-D60)/D59))</f>
        <v>1.4798756506397999</v>
      </c>
      <c r="E13" s="85">
        <f t="shared" ref="E13:L13" si="4">IF(ISERROR((E58-E60)/E59),0,((E58-E60)/E59))</f>
        <v>1.3060595807142263</v>
      </c>
      <c r="F13" s="149">
        <f t="shared" si="4"/>
        <v>0.91660616164178366</v>
      </c>
      <c r="G13" s="148">
        <f t="shared" si="4"/>
        <v>1.4340266887721225</v>
      </c>
      <c r="H13" s="85">
        <f t="shared" si="4"/>
        <v>1.4340266887721225</v>
      </c>
      <c r="I13" s="149">
        <f t="shared" si="4"/>
        <v>1.4340266887721225</v>
      </c>
      <c r="J13" s="148">
        <f t="shared" si="4"/>
        <v>1.4340266887721222</v>
      </c>
      <c r="K13" s="85">
        <f t="shared" si="4"/>
        <v>1.4340266887721222</v>
      </c>
      <c r="L13" s="149">
        <f t="shared" si="4"/>
        <v>1.4340266887721225</v>
      </c>
    </row>
    <row r="14" spans="1:12" ht="12.75" customHeight="1" x14ac:dyDescent="0.25">
      <c r="A14" s="72" t="s">
        <v>236</v>
      </c>
      <c r="B14" s="104" t="s">
        <v>285</v>
      </c>
      <c r="C14" s="69"/>
      <c r="D14" s="148">
        <f>IF(ISERROR(D61/D59),0,(D61/D59))</f>
        <v>0.33835466705150513</v>
      </c>
      <c r="E14" s="85">
        <f t="shared" ref="E14:L14" si="5">IF(ISERROR(E61/E59),0,(E61/E59))</f>
        <v>0.1981126963169802</v>
      </c>
      <c r="F14" s="149">
        <f t="shared" si="5"/>
        <v>1.3255178337237735E-2</v>
      </c>
      <c r="G14" s="148">
        <f t="shared" si="5"/>
        <v>0.18230256957089139</v>
      </c>
      <c r="H14" s="85">
        <f t="shared" si="5"/>
        <v>0.18230256957089139</v>
      </c>
      <c r="I14" s="149">
        <f t="shared" si="5"/>
        <v>0.18230256957089139</v>
      </c>
      <c r="J14" s="168">
        <f t="shared" si="5"/>
        <v>0.18230256957089136</v>
      </c>
      <c r="K14" s="169">
        <f t="shared" si="5"/>
        <v>0.18230256957089139</v>
      </c>
      <c r="L14" s="170">
        <f t="shared" si="5"/>
        <v>0.18230256957089136</v>
      </c>
    </row>
    <row r="15" spans="1:12" ht="12.75" customHeight="1" x14ac:dyDescent="0.25">
      <c r="A15" s="73" t="s">
        <v>8</v>
      </c>
      <c r="B15" s="104"/>
      <c r="C15" s="69"/>
      <c r="D15" s="144"/>
      <c r="E15" s="65"/>
      <c r="F15" s="145"/>
      <c r="G15" s="144"/>
      <c r="H15" s="65"/>
      <c r="I15" s="145"/>
      <c r="J15" s="144"/>
      <c r="K15" s="65"/>
      <c r="L15" s="145"/>
    </row>
    <row r="16" spans="1:12" ht="25.5" x14ac:dyDescent="0.25">
      <c r="A16" s="72" t="s">
        <v>31</v>
      </c>
      <c r="B16" s="104" t="s">
        <v>287</v>
      </c>
      <c r="C16" s="69"/>
      <c r="D16" s="763"/>
      <c r="E16" s="151">
        <f>IF(ISERROR(E62/E63),0,(E62/E63))</f>
        <v>0</v>
      </c>
      <c r="F16" s="152">
        <f t="shared" ref="F16:L16" si="6">IF(ISERROR(F62/F63),0,(F62/F63))</f>
        <v>0</v>
      </c>
      <c r="G16" s="150">
        <f t="shared" si="6"/>
        <v>0</v>
      </c>
      <c r="H16" s="151">
        <f t="shared" si="6"/>
        <v>0</v>
      </c>
      <c r="I16" s="152">
        <f t="shared" si="6"/>
        <v>0</v>
      </c>
      <c r="J16" s="78">
        <f t="shared" si="6"/>
        <v>0</v>
      </c>
      <c r="K16" s="79">
        <f t="shared" si="6"/>
        <v>0</v>
      </c>
      <c r="L16" s="171">
        <f t="shared" si="6"/>
        <v>0</v>
      </c>
    </row>
    <row r="17" spans="1:12" ht="25.5" customHeight="1" x14ac:dyDescent="0.25">
      <c r="A17" s="522" t="s">
        <v>1041</v>
      </c>
      <c r="B17" s="104"/>
      <c r="C17" s="69"/>
      <c r="D17" s="76">
        <f>IF(ISERROR(('D5-CFlow'!C6+'D5-CFlow'!C7)/SUM('D2-FinPerf'!C5:C10)),0,(('D5-CFlow'!C6+'D5-CFlow'!C7)/SUM('D2-FinPerf'!C5:C10)))</f>
        <v>1.0045461502084616</v>
      </c>
      <c r="E17" s="77">
        <f>IF(ISERROR(('D5-CFlow'!D6+'D5-CFlow'!D7)/SUM('D2-FinPerf'!D5:D10)),0,(('D5-CFlow'!D6+'D5-CFlow'!D7)/SUM('D2-FinPerf'!D5:D10)))</f>
        <v>0.95449826469965005</v>
      </c>
      <c r="F17" s="611">
        <f>IF(ISERROR(('D5-CFlow'!E6+'D5-CFlow'!E7)/SUM('D2-FinPerf'!E5:E10)),0,(('D5-CFlow'!E6+'D5-CFlow'!E7)/SUM('D2-FinPerf'!E5:E10)))</f>
        <v>1.1242231331842407</v>
      </c>
      <c r="G17" s="76">
        <f>IF(ISERROR(('D5-CFlow'!F6+'D5-CFlow'!F7)/SUM('D2-FinPerf'!F5:F10)),0,(('D5-CFlow'!F6+'D5-CFlow'!F7)/SUM('D2-FinPerf'!F5:F10)))</f>
        <v>0.99857513102397366</v>
      </c>
      <c r="H17" s="77">
        <f>IF(ISERROR(('D5-CFlow'!G6+'D5-CFlow'!G7)/SUM('D2-FinPerf'!G5:G10)),0,(('D5-CFlow'!G6+'D5-CFlow'!G7)/SUM('D2-FinPerf'!G5:G10)))</f>
        <v>0.99857513102397366</v>
      </c>
      <c r="I17" s="611">
        <f>IF(ISERROR(('D5-CFlow'!H6+'D5-CFlow'!H7)/SUM('D2-FinPerf'!H5:H10)),0,(('D5-CFlow'!H6+'D5-CFlow'!H7)/SUM('D2-FinPerf'!H5:H10)))</f>
        <v>0.99857513102397366</v>
      </c>
      <c r="J17" s="76">
        <f>IF(ISERROR(('D5-CFlow'!I6+'D5-CFlow'!I7)/SUM('D2-FinPerf'!I5:I10)),0,(('D5-CFlow'!I6+'D5-CFlow'!I7)/SUM('D2-FinPerf'!I5:I10)))</f>
        <v>0.97469563569675921</v>
      </c>
      <c r="K17" s="77">
        <f>IF(ISERROR(('D5-CFlow'!J6+'D5-CFlow'!J7)/SUM('D2-FinPerf'!J5:J10)),0,(('D5-CFlow'!J6+'D5-CFlow'!J7)/SUM('D2-FinPerf'!J5:J10)))</f>
        <v>0.97479936193664052</v>
      </c>
      <c r="L17" s="611">
        <f>IF(ISERROR(('D5-CFlow'!K6+'D5-CFlow'!K7)/SUM('D2-FinPerf'!K5:K10)),0,(('D5-CFlow'!K6+'D5-CFlow'!K7)/SUM('D2-FinPerf'!K5:K10)))</f>
        <v>0.97479972745215093</v>
      </c>
    </row>
    <row r="18" spans="1:12" ht="25.5" x14ac:dyDescent="0.25">
      <c r="A18" s="72" t="s">
        <v>32</v>
      </c>
      <c r="B18" s="104" t="s">
        <v>156</v>
      </c>
      <c r="C18" s="69"/>
      <c r="D18" s="146">
        <f>IF(ISERROR(D64/D65),0,(D64/D65))</f>
        <v>0.28395744279798724</v>
      </c>
      <c r="E18" s="84">
        <f t="shared" ref="E18:L18" si="7">IF(ISERROR(E64/E65),0,(E64/E65))</f>
        <v>0.27955338756349457</v>
      </c>
      <c r="F18" s="147">
        <f t="shared" si="7"/>
        <v>0.34240444026915651</v>
      </c>
      <c r="G18" s="146">
        <f t="shared" si="7"/>
        <v>0.27494743529861382</v>
      </c>
      <c r="H18" s="84">
        <f t="shared" si="7"/>
        <v>0.26997892862959239</v>
      </c>
      <c r="I18" s="147">
        <f t="shared" si="7"/>
        <v>0.26997892862959239</v>
      </c>
      <c r="J18" s="146">
        <f t="shared" si="7"/>
        <v>0.27367239358089462</v>
      </c>
      <c r="K18" s="84">
        <f t="shared" si="7"/>
        <v>0.28234903651555371</v>
      </c>
      <c r="L18" s="147">
        <f t="shared" si="7"/>
        <v>0.28172394776886317</v>
      </c>
    </row>
    <row r="19" spans="1:12" ht="25.5" x14ac:dyDescent="0.25">
      <c r="A19" s="72" t="s">
        <v>414</v>
      </c>
      <c r="B19" s="104" t="s">
        <v>288</v>
      </c>
      <c r="C19" s="69"/>
      <c r="D19" s="239"/>
      <c r="E19" s="240"/>
      <c r="F19" s="241"/>
      <c r="G19" s="239"/>
      <c r="H19" s="240"/>
      <c r="I19" s="241"/>
      <c r="J19" s="239"/>
      <c r="K19" s="240"/>
      <c r="L19" s="241"/>
    </row>
    <row r="20" spans="1:12" ht="12.75" customHeight="1" x14ac:dyDescent="0.25">
      <c r="A20" s="73" t="s">
        <v>415</v>
      </c>
      <c r="B20" s="104"/>
      <c r="C20" s="69"/>
      <c r="D20" s="144"/>
      <c r="E20" s="65"/>
      <c r="F20" s="145"/>
      <c r="G20" s="144"/>
      <c r="H20" s="65"/>
      <c r="I20" s="145"/>
      <c r="J20" s="144"/>
      <c r="K20" s="65"/>
      <c r="L20" s="145"/>
    </row>
    <row r="21" spans="1:12" ht="25.5" x14ac:dyDescent="0.25">
      <c r="A21" s="72" t="s">
        <v>416</v>
      </c>
      <c r="B21" s="104" t="s">
        <v>282</v>
      </c>
      <c r="C21" s="69"/>
      <c r="D21" s="239"/>
      <c r="E21" s="240"/>
      <c r="F21" s="241"/>
      <c r="G21" s="239"/>
      <c r="H21" s="240"/>
      <c r="I21" s="241"/>
      <c r="J21" s="239"/>
      <c r="K21" s="240"/>
      <c r="L21" s="241"/>
    </row>
    <row r="22" spans="1:12" x14ac:dyDescent="0.25">
      <c r="A22" s="522" t="s">
        <v>1042</v>
      </c>
      <c r="B22" s="104"/>
      <c r="C22" s="69"/>
      <c r="D22" s="76">
        <f>IF(ISERROR(D75/'D5-CFlow'!C41), 0, (D75/'D5-CFlow'!C41))</f>
        <v>0</v>
      </c>
      <c r="E22" s="77">
        <f>IF(ISERROR(E75/'D5-CFlow'!D41), 0, (E75/'D5-CFlow'!D41))</f>
        <v>0</v>
      </c>
      <c r="F22" s="603">
        <f>IF(ISERROR(F75/'D5-CFlow'!E41), 0, (F75/'D5-CFlow'!E41))</f>
        <v>0</v>
      </c>
      <c r="G22" s="602">
        <f>IF(ISERROR(G75/'D5-CFlow'!F41), 0, (G75/'D5-CFlow'!F41))</f>
        <v>0</v>
      </c>
      <c r="H22" s="77">
        <f>IF(ISERROR(H75/'D5-CFlow'!G41), 0, (H75/'D5-CFlow'!G41))</f>
        <v>0</v>
      </c>
      <c r="I22" s="603">
        <f>IF(ISERROR(I75/'D5-CFlow'!H41), 0, (I75/'D5-CFlow'!H41))</f>
        <v>0</v>
      </c>
      <c r="J22" s="76">
        <f>IF(ISERROR(J75/'D5-CFlow'!I41), 0, (J75/'D5-CFlow'!I41))</f>
        <v>0</v>
      </c>
      <c r="K22" s="77">
        <f>IF(ISERROR(K75/'D5-CFlow'!J41), 0, (K75/'D5-CFlow'!J41))</f>
        <v>0</v>
      </c>
      <c r="L22" s="603">
        <f>IF(ISERROR(L75/'D5-CFlow'!K41), 0, (L75/'D5-CFlow'!K41))</f>
        <v>0</v>
      </c>
    </row>
    <row r="23" spans="1:12" x14ac:dyDescent="0.25">
      <c r="A23" s="72"/>
      <c r="B23" s="104"/>
      <c r="C23" s="69"/>
      <c r="D23" s="604"/>
      <c r="E23" s="605"/>
      <c r="F23" s="606"/>
      <c r="G23" s="604"/>
      <c r="H23" s="605"/>
      <c r="I23" s="606"/>
      <c r="J23" s="604"/>
      <c r="K23" s="605"/>
      <c r="L23" s="606"/>
    </row>
    <row r="24" spans="1:12" ht="12.75" hidden="1" customHeight="1" x14ac:dyDescent="0.25">
      <c r="A24" s="73" t="s">
        <v>63</v>
      </c>
      <c r="B24" s="104"/>
      <c r="C24" s="69"/>
      <c r="D24" s="144"/>
      <c r="E24" s="65"/>
      <c r="F24" s="145"/>
      <c r="G24" s="144"/>
      <c r="H24" s="65"/>
      <c r="I24" s="145"/>
      <c r="J24" s="144"/>
      <c r="K24" s="65"/>
      <c r="L24" s="145"/>
    </row>
    <row r="25" spans="1:12" hidden="1" x14ac:dyDescent="0.25">
      <c r="A25" s="72" t="s">
        <v>64</v>
      </c>
      <c r="B25" s="104" t="s">
        <v>65</v>
      </c>
      <c r="C25" s="69"/>
      <c r="D25" s="239"/>
      <c r="E25" s="240"/>
      <c r="F25" s="241"/>
      <c r="G25" s="239"/>
      <c r="H25" s="240"/>
      <c r="I25" s="241"/>
      <c r="J25" s="239"/>
      <c r="K25" s="240"/>
      <c r="L25" s="241"/>
    </row>
    <row r="26" spans="1:12" ht="12.75" customHeight="1" x14ac:dyDescent="0.25">
      <c r="A26" s="73" t="s">
        <v>66</v>
      </c>
      <c r="B26" s="104"/>
      <c r="C26" s="69"/>
      <c r="D26" s="144"/>
      <c r="E26" s="65"/>
      <c r="F26" s="145"/>
      <c r="G26" s="144"/>
      <c r="H26" s="65"/>
      <c r="I26" s="145"/>
      <c r="J26" s="144"/>
      <c r="K26" s="65"/>
      <c r="L26" s="145"/>
    </row>
    <row r="27" spans="1:12" x14ac:dyDescent="0.25">
      <c r="A27" s="753" t="s">
        <v>1043</v>
      </c>
      <c r="B27" s="523" t="s">
        <v>1044</v>
      </c>
      <c r="C27" s="68">
        <v>1</v>
      </c>
      <c r="D27" s="239"/>
      <c r="E27" s="240"/>
      <c r="F27" s="241"/>
      <c r="G27" s="239"/>
      <c r="H27" s="757"/>
      <c r="I27" s="758"/>
      <c r="J27" s="239"/>
      <c r="K27" s="240"/>
      <c r="L27" s="758"/>
    </row>
    <row r="28" spans="1:12" x14ac:dyDescent="0.25">
      <c r="A28" s="753"/>
      <c r="B28" s="523" t="s">
        <v>1045</v>
      </c>
      <c r="C28" s="68"/>
      <c r="D28" s="663">
        <v>0.12889999999999999</v>
      </c>
      <c r="E28" s="664">
        <v>0.1323</v>
      </c>
      <c r="F28" s="665">
        <v>0.12</v>
      </c>
      <c r="G28" s="663">
        <v>0.11749999999999999</v>
      </c>
      <c r="H28" s="756">
        <v>0.11749999999999999</v>
      </c>
      <c r="I28" s="756">
        <v>0.11749999999999999</v>
      </c>
      <c r="J28" s="663">
        <v>0.115</v>
      </c>
      <c r="K28" s="664">
        <v>0.115</v>
      </c>
      <c r="L28" s="759">
        <v>0.115</v>
      </c>
    </row>
    <row r="29" spans="1:12" ht="38.25" x14ac:dyDescent="0.25">
      <c r="A29" s="754"/>
      <c r="B29" s="755" t="s">
        <v>1046</v>
      </c>
      <c r="C29" s="68"/>
      <c r="D29" s="239"/>
      <c r="E29" s="240"/>
      <c r="F29" s="241"/>
      <c r="G29" s="239"/>
      <c r="H29" s="757"/>
      <c r="I29" s="758"/>
      <c r="J29" s="239"/>
      <c r="K29" s="240"/>
      <c r="L29" s="758"/>
    </row>
    <row r="30" spans="1:12" hidden="1" x14ac:dyDescent="0.25">
      <c r="A30" s="712" t="s">
        <v>1047</v>
      </c>
      <c r="B30" s="609" t="s">
        <v>1048</v>
      </c>
      <c r="C30" s="68"/>
      <c r="D30" s="239"/>
      <c r="E30" s="240"/>
      <c r="F30" s="241"/>
      <c r="G30" s="239"/>
      <c r="H30" s="240"/>
      <c r="I30" s="241"/>
      <c r="J30" s="239"/>
      <c r="K30" s="240"/>
      <c r="L30" s="241"/>
    </row>
    <row r="31" spans="1:12" hidden="1" x14ac:dyDescent="0.25">
      <c r="A31" s="713"/>
      <c r="B31" s="607" t="s">
        <v>1045</v>
      </c>
      <c r="C31" s="68"/>
      <c r="D31" s="239"/>
      <c r="E31" s="240"/>
      <c r="F31" s="241"/>
      <c r="G31" s="239"/>
      <c r="H31" s="240"/>
      <c r="I31" s="241"/>
      <c r="J31" s="239"/>
      <c r="K31" s="240"/>
      <c r="L31" s="241"/>
    </row>
    <row r="32" spans="1:12" ht="38.25" hidden="1" x14ac:dyDescent="0.25">
      <c r="A32" s="714"/>
      <c r="B32" s="608" t="s">
        <v>1046</v>
      </c>
      <c r="C32" s="68"/>
      <c r="D32" s="239"/>
      <c r="E32" s="240"/>
      <c r="F32" s="241"/>
      <c r="G32" s="239"/>
      <c r="H32" s="240"/>
      <c r="I32" s="241"/>
      <c r="J32" s="239"/>
      <c r="K32" s="240"/>
      <c r="L32" s="241"/>
    </row>
    <row r="33" spans="1:15" ht="25.5" x14ac:dyDescent="0.25">
      <c r="A33" s="72" t="s">
        <v>35</v>
      </c>
      <c r="B33" s="104" t="s">
        <v>255</v>
      </c>
      <c r="C33" s="69"/>
      <c r="D33" s="76">
        <f>IF(ISERROR(D66/D65),0,(D66/D65))</f>
        <v>9.1909435444946258E-2</v>
      </c>
      <c r="E33" s="77">
        <f t="shared" ref="E33:L33" si="8">IF(ISERROR(E66/E65),0,(E66/E65))</f>
        <v>0.12843597809939467</v>
      </c>
      <c r="F33" s="153">
        <f t="shared" si="8"/>
        <v>0.14158423620918076</v>
      </c>
      <c r="G33" s="78">
        <f t="shared" si="8"/>
        <v>0.12687208021366847</v>
      </c>
      <c r="H33" s="159">
        <f t="shared" si="8"/>
        <v>0.12475905282701674</v>
      </c>
      <c r="I33" s="160">
        <f t="shared" si="8"/>
        <v>0.12475905282701674</v>
      </c>
      <c r="J33" s="78">
        <f t="shared" si="8"/>
        <v>0.12949132573274466</v>
      </c>
      <c r="K33" s="79">
        <f t="shared" si="8"/>
        <v>0.13666209995860265</v>
      </c>
      <c r="L33" s="171">
        <f t="shared" si="8"/>
        <v>0.13948825407014304</v>
      </c>
    </row>
    <row r="34" spans="1:15" ht="25.5" x14ac:dyDescent="0.25">
      <c r="A34" s="522" t="s">
        <v>188</v>
      </c>
      <c r="B34" s="607" t="s">
        <v>1049</v>
      </c>
      <c r="C34" s="69"/>
      <c r="D34" s="76">
        <f>IF(ISERROR('SD4'!C56/'D2-FinPerf'!C21),0,('SD4'!C56/'D2-FinPerf'!C21))</f>
        <v>9.1907707037570258E-2</v>
      </c>
      <c r="E34" s="77">
        <f>IF(ISERROR('SD4'!D56/'D2-FinPerf'!D21),0,('SD4'!D56/'D2-FinPerf'!D21))</f>
        <v>9.8009910030919273E-2</v>
      </c>
      <c r="F34" s="603">
        <f>IF(ISERROR('SD4'!E56/'D2-FinPerf'!E21),0,('SD4'!E56/'D2-FinPerf'!E21))</f>
        <v>0.14174968452337561</v>
      </c>
      <c r="G34" s="602">
        <f>IF(ISERROR('SD4'!F56/'D2-FinPerf'!F21),0,('SD4'!F56/'D2-FinPerf'!F21))</f>
        <v>0.12751661833315067</v>
      </c>
      <c r="H34" s="77">
        <f>IF(ISERROR('SD4'!G56/'D2-FinPerf'!G21),0,('SD4'!G56/'D2-FinPerf'!G21))</f>
        <v>0.12539194365856696</v>
      </c>
      <c r="I34" s="603">
        <f>IF(ISERROR('SD4'!H56/'D2-FinPerf'!H21),0,('SD4'!H56/'D2-FinPerf'!H21))</f>
        <v>0.12539194365856696</v>
      </c>
      <c r="J34" s="76">
        <f>IF(ISERROR('SD4'!I56/'D2-FinPerf'!I21),0,('SD4'!I56/'D2-FinPerf'!I21))</f>
        <v>0.13013348777875633</v>
      </c>
      <c r="K34" s="77">
        <f>IF(ISERROR('SD4'!J56/'D2-FinPerf'!J21),0,('SD4'!J56/'D2-FinPerf'!J21))</f>
        <v>0.13732588734939979</v>
      </c>
      <c r="L34" s="603">
        <f>IF(ISERROR('SD4'!K56/'D2-FinPerf'!K21),0,('SD4'!K56/'D2-FinPerf'!K21))</f>
        <v>0.14015183723235802</v>
      </c>
    </row>
    <row r="35" spans="1:15" ht="25.5" customHeight="1" x14ac:dyDescent="0.25">
      <c r="A35" s="72" t="s">
        <v>254</v>
      </c>
      <c r="B35" s="104" t="s">
        <v>256</v>
      </c>
      <c r="C35" s="69"/>
      <c r="D35" s="76">
        <f>IF(ISERROR(D67/D65),0,(D67/D65))</f>
        <v>0</v>
      </c>
      <c r="E35" s="77">
        <f t="shared" ref="E35:L35" si="9">IF(ISERROR(E67/E65),0,(E67/E65))</f>
        <v>0</v>
      </c>
      <c r="F35" s="153">
        <f t="shared" si="9"/>
        <v>0</v>
      </c>
      <c r="G35" s="78">
        <f t="shared" si="9"/>
        <v>0</v>
      </c>
      <c r="H35" s="159">
        <f t="shared" si="9"/>
        <v>0</v>
      </c>
      <c r="I35" s="160">
        <f t="shared" si="9"/>
        <v>0</v>
      </c>
      <c r="J35" s="78">
        <f t="shared" si="9"/>
        <v>0</v>
      </c>
      <c r="K35" s="79">
        <f t="shared" si="9"/>
        <v>0</v>
      </c>
      <c r="L35" s="171">
        <f t="shared" si="9"/>
        <v>0</v>
      </c>
    </row>
    <row r="36" spans="1:15" ht="23.25" customHeight="1" x14ac:dyDescent="0.25">
      <c r="A36" s="522" t="s">
        <v>990</v>
      </c>
      <c r="B36" s="523" t="s">
        <v>991</v>
      </c>
      <c r="C36" s="69"/>
      <c r="D36" s="76">
        <f>IF(ISERROR((D48+D49)/D65),0,((D48+D49)/D65))</f>
        <v>8.7363704919439136E-2</v>
      </c>
      <c r="E36" s="77">
        <f t="shared" ref="E36:L36" si="10">IF(ISERROR((E48+E49)/E65),0,((E48+E49)/E65))</f>
        <v>1.0336330040152433E-2</v>
      </c>
      <c r="F36" s="153">
        <f t="shared" si="10"/>
        <v>-1.7466146763217408E-2</v>
      </c>
      <c r="G36" s="78">
        <f t="shared" si="10"/>
        <v>3.2915727249015173E-3</v>
      </c>
      <c r="H36" s="159">
        <f t="shared" si="10"/>
        <v>3.232091533460396E-3</v>
      </c>
      <c r="I36" s="160">
        <f t="shared" si="10"/>
        <v>3.232091533460396E-3</v>
      </c>
      <c r="J36" s="78">
        <f t="shared" si="10"/>
        <v>3.2794246144806772E-3</v>
      </c>
      <c r="K36" s="79">
        <f t="shared" si="10"/>
        <v>3.3898271572549315E-3</v>
      </c>
      <c r="L36" s="171">
        <f t="shared" si="10"/>
        <v>3.3887505629189387E-3</v>
      </c>
    </row>
    <row r="37" spans="1:15" ht="12.75" customHeight="1" x14ac:dyDescent="0.25">
      <c r="A37" s="73" t="s">
        <v>293</v>
      </c>
      <c r="B37" s="105"/>
      <c r="C37" s="73"/>
      <c r="D37" s="154"/>
      <c r="E37" s="86"/>
      <c r="F37" s="153"/>
      <c r="G37" s="78"/>
      <c r="H37" s="159"/>
      <c r="I37" s="160"/>
      <c r="J37" s="78"/>
      <c r="K37" s="79"/>
      <c r="L37" s="760"/>
    </row>
    <row r="38" spans="1:15" ht="38.25" x14ac:dyDescent="0.25">
      <c r="A38" s="72" t="s">
        <v>168</v>
      </c>
      <c r="B38" s="104" t="s">
        <v>277</v>
      </c>
      <c r="C38" s="69"/>
      <c r="D38" s="155">
        <f>IF(ISERROR(D68/D69),0,(D68/D69))</f>
        <v>35700.819661563255</v>
      </c>
      <c r="E38" s="156">
        <f t="shared" ref="E38:L38" si="11">IF(ISERROR(E68/E69),0,(E68/E69))</f>
        <v>20.973837935191611</v>
      </c>
      <c r="F38" s="157">
        <f t="shared" si="11"/>
        <v>19.844148189387738</v>
      </c>
      <c r="G38" s="155">
        <f t="shared" si="11"/>
        <v>21.967180386955327</v>
      </c>
      <c r="H38" s="82">
        <f t="shared" si="11"/>
        <v>22.371449278628457</v>
      </c>
      <c r="I38" s="161">
        <f t="shared" si="11"/>
        <v>48884.907589327871</v>
      </c>
      <c r="J38" s="81">
        <f t="shared" si="11"/>
        <v>47006.282131571024</v>
      </c>
      <c r="K38" s="82">
        <f t="shared" si="11"/>
        <v>46094.986870053566</v>
      </c>
      <c r="L38" s="762">
        <f t="shared" si="11"/>
        <v>0</v>
      </c>
      <c r="O38" s="40"/>
    </row>
    <row r="39" spans="1:15" ht="25.5" x14ac:dyDescent="0.25">
      <c r="A39" s="72" t="s">
        <v>283</v>
      </c>
      <c r="B39" s="104" t="s">
        <v>49</v>
      </c>
      <c r="C39" s="69"/>
      <c r="D39" s="150">
        <f>IF(ISERROR(D70/D71),0,(D70/D71))</f>
        <v>0.29064912473499727</v>
      </c>
      <c r="E39" s="86">
        <f t="shared" ref="E39:L39" si="12">IF(ISERROR(E70/E71),0,(E70/E71))</f>
        <v>0.30001754403012587</v>
      </c>
      <c r="F39" s="153">
        <f t="shared" si="12"/>
        <v>0.35125979969382387</v>
      </c>
      <c r="G39" s="78">
        <f t="shared" si="12"/>
        <v>0.27952316624357143</v>
      </c>
      <c r="H39" s="159">
        <f t="shared" si="12"/>
        <v>0.27952316624357143</v>
      </c>
      <c r="I39" s="160">
        <f t="shared" si="12"/>
        <v>0.27952316624357143</v>
      </c>
      <c r="J39" s="78">
        <f t="shared" si="12"/>
        <v>0.285177126541246</v>
      </c>
      <c r="K39" s="79">
        <f t="shared" si="12"/>
        <v>0.29092041466572782</v>
      </c>
      <c r="L39" s="760">
        <f t="shared" si="12"/>
        <v>0.29038733701443753</v>
      </c>
      <c r="O39" s="40"/>
    </row>
    <row r="40" spans="1:15" ht="25.5" x14ac:dyDescent="0.25">
      <c r="A40" s="128" t="s">
        <v>169</v>
      </c>
      <c r="B40" s="108" t="s">
        <v>18</v>
      </c>
      <c r="C40" s="87"/>
      <c r="D40" s="193">
        <f>IF(ISERROR(D72/D73),0,(D72/D73))</f>
        <v>0.14708072842028239</v>
      </c>
      <c r="E40" s="88">
        <f t="shared" ref="E40:L40" si="13">IF(ISERROR(E72/E73),0,(E72/E73))</f>
        <v>0.10344371917412175</v>
      </c>
      <c r="F40" s="158">
        <f t="shared" si="13"/>
        <v>9.0793690835944008E-3</v>
      </c>
      <c r="G40" s="162">
        <f t="shared" si="13"/>
        <v>7.8136262845433971E-2</v>
      </c>
      <c r="H40" s="89">
        <f t="shared" si="13"/>
        <v>9.1078064793014862E-2</v>
      </c>
      <c r="I40" s="163">
        <f t="shared" si="13"/>
        <v>9.1078064793014862E-2</v>
      </c>
      <c r="J40" s="162">
        <f t="shared" si="13"/>
        <v>8.6523347146850352E-2</v>
      </c>
      <c r="K40" s="89">
        <f t="shared" si="13"/>
        <v>8.6278896705271071E-2</v>
      </c>
      <c r="L40" s="163">
        <f t="shared" si="13"/>
        <v>8.5168912983118947E-2</v>
      </c>
    </row>
    <row r="41" spans="1:15" ht="12.75" customHeight="1" x14ac:dyDescent="0.25">
      <c r="A41" s="33" t="s">
        <v>163</v>
      </c>
      <c r="B41" s="40"/>
      <c r="C41" s="40"/>
      <c r="D41" s="40"/>
      <c r="E41" s="40"/>
      <c r="F41" s="40"/>
      <c r="G41" s="40"/>
      <c r="H41" s="40"/>
      <c r="I41" s="40"/>
      <c r="J41" s="40"/>
      <c r="K41" s="40"/>
      <c r="L41" s="40"/>
    </row>
    <row r="42" spans="1:15" ht="12.75" customHeight="1" x14ac:dyDescent="0.25">
      <c r="A42" s="45" t="s">
        <v>292</v>
      </c>
      <c r="B42" s="40"/>
      <c r="C42" s="40"/>
      <c r="D42" s="40"/>
      <c r="E42" s="40"/>
      <c r="F42" s="40"/>
      <c r="G42" s="40"/>
      <c r="H42" s="40"/>
      <c r="I42" s="40"/>
      <c r="J42" s="40"/>
      <c r="K42" s="40"/>
      <c r="L42" s="40"/>
    </row>
    <row r="43" spans="1:15" ht="12.75" customHeight="1" x14ac:dyDescent="0.25">
      <c r="A43" s="45" t="s">
        <v>294</v>
      </c>
      <c r="B43" s="40"/>
      <c r="C43" s="40"/>
      <c r="D43" s="40"/>
      <c r="E43" s="40"/>
      <c r="F43" s="40"/>
      <c r="G43" s="40"/>
      <c r="H43" s="40"/>
      <c r="I43" s="40"/>
      <c r="J43" s="40"/>
      <c r="K43" s="40"/>
      <c r="L43" s="40"/>
    </row>
    <row r="44" spans="1:15" ht="12.75" customHeight="1" x14ac:dyDescent="0.25">
      <c r="A44" s="40"/>
      <c r="B44" s="40"/>
      <c r="C44" s="40"/>
      <c r="D44" s="40"/>
      <c r="E44" s="40"/>
      <c r="F44" s="40"/>
      <c r="G44" s="40"/>
      <c r="H44" s="40"/>
      <c r="I44" s="40"/>
      <c r="J44" s="40"/>
      <c r="K44" s="40"/>
      <c r="L44" s="40"/>
    </row>
    <row r="45" spans="1:15" ht="12.75" customHeight="1" x14ac:dyDescent="0.25">
      <c r="A45" s="67" t="s">
        <v>419</v>
      </c>
      <c r="B45" s="40"/>
      <c r="C45" s="40"/>
      <c r="D45" s="48"/>
      <c r="E45" s="48"/>
      <c r="F45" s="48"/>
      <c r="G45" s="48"/>
      <c r="H45" s="48"/>
      <c r="I45" s="48"/>
      <c r="J45" s="48"/>
      <c r="K45" s="48"/>
      <c r="L45" s="48"/>
    </row>
    <row r="46" spans="1:15" ht="12.75" customHeight="1" x14ac:dyDescent="0.25">
      <c r="A46" s="40" t="str">
        <f>'D4-FinPos'!A37</f>
        <v>Borrowing</v>
      </c>
      <c r="B46" s="40"/>
      <c r="C46" s="40"/>
      <c r="D46" s="141">
        <f>'D4-FinPos'!C37</f>
        <v>0</v>
      </c>
      <c r="E46" s="141">
        <f>'D4-FinPos'!D37</f>
        <v>0</v>
      </c>
      <c r="F46" s="141">
        <f>'D4-FinPos'!E37</f>
        <v>0</v>
      </c>
      <c r="G46" s="141">
        <f>'D4-FinPos'!F37</f>
        <v>0</v>
      </c>
      <c r="H46" s="83">
        <f>'D4-FinPos'!G37</f>
        <v>0</v>
      </c>
      <c r="I46" s="83">
        <f>'D4-FinPos'!H37</f>
        <v>0</v>
      </c>
      <c r="J46" s="83">
        <f>'D4-FinPos'!I37</f>
        <v>0</v>
      </c>
      <c r="K46" s="83">
        <f>'D4-FinPos'!J37</f>
        <v>0</v>
      </c>
      <c r="L46" s="83">
        <f>'D4-FinPos'!K37</f>
        <v>0</v>
      </c>
    </row>
    <row r="47" spans="1:15" ht="12.75" customHeight="1" x14ac:dyDescent="0.25">
      <c r="A47" s="40" t="str">
        <f>'D4-FinPos'!A25</f>
        <v>TOTAL ASSETS</v>
      </c>
      <c r="B47" s="40"/>
      <c r="C47" s="40"/>
      <c r="D47" s="666">
        <f>'D4-FinPos'!C25</f>
        <v>5096584685</v>
      </c>
      <c r="E47" s="666">
        <f>'D4-FinPos'!D25</f>
        <v>5103799797</v>
      </c>
      <c r="F47" s="666">
        <f>'D4-FinPos'!E25</f>
        <v>5344344199</v>
      </c>
      <c r="G47" s="666">
        <f>'D4-FinPos'!F25</f>
        <v>5330867320</v>
      </c>
      <c r="H47" s="667">
        <f>'D4-FinPos'!G25</f>
        <v>5304387320</v>
      </c>
      <c r="I47" s="667">
        <f>'D4-FinPos'!H25</f>
        <v>5304387320</v>
      </c>
      <c r="J47" s="667">
        <f>'D4-FinPos'!I25</f>
        <v>5432869994.125</v>
      </c>
      <c r="K47" s="667">
        <f>'D4-FinPos'!J25</f>
        <v>5689692536.6061697</v>
      </c>
      <c r="L47" s="667">
        <f>'D4-FinPos'!K25</f>
        <v>5958719088.9591541</v>
      </c>
    </row>
    <row r="48" spans="1:15" ht="12.75" customHeight="1" x14ac:dyDescent="0.25">
      <c r="A48" s="40" t="str">
        <f>'D2-FinPerf'!A28</f>
        <v>Finance charges</v>
      </c>
      <c r="B48" s="40"/>
      <c r="C48" s="40"/>
      <c r="D48" s="666">
        <f>'D2-FinPerf'!C28</f>
        <v>210207777</v>
      </c>
      <c r="E48" s="666">
        <f>'D2-FinPerf'!D28</f>
        <v>117459</v>
      </c>
      <c r="F48" s="666">
        <f>'D2-FinPerf'!E28</f>
        <v>9340427.5199999996</v>
      </c>
      <c r="G48" s="666">
        <f>'D2-FinPerf'!F28</f>
        <v>54163</v>
      </c>
      <c r="H48" s="667">
        <f>'D2-FinPerf'!G28</f>
        <v>54163</v>
      </c>
      <c r="I48" s="667">
        <f>'D2-FinPerf'!H28</f>
        <v>54163</v>
      </c>
      <c r="J48" s="667">
        <f>'D2-FinPerf'!I28</f>
        <v>56600.334999999999</v>
      </c>
      <c r="K48" s="667">
        <f>'D2-FinPerf'!J28</f>
        <v>59203.950409999998</v>
      </c>
      <c r="L48" s="667">
        <f>'D2-FinPerf'!K28</f>
        <v>61927.332128859998</v>
      </c>
    </row>
    <row r="49" spans="1:12" ht="12.75" customHeight="1" x14ac:dyDescent="0.25">
      <c r="A49" s="40" t="str">
        <f>'D2-FinPerf'!A27</f>
        <v>Depreciation &amp; asset impairment</v>
      </c>
      <c r="B49" s="40"/>
      <c r="C49" s="40"/>
      <c r="D49" s="666">
        <f>'D2-FinPerf'!C26</f>
        <v>-16676565</v>
      </c>
      <c r="E49" s="666">
        <f>'D2-FinPerf'!D26</f>
        <v>24223327</v>
      </c>
      <c r="F49" s="666">
        <f>'D2-FinPerf'!E26</f>
        <v>-52208035.170000002</v>
      </c>
      <c r="G49" s="666">
        <f>'D2-FinPerf'!F26</f>
        <v>8888718</v>
      </c>
      <c r="H49" s="667">
        <f>'D2-FinPerf'!G26</f>
        <v>8888718</v>
      </c>
      <c r="I49" s="667">
        <f>'D2-FinPerf'!H26</f>
        <v>8888718</v>
      </c>
      <c r="J49" s="667">
        <f>'D2-FinPerf'!I26</f>
        <v>9297599.0280000009</v>
      </c>
      <c r="K49" s="667">
        <f>'D2-FinPerf'!J26</f>
        <v>9743883.7813440003</v>
      </c>
      <c r="L49" s="667">
        <f>'D2-FinPerf'!K26</f>
        <v>10211590.202848513</v>
      </c>
    </row>
    <row r="50" spans="1:12" ht="12.75" customHeight="1" x14ac:dyDescent="0.25">
      <c r="A50" s="40" t="str">
        <f>'D2-FinPerf'!A35</f>
        <v>Total Expenditure</v>
      </c>
      <c r="B50" s="40"/>
      <c r="C50" s="40"/>
      <c r="D50" s="666">
        <f>'D2-FinPerf'!C35</f>
        <v>2339946743.2600002</v>
      </c>
      <c r="E50" s="666">
        <f>'D2-FinPerf'!D35</f>
        <v>2195931544.3400002</v>
      </c>
      <c r="F50" s="666">
        <f>'D2-FinPerf'!E35</f>
        <v>2441390599.8499999</v>
      </c>
      <c r="G50" s="666">
        <f>'D2-FinPerf'!F35</f>
        <v>2608353477</v>
      </c>
      <c r="H50" s="667">
        <f>'D2-FinPerf'!G35</f>
        <v>2238980696</v>
      </c>
      <c r="I50" s="667">
        <f>'D2-FinPerf'!H35</f>
        <v>2238980696</v>
      </c>
      <c r="J50" s="667">
        <f>'D2-FinPerf'!I35</f>
        <v>2462421864.7990003</v>
      </c>
      <c r="K50" s="667">
        <f>'D2-FinPerf'!J35</f>
        <v>2582981917.0908222</v>
      </c>
      <c r="L50" s="667">
        <f>'D2-FinPerf'!K35</f>
        <v>2736897568.8041706</v>
      </c>
    </row>
    <row r="51" spans="1:12" ht="12.75" customHeight="1" x14ac:dyDescent="0.25">
      <c r="A51" s="40" t="str">
        <f>'D5-CFlow'!A33</f>
        <v>Borrowing long term/refinancing</v>
      </c>
      <c r="B51" s="40"/>
      <c r="C51" s="40"/>
      <c r="D51" s="666">
        <f>'D5-CFlow'!C33</f>
        <v>-8246111</v>
      </c>
      <c r="E51" s="666">
        <f>'D5-CFlow'!D33</f>
        <v>0</v>
      </c>
      <c r="F51" s="666">
        <f>'D5-CFlow'!E33</f>
        <v>0</v>
      </c>
      <c r="G51" s="666">
        <f>'D5-CFlow'!F33</f>
        <v>0</v>
      </c>
      <c r="H51" s="667">
        <f>'D5-CFlow'!G33</f>
        <v>0</v>
      </c>
      <c r="I51" s="667">
        <f>'D5-CFlow'!H33</f>
        <v>0</v>
      </c>
      <c r="J51" s="667">
        <f>'D5-CFlow'!I33</f>
        <v>0</v>
      </c>
      <c r="K51" s="667">
        <f>'D5-CFlow'!J33</f>
        <v>0</v>
      </c>
      <c r="L51" s="667">
        <f>'D5-CFlow'!K33</f>
        <v>0</v>
      </c>
    </row>
    <row r="52" spans="1:12" ht="12.75" customHeight="1" x14ac:dyDescent="0.25">
      <c r="A52" s="40" t="s">
        <v>835</v>
      </c>
      <c r="B52" s="40"/>
      <c r="C52" s="40"/>
      <c r="D52" s="666">
        <f>'D3-Capex'!C167</f>
        <v>222562922.25000003</v>
      </c>
      <c r="E52" s="666">
        <f>'D3-Capex'!D167</f>
        <v>118986262.99999999</v>
      </c>
      <c r="F52" s="666">
        <f>'D3-Capex'!E167</f>
        <v>178299145.59999996</v>
      </c>
      <c r="G52" s="666">
        <f>'D3-Capex'!F167</f>
        <v>145638821</v>
      </c>
      <c r="H52" s="667">
        <f>'D3-Capex'!G167</f>
        <v>119158821</v>
      </c>
      <c r="I52" s="667">
        <f>'D3-Capex'!H167</f>
        <v>119158821</v>
      </c>
      <c r="J52" s="667">
        <f>'D3-Capex'!I167</f>
        <v>169725000.458</v>
      </c>
      <c r="K52" s="667">
        <f>'D3-Capex'!J167</f>
        <v>124041374.831984</v>
      </c>
      <c r="L52" s="667">
        <f>'D3-Capex'!K167</f>
        <v>129048133.50332275</v>
      </c>
    </row>
    <row r="53" spans="1:12" ht="12.75" customHeight="1" x14ac:dyDescent="0.25">
      <c r="A53" s="40" t="s">
        <v>391</v>
      </c>
      <c r="B53" s="40"/>
      <c r="C53" s="40"/>
      <c r="D53" s="666">
        <f>'D3-Capex'!C174</f>
        <v>20267571</v>
      </c>
      <c r="E53" s="666">
        <f>'D3-Capex'!D174</f>
        <v>29018784</v>
      </c>
      <c r="F53" s="666">
        <f>'D3-Capex'!E174</f>
        <v>23648812.539999999</v>
      </c>
      <c r="G53" s="666">
        <f>'D3-Capex'!F174</f>
        <v>37408079</v>
      </c>
      <c r="H53" s="667">
        <f>'D3-Capex'!G174</f>
        <v>72883380</v>
      </c>
      <c r="I53" s="667">
        <f>'D3-Capex'!H174</f>
        <v>72883380</v>
      </c>
      <c r="J53" s="667">
        <f>'D3-Capex'!I174</f>
        <v>69432826.634000003</v>
      </c>
      <c r="K53" s="667">
        <f>'D3-Capex'!J174</f>
        <v>37374178.464432001</v>
      </c>
      <c r="L53" s="667">
        <f>'D3-Capex'!K174</f>
        <v>40320048.582724735</v>
      </c>
    </row>
    <row r="54" spans="1:12" ht="12.75" customHeight="1" x14ac:dyDescent="0.25">
      <c r="A54" s="40" t="s">
        <v>37</v>
      </c>
      <c r="B54" s="40"/>
      <c r="C54" s="40"/>
      <c r="D54" s="666">
        <f>'D3-Capex'!C175</f>
        <v>0</v>
      </c>
      <c r="E54" s="666">
        <f>'D3-Capex'!D175</f>
        <v>0</v>
      </c>
      <c r="F54" s="666">
        <f>'D3-Capex'!E175</f>
        <v>0</v>
      </c>
      <c r="G54" s="666">
        <f>'D3-Capex'!F175</f>
        <v>0</v>
      </c>
      <c r="H54" s="667">
        <f>'D3-Capex'!G175</f>
        <v>0</v>
      </c>
      <c r="I54" s="667">
        <f>'D3-Capex'!H175</f>
        <v>0</v>
      </c>
      <c r="J54" s="667">
        <f>'D3-Capex'!I175</f>
        <v>0</v>
      </c>
      <c r="K54" s="667">
        <f>'D3-Capex'!J175</f>
        <v>0</v>
      </c>
      <c r="L54" s="667">
        <f>'D3-Capex'!K175</f>
        <v>0</v>
      </c>
    </row>
    <row r="55" spans="1:12" ht="12.75" customHeight="1" x14ac:dyDescent="0.25">
      <c r="A55" s="40" t="s">
        <v>421</v>
      </c>
      <c r="B55" s="40"/>
      <c r="C55" s="40"/>
      <c r="D55" s="666">
        <f>'D4-FinPos'!C37+'D4-FinPos'!C32+'D4-FinPos'!C29+'D4-FinPos'!C30</f>
        <v>498999891</v>
      </c>
      <c r="E55" s="666">
        <f>'D4-FinPos'!D37+'D4-FinPos'!D32+'D4-FinPos'!D29+'D4-FinPos'!D30</f>
        <v>565612500</v>
      </c>
      <c r="F55" s="666">
        <f>'D4-FinPos'!E37+'D4-FinPos'!E32+'D4-FinPos'!E29+'D4-FinPos'!E30</f>
        <v>876260393</v>
      </c>
      <c r="G55" s="666">
        <f>'D4-FinPos'!F37+'D4-FinPos'!F32+'D4-FinPos'!F29+'D4-FinPos'!F30</f>
        <v>538834351</v>
      </c>
      <c r="H55" s="667">
        <f>'D4-FinPos'!G37+'D4-FinPos'!G32+'D4-FinPos'!G29+'D4-FinPos'!G30</f>
        <v>538834351</v>
      </c>
      <c r="I55" s="667">
        <f>'D4-FinPos'!H37+'D4-FinPos'!H32+'D4-FinPos'!H29+'D4-FinPos'!H30</f>
        <v>538834351</v>
      </c>
      <c r="J55" s="667">
        <f>'D4-FinPos'!I37+'D4-FinPos'!I32+'D4-FinPos'!I29+'D4-FinPos'!I30</f>
        <v>563081896.79499996</v>
      </c>
      <c r="K55" s="667">
        <f>'D4-FinPos'!J37+'D4-FinPos'!J32+'D4-FinPos'!J29+'D4-FinPos'!J30</f>
        <v>588983664.04756999</v>
      </c>
      <c r="L55" s="667">
        <f>'D4-FinPos'!K37+'D4-FinPos'!K32+'D4-FinPos'!K29+'D4-FinPos'!K30</f>
        <v>616076912.59375823</v>
      </c>
    </row>
    <row r="56" spans="1:12" ht="12.75" customHeight="1" x14ac:dyDescent="0.25">
      <c r="A56" s="40" t="str">
        <f>'D4-FinPos'!A48</f>
        <v>TOTAL COMMUNITY WEALTH/EQUITY</v>
      </c>
      <c r="B56" s="40"/>
      <c r="C56" s="40"/>
      <c r="D56" s="666">
        <f>'D4-FinPos'!C48</f>
        <v>2225986290</v>
      </c>
      <c r="E56" s="666">
        <f>'D4-FinPos'!D48</f>
        <v>3829471342</v>
      </c>
      <c r="F56" s="666">
        <f>'D4-FinPos'!E48</f>
        <v>3633703301.1900001</v>
      </c>
      <c r="G56" s="666">
        <f>'D4-FinPos'!F48</f>
        <v>4038601333</v>
      </c>
      <c r="H56" s="667">
        <f>'D4-FinPos'!G48</f>
        <v>4012121333</v>
      </c>
      <c r="I56" s="667">
        <f>'D4-FinPos'!H48</f>
        <v>4012121333</v>
      </c>
      <c r="J56" s="667">
        <f>'D4-FinPos'!I48</f>
        <v>4079956934.4699993</v>
      </c>
      <c r="K56" s="667">
        <f>'D4-FinPos'!J48</f>
        <v>4273236794.5576596</v>
      </c>
      <c r="L56" s="667">
        <f>'D4-FinPos'!K48</f>
        <v>4475734884.4078617</v>
      </c>
    </row>
    <row r="57" spans="1:12" ht="12.75" customHeight="1" x14ac:dyDescent="0.25">
      <c r="A57" s="40" t="str">
        <f>'D4-FinPos'!A37</f>
        <v>Borrowing</v>
      </c>
      <c r="B57" s="40"/>
      <c r="C57" s="40"/>
      <c r="D57" s="666">
        <f>'D4-FinPos'!C37</f>
        <v>0</v>
      </c>
      <c r="E57" s="666">
        <f>'D4-FinPos'!D37</f>
        <v>0</v>
      </c>
      <c r="F57" s="666">
        <f>'D4-FinPos'!E37</f>
        <v>0</v>
      </c>
      <c r="G57" s="666">
        <f>'D4-FinPos'!F37</f>
        <v>0</v>
      </c>
      <c r="H57" s="666">
        <f>'D4-FinPos'!G37</f>
        <v>0</v>
      </c>
      <c r="I57" s="666">
        <f>'D4-FinPos'!H37</f>
        <v>0</v>
      </c>
      <c r="J57" s="666">
        <f>'D4-FinPos'!I37</f>
        <v>0</v>
      </c>
      <c r="K57" s="666">
        <f>'D4-FinPos'!J37</f>
        <v>0</v>
      </c>
      <c r="L57" s="666">
        <f>'D4-FinPos'!K37</f>
        <v>0</v>
      </c>
    </row>
    <row r="58" spans="1:12" ht="12.75" customHeight="1" x14ac:dyDescent="0.25">
      <c r="A58" s="40" t="str">
        <f>'D4-FinPos'!A12</f>
        <v>Total current assets</v>
      </c>
      <c r="B58" s="40"/>
      <c r="C58" s="40"/>
      <c r="D58" s="666">
        <f>'D4-FinPos'!C12</f>
        <v>909166016</v>
      </c>
      <c r="E58" s="666">
        <f>'D4-FinPos'!D12</f>
        <v>888229644</v>
      </c>
      <c r="F58" s="666">
        <f>'D4-FinPos'!E12</f>
        <v>937401927</v>
      </c>
      <c r="G58" s="666">
        <f>'D4-FinPos'!F12</f>
        <v>958632755</v>
      </c>
      <c r="H58" s="666">
        <f>'D4-FinPos'!G12</f>
        <v>958632755</v>
      </c>
      <c r="I58" s="666">
        <f>'D4-FinPos'!H12</f>
        <v>958632755</v>
      </c>
      <c r="J58" s="666">
        <f>'D4-FinPos'!I12</f>
        <v>1001771228.9749999</v>
      </c>
      <c r="K58" s="666">
        <f>'D4-FinPos'!J12</f>
        <v>1047852705.5078498</v>
      </c>
      <c r="L58" s="666">
        <f>'D4-FinPos'!K12</f>
        <v>1096053929.9612112</v>
      </c>
    </row>
    <row r="59" spans="1:12" ht="12.75" customHeight="1" x14ac:dyDescent="0.25">
      <c r="A59" s="40" t="str">
        <f>'D4-FinPos'!A34</f>
        <v>Total current liabilities</v>
      </c>
      <c r="B59" s="40"/>
      <c r="C59" s="40"/>
      <c r="D59" s="666">
        <f>'D4-FinPos'!C34</f>
        <v>614352980</v>
      </c>
      <c r="E59" s="666">
        <f>'D4-FinPos'!D34</f>
        <v>680083556</v>
      </c>
      <c r="F59" s="666">
        <f>'D4-FinPos'!E34</f>
        <v>1022687787</v>
      </c>
      <c r="G59" s="666">
        <f>'D4-FinPos'!F34</f>
        <v>668490177</v>
      </c>
      <c r="H59" s="666">
        <f>'D4-FinPos'!G34</f>
        <v>668490177</v>
      </c>
      <c r="I59" s="666">
        <f>'D4-FinPos'!H34</f>
        <v>668490177</v>
      </c>
      <c r="J59" s="666">
        <f>'D4-FinPos'!I34</f>
        <v>698572234.96500003</v>
      </c>
      <c r="K59" s="666">
        <f>'D4-FinPos'!J34</f>
        <v>730706557.77338994</v>
      </c>
      <c r="L59" s="666">
        <f>'D4-FinPos'!K34</f>
        <v>764319059.43096602</v>
      </c>
    </row>
    <row r="60" spans="1:12" ht="12.75" customHeight="1" x14ac:dyDescent="0.25">
      <c r="A60" s="40" t="s">
        <v>422</v>
      </c>
      <c r="B60" s="40"/>
      <c r="C60" s="40"/>
      <c r="D60" s="668"/>
      <c r="E60" s="668"/>
      <c r="F60" s="668"/>
      <c r="G60" s="668"/>
      <c r="H60" s="668"/>
      <c r="I60" s="668"/>
      <c r="J60" s="668"/>
      <c r="K60" s="668"/>
      <c r="L60" s="668"/>
    </row>
    <row r="61" spans="1:12" ht="12.75" customHeight="1" x14ac:dyDescent="0.25">
      <c r="A61" s="40" t="s">
        <v>423</v>
      </c>
      <c r="B61" s="40"/>
      <c r="C61" s="40"/>
      <c r="D61" s="666">
        <f>'D4-FinPos'!C6+'D4-FinPos'!C7-'D4-FinPos'!C29</f>
        <v>207869198</v>
      </c>
      <c r="E61" s="666">
        <f>'D4-FinPos'!D6+'D4-FinPos'!D7-'D4-FinPos'!D29</f>
        <v>134733187</v>
      </c>
      <c r="F61" s="666">
        <f>'D4-FinPos'!E6+'D4-FinPos'!E7-'D4-FinPos'!E29</f>
        <v>13555909</v>
      </c>
      <c r="G61" s="666">
        <f>'D4-FinPos'!F6+'D4-FinPos'!F7-'D4-FinPos'!F29</f>
        <v>121867477</v>
      </c>
      <c r="H61" s="667">
        <f>'D4-FinPos'!G6+'D4-FinPos'!G7-'D4-FinPos'!G29</f>
        <v>121867477</v>
      </c>
      <c r="I61" s="667">
        <f>'D4-FinPos'!H6+'D4-FinPos'!H7-'D4-FinPos'!H29</f>
        <v>121867477</v>
      </c>
      <c r="J61" s="667">
        <f>'D4-FinPos'!I6+'D4-FinPos'!I7-'D4-FinPos'!I29</f>
        <v>127351513.46499999</v>
      </c>
      <c r="K61" s="667">
        <f>'D4-FinPos'!J6+'D4-FinPos'!J7-'D4-FinPos'!J29</f>
        <v>133209683.08438998</v>
      </c>
      <c r="L61" s="667">
        <f>'D4-FinPos'!K6+'D4-FinPos'!K7-'D4-FinPos'!K29</f>
        <v>139337328.50627193</v>
      </c>
    </row>
    <row r="62" spans="1:12" ht="12.75" customHeight="1" x14ac:dyDescent="0.25">
      <c r="A62" s="40" t="s">
        <v>424</v>
      </c>
      <c r="B62" s="40"/>
      <c r="C62" s="40"/>
      <c r="D62" s="666"/>
      <c r="E62" s="666">
        <f>'D5-CFlow'!C6</f>
        <v>0</v>
      </c>
      <c r="F62" s="666">
        <f>'D5-CFlow'!D6</f>
        <v>0</v>
      </c>
      <c r="G62" s="666">
        <f>'D5-CFlow'!E6</f>
        <v>0</v>
      </c>
      <c r="H62" s="667">
        <f>'D5-CFlow'!F6</f>
        <v>0</v>
      </c>
      <c r="I62" s="667">
        <f>'D5-CFlow'!G6</f>
        <v>0</v>
      </c>
      <c r="J62" s="667">
        <f>'D5-CFlow'!H6</f>
        <v>0</v>
      </c>
      <c r="K62" s="667">
        <f>'D5-CFlow'!I6</f>
        <v>0</v>
      </c>
      <c r="L62" s="667">
        <f>'D5-CFlow'!J6</f>
        <v>0</v>
      </c>
    </row>
    <row r="63" spans="1:12" ht="12.75" customHeight="1" x14ac:dyDescent="0.25">
      <c r="A63" s="40" t="s">
        <v>425</v>
      </c>
      <c r="B63" s="40"/>
      <c r="C63" s="40"/>
      <c r="D63" s="666"/>
      <c r="E63" s="666">
        <f>SUM('D2-FinPerf'!C5:C11)+SUM('D2-FinPerf'!C15:C17)+'D2-FinPerf'!C19</f>
        <v>2182438989</v>
      </c>
      <c r="F63" s="666">
        <f>SUM('D2-FinPerf'!D5:D11)+SUM('D2-FinPerf'!D15:D17)+'D2-FinPerf'!D19</f>
        <v>2328184231</v>
      </c>
      <c r="G63" s="666">
        <f>SUM('D2-FinPerf'!E5:E11)+SUM('D2-FinPerf'!E15:E17)+'D2-FinPerf'!E19</f>
        <v>2417349694.5400004</v>
      </c>
      <c r="H63" s="667">
        <f>SUM('D2-FinPerf'!F5:F11)+SUM('D2-FinPerf'!F15:F17)+'D2-FinPerf'!F19</f>
        <v>2694938018</v>
      </c>
      <c r="I63" s="667">
        <f>SUM('D2-FinPerf'!G5:G11)+SUM('D2-FinPerf'!G15:G17)+'D2-FinPerf'!G19</f>
        <v>2744938018</v>
      </c>
      <c r="J63" s="667">
        <f>SUM('D2-FinPerf'!H5:H11)+SUM('D2-FinPerf'!H15:H17)+'D2-FinPerf'!H19</f>
        <v>2744938018</v>
      </c>
      <c r="K63" s="667">
        <f>SUM('D2-FinPerf'!I5:I11)+SUM('D2-FinPerf'!I15:I17)+'D2-FinPerf'!I19</f>
        <v>2764983118.388</v>
      </c>
      <c r="L63" s="667">
        <f>SUM('D2-FinPerf'!J5:J11)+SUM('D2-FinPerf'!J15:J17)+'D2-FinPerf'!J19</f>
        <v>2835702308.5506244</v>
      </c>
    </row>
    <row r="64" spans="1:12" ht="12.75" customHeight="1" x14ac:dyDescent="0.25">
      <c r="A64" s="40" t="s">
        <v>426</v>
      </c>
      <c r="B64" s="40"/>
      <c r="C64" s="40"/>
      <c r="D64" s="666">
        <f>'D4-FinPos'!C8+'D4-FinPos'!C9+'D4-FinPos'!C10+'D4-FinPos'!C15</f>
        <v>629032710</v>
      </c>
      <c r="E64" s="666">
        <f>'D4-FinPos'!D8+'D4-FinPos'!D9+'D4-FinPos'!D10+'D4-FinPos'!D15</f>
        <v>658313846</v>
      </c>
      <c r="F64" s="666">
        <f>'D4-FinPos'!E8+'D4-FinPos'!E9+'D4-FinPos'!E10+'D4-FinPos'!E15</f>
        <v>840371915</v>
      </c>
      <c r="G64" s="666">
        <f>'D4-FinPos'!F8+'D4-FinPos'!F9+'D4-FinPos'!F10+'D4-FinPos'!F15</f>
        <v>747005277</v>
      </c>
      <c r="H64" s="667">
        <f>'D4-FinPos'!G8+'D4-FinPos'!G9+'D4-FinPos'!G10+'D4-FinPos'!G15</f>
        <v>747005277</v>
      </c>
      <c r="I64" s="667">
        <f>'D4-FinPos'!H8+'D4-FinPos'!H9+'D4-FinPos'!H10+'D4-FinPos'!H15</f>
        <v>747005277</v>
      </c>
      <c r="J64" s="667">
        <f>'D4-FinPos'!I8+'D4-FinPos'!I9+'D4-FinPos'!I10+'D4-FinPos'!I15</f>
        <v>780620514.46499991</v>
      </c>
      <c r="K64" s="667">
        <f>'D4-FinPos'!J8+'D4-FinPos'!J9+'D4-FinPos'!J10+'D4-FinPos'!J15</f>
        <v>816529058.13038993</v>
      </c>
      <c r="L64" s="667">
        <f>'D4-FinPos'!K8+'D4-FinPos'!K9+'D4-FinPos'!K10+'D4-FinPos'!K15</f>
        <v>854089394.80438793</v>
      </c>
    </row>
    <row r="65" spans="1:12" ht="12.75" customHeight="1" x14ac:dyDescent="0.25">
      <c r="A65" s="40" t="str">
        <f>'D2-FinPerf'!A21</f>
        <v>Total Revenue (excluding capital transfers and contributions)</v>
      </c>
      <c r="B65" s="40"/>
      <c r="C65" s="40"/>
      <c r="D65" s="666">
        <f>'D2-FinPerf'!C21</f>
        <v>2215235860</v>
      </c>
      <c r="E65" s="666">
        <f>'D2-FinPerf'!D21</f>
        <v>2354877012</v>
      </c>
      <c r="F65" s="666">
        <f>'D2-FinPerf'!E21</f>
        <v>2454325400.5100002</v>
      </c>
      <c r="G65" s="666">
        <f>'D2-FinPerf'!F21</f>
        <v>2716902146</v>
      </c>
      <c r="H65" s="667">
        <f>'D2-FinPerf'!G21</f>
        <v>2766902146</v>
      </c>
      <c r="I65" s="667">
        <f>'D2-FinPerf'!H21</f>
        <v>2766902146</v>
      </c>
      <c r="J65" s="667">
        <f>'D2-FinPerf'!I21</f>
        <v>2852390422.9099998</v>
      </c>
      <c r="K65" s="667">
        <f>'D2-FinPerf'!J21</f>
        <v>2891913739.84168</v>
      </c>
      <c r="L65" s="667">
        <f>'D2-FinPerf'!K21</f>
        <v>3031653508.9346209</v>
      </c>
    </row>
    <row r="66" spans="1:12" ht="12.75" customHeight="1" x14ac:dyDescent="0.25">
      <c r="A66" s="40" t="str">
        <f>'D2-FinPerf'!A24</f>
        <v>Employee related costs</v>
      </c>
      <c r="B66" s="40"/>
      <c r="C66" s="40"/>
      <c r="D66" s="666">
        <f>'D2-FinPerf'!C24</f>
        <v>203601077.27000001</v>
      </c>
      <c r="E66" s="666">
        <f>'D2-FinPerf'!D24</f>
        <v>302450932.33999997</v>
      </c>
      <c r="F66" s="666">
        <f>'D2-FinPerf'!E24</f>
        <v>347493787.24000001</v>
      </c>
      <c r="G66" s="666">
        <f>'D2-FinPerf'!F24</f>
        <v>344699027</v>
      </c>
      <c r="H66" s="667">
        <f>'D2-FinPerf'!G24</f>
        <v>345196091</v>
      </c>
      <c r="I66" s="667">
        <f>'D2-FinPerf'!H24</f>
        <v>345196091</v>
      </c>
      <c r="J66" s="667">
        <f>'D2-FinPerf'!I24</f>
        <v>369359817.37000006</v>
      </c>
      <c r="K66" s="667">
        <f>'D2-FinPerf'!J24</f>
        <v>395215004.58590007</v>
      </c>
      <c r="L66" s="667">
        <f>'D2-FinPerf'!K24</f>
        <v>422880054.90691304</v>
      </c>
    </row>
    <row r="67" spans="1:12" ht="12.75" customHeight="1" x14ac:dyDescent="0.25">
      <c r="A67" s="40" t="s">
        <v>427</v>
      </c>
      <c r="B67" s="40"/>
      <c r="C67" s="40"/>
      <c r="D67" s="666">
        <f>'D2-FinPerf'!C48</f>
        <v>0</v>
      </c>
      <c r="E67" s="666">
        <f>'D2-FinPerf'!D48</f>
        <v>0</v>
      </c>
      <c r="F67" s="666">
        <f>'D2-FinPerf'!E48</f>
        <v>0</v>
      </c>
      <c r="G67" s="666">
        <f>'D2-FinPerf'!F48</f>
        <v>0</v>
      </c>
      <c r="H67" s="667">
        <f>'D2-FinPerf'!G48</f>
        <v>0</v>
      </c>
      <c r="I67" s="667">
        <f>'D2-FinPerf'!H48</f>
        <v>0</v>
      </c>
      <c r="J67" s="667">
        <f>'D2-FinPerf'!I48</f>
        <v>0</v>
      </c>
      <c r="K67" s="667">
        <f>'D2-FinPerf'!J48</f>
        <v>0</v>
      </c>
      <c r="L67" s="667">
        <f>'D2-FinPerf'!K48</f>
        <v>0</v>
      </c>
    </row>
    <row r="68" spans="1:12" ht="12.75" customHeight="1" x14ac:dyDescent="0.25">
      <c r="A68" s="40" t="s">
        <v>428</v>
      </c>
      <c r="B68" s="40"/>
      <c r="C68" s="40"/>
      <c r="D68" s="666">
        <f>D65-'D2-FinPerf'!C18</f>
        <v>2215235860</v>
      </c>
      <c r="E68" s="666">
        <f>E65-'D2-FinPerf'!D18</f>
        <v>2354877012</v>
      </c>
      <c r="F68" s="666">
        <f>F65-'D2-FinPerf'!E18</f>
        <v>2454325400.5100002</v>
      </c>
      <c r="G68" s="666">
        <f>G65-'D2-FinPerf'!F18</f>
        <v>2716902146</v>
      </c>
      <c r="H68" s="667">
        <f>H65-'D2-FinPerf'!G18</f>
        <v>2766902146</v>
      </c>
      <c r="I68" s="667">
        <f>I65-'D2-FinPerf'!H18</f>
        <v>2766902146</v>
      </c>
      <c r="J68" s="667">
        <f>J65-'D2-FinPerf'!I18</f>
        <v>2782957596.276</v>
      </c>
      <c r="K68" s="667">
        <f>K65-'D2-FinPerf'!J18</f>
        <v>2854539561.3772478</v>
      </c>
      <c r="L68" s="667">
        <f>L65-'D2-FinPerf'!K18</f>
        <v>2991333460.3518963</v>
      </c>
    </row>
    <row r="69" spans="1:12" ht="12.75" customHeight="1" x14ac:dyDescent="0.25">
      <c r="A69" s="40" t="s">
        <v>429</v>
      </c>
      <c r="B69" s="40"/>
      <c r="C69" s="40"/>
      <c r="D69" s="668">
        <f>-('D5-CFlow'!D15+'D5-CFlow'!D36)</f>
        <v>62050</v>
      </c>
      <c r="E69" s="668">
        <f>-('D5-CFlow'!E15+'D5-CFlow'!E36)</f>
        <v>112276876.52</v>
      </c>
      <c r="F69" s="668">
        <f>-('D5-CFlow'!F15+'D5-CFlow'!F36)</f>
        <v>123680058.07488</v>
      </c>
      <c r="G69" s="668">
        <f>-('D5-CFlow'!G15+'D5-CFlow'!G36)</f>
        <v>123680058.07488</v>
      </c>
      <c r="H69" s="668">
        <f>-('D5-CFlow'!H15+'D5-CFlow'!H36)</f>
        <v>123680058.07488</v>
      </c>
      <c r="I69" s="668">
        <f>-('D5-CFlow'!I15+'D5-CFlow'!I36)</f>
        <v>56600.334999999999</v>
      </c>
      <c r="J69" s="668">
        <f>-('D5-CFlow'!J15+'D5-CFlow'!J36)</f>
        <v>59203.950409999998</v>
      </c>
      <c r="K69" s="668">
        <f>-('D5-CFlow'!K15+'D5-CFlow'!K36)</f>
        <v>61927.332128859998</v>
      </c>
      <c r="L69" s="668">
        <f>-('D5-CFlow'!L15+'D5-CFlow'!L36)</f>
        <v>0</v>
      </c>
    </row>
    <row r="70" spans="1:12" ht="12.75" customHeight="1" x14ac:dyDescent="0.25">
      <c r="A70" s="40" t="s">
        <v>430</v>
      </c>
      <c r="B70" s="40"/>
      <c r="C70" s="40"/>
      <c r="D70" s="666">
        <f>'D4-FinPos'!C8+'D4-FinPos'!C10+'D4-FinPos'!C15</f>
        <v>628757240</v>
      </c>
      <c r="E70" s="666">
        <f>'D4-FinPos'!D8+'D4-FinPos'!D10+'D4-FinPos'!D15</f>
        <v>658038376</v>
      </c>
      <c r="F70" s="666">
        <f>'D4-FinPos'!E8+'D4-FinPos'!E10+'D4-FinPos'!E15</f>
        <v>840371915</v>
      </c>
      <c r="G70" s="666">
        <f>'D4-FinPos'!F8+'D4-FinPos'!F10+'D4-FinPos'!F15</f>
        <v>747005277</v>
      </c>
      <c r="H70" s="667">
        <f>'D4-FinPos'!G8+'D4-FinPos'!G10+'D4-FinPos'!G15</f>
        <v>747005277</v>
      </c>
      <c r="I70" s="667">
        <f>'D4-FinPos'!H8+'D4-FinPos'!H10+'D4-FinPos'!H15</f>
        <v>747005277</v>
      </c>
      <c r="J70" s="667">
        <f>'D4-FinPos'!I8+'D4-FinPos'!I10+'D4-FinPos'!I15</f>
        <v>780620514.46499991</v>
      </c>
      <c r="K70" s="667">
        <f>'D4-FinPos'!J8+'D4-FinPos'!J10+'D4-FinPos'!J15</f>
        <v>816529058.13038993</v>
      </c>
      <c r="L70" s="667">
        <f>'D4-FinPos'!K8+'D4-FinPos'!K10+'D4-FinPos'!K15</f>
        <v>854089394.80438793</v>
      </c>
    </row>
    <row r="71" spans="1:12" ht="12.75" customHeight="1" x14ac:dyDescent="0.25">
      <c r="A71" s="40" t="s">
        <v>431</v>
      </c>
      <c r="B71" s="40"/>
      <c r="C71" s="40"/>
      <c r="D71" s="666">
        <f>SUM('D2-FinPerf'!C5:C10)</f>
        <v>2163286198</v>
      </c>
      <c r="E71" s="666">
        <f>SUM('D2-FinPerf'!D5:D10)</f>
        <v>2193332987</v>
      </c>
      <c r="F71" s="666">
        <f>SUM('D2-FinPerf'!E5:E10)</f>
        <v>2392451159.3200002</v>
      </c>
      <c r="G71" s="666">
        <f>SUM('D2-FinPerf'!F5:F10)</f>
        <v>2672427073</v>
      </c>
      <c r="H71" s="667">
        <f>SUM('D2-FinPerf'!G5:G10)</f>
        <v>2672427073</v>
      </c>
      <c r="I71" s="667">
        <f>SUM('D2-FinPerf'!H5:H10)</f>
        <v>2672427073</v>
      </c>
      <c r="J71" s="667">
        <f>SUM('D2-FinPerf'!I5:I10)</f>
        <v>2737318115</v>
      </c>
      <c r="K71" s="667">
        <f>SUM('D2-FinPerf'!J5:J10)</f>
        <v>2806709385</v>
      </c>
      <c r="L71" s="667">
        <f>SUM('D2-FinPerf'!K5:K10)</f>
        <v>2941207435.5085402</v>
      </c>
    </row>
    <row r="72" spans="1:12" ht="12.75" customHeight="1" x14ac:dyDescent="0.25">
      <c r="A72" s="40" t="s">
        <v>432</v>
      </c>
      <c r="B72" s="40"/>
      <c r="C72" s="40"/>
      <c r="D72" s="666">
        <f>'D4-FinPos'!C6+'D4-FinPos'!C7-'D4-FinPos'!C29</f>
        <v>207869198</v>
      </c>
      <c r="E72" s="666">
        <f>'D4-FinPos'!D6+'D4-FinPos'!D7-'D4-FinPos'!D29</f>
        <v>134733187</v>
      </c>
      <c r="F72" s="666">
        <f>'D4-FinPos'!E6+'D4-FinPos'!E7-'D4-FinPos'!E29</f>
        <v>13555909</v>
      </c>
      <c r="G72" s="666">
        <f>'D4-FinPos'!F6+'D4-FinPos'!F7-'D4-FinPos'!F29</f>
        <v>121867477</v>
      </c>
      <c r="H72" s="667">
        <f>'D4-FinPos'!G6+'D4-FinPos'!G7-'D4-FinPos'!G29</f>
        <v>121867477</v>
      </c>
      <c r="I72" s="667">
        <f>'D4-FinPos'!H6+'D4-FinPos'!H7-'D4-FinPos'!H29</f>
        <v>121867477</v>
      </c>
      <c r="J72" s="667">
        <f>'D4-FinPos'!I6+'D4-FinPos'!I7-'D4-FinPos'!I29</f>
        <v>127351513.46499999</v>
      </c>
      <c r="K72" s="667">
        <f>'D4-FinPos'!J6+'D4-FinPos'!J7-'D4-FinPos'!J29</f>
        <v>133209683.08438998</v>
      </c>
      <c r="L72" s="667">
        <f>'D4-FinPos'!K6+'D4-FinPos'!K7-'D4-FinPos'!K29</f>
        <v>139337328.50627193</v>
      </c>
    </row>
    <row r="73" spans="1:12" ht="12.75" customHeight="1" x14ac:dyDescent="0.25">
      <c r="A73" s="19" t="s">
        <v>434</v>
      </c>
      <c r="D73" s="666">
        <f>('D2-FinPerf'!C24+'D2-FinPerf'!C25+'D2-FinPerf'!C27+'D2-FinPerf'!C28+'D2-FinPerf'!C29+'D2-FinPerf'!C30+'D2-FinPerf'!C31+'D2-FinPerf'!C32+'D2-FinPerf'!C33)*'SD2'!D74</f>
        <v>1413300030.756</v>
      </c>
      <c r="E73" s="666">
        <f>('D2-FinPerf'!D24+'D2-FinPerf'!D25+'D2-FinPerf'!D27+'D2-FinPerf'!D28+'D2-FinPerf'!D29+'D2-FinPerf'!D30+'D2-FinPerf'!D31+'D2-FinPerf'!D32+'D2-FinPerf'!D33)*'SD2'!E74</f>
        <v>1302478179.204</v>
      </c>
      <c r="F73" s="666">
        <f>('D2-FinPerf'!E24+'D2-FinPerf'!E25+'D2-FinPerf'!E27+'D2-FinPerf'!E28+'D2-FinPerf'!E29+'D2-FinPerf'!E30+'D2-FinPerf'!E31+'D2-FinPerf'!E32+'D2-FinPerf'!E33)*'SD2'!F74</f>
        <v>1493045262.858</v>
      </c>
      <c r="G73" s="666">
        <f>('D2-FinPerf'!F24+'D2-FinPerf'!F25+'D2-FinPerf'!F27+'D2-FinPerf'!F28+'D2-FinPerf'!F29+'D2-FinPerf'!F30+'D2-FinPerf'!F31+'D2-FinPerf'!F32+'D2-FinPerf'!F33)*'SD2'!G74</f>
        <v>1559678855.3999999</v>
      </c>
      <c r="H73" s="667">
        <f>('D2-FinPerf'!G24+'D2-FinPerf'!G25+'D2-FinPerf'!G27+'D2-FinPerf'!G28+'D2-FinPerf'!G29+'D2-FinPerf'!G30+'D2-FinPerf'!G31+'D2-FinPerf'!G32+'D2-FinPerf'!G33)*'SD2'!H74</f>
        <v>1338055186.8</v>
      </c>
      <c r="I73" s="667">
        <f>('D2-FinPerf'!H24+'D2-FinPerf'!H25+'D2-FinPerf'!H27+'D2-FinPerf'!H28+'D2-FinPerf'!H29+'D2-FinPerf'!H30+'D2-FinPerf'!H31+'D2-FinPerf'!H32+'D2-FinPerf'!H33)*'SD2'!I74</f>
        <v>1338055186.8</v>
      </c>
      <c r="J73" s="667">
        <f>('D2-FinPerf'!I24+'D2-FinPerf'!I25+'D2-FinPerf'!I27+'D2-FinPerf'!I28+'D2-FinPerf'!I29+'D2-FinPerf'!I30+'D2-FinPerf'!I31+'D2-FinPerf'!I32+'D2-FinPerf'!I33)*'SD2'!J74</f>
        <v>1471874559.4626002</v>
      </c>
      <c r="K73" s="667">
        <f>('D2-FinPerf'!J24+'D2-FinPerf'!J25+'D2-FinPerf'!J27+'D2-FinPerf'!J28+'D2-FinPerf'!J29+'D2-FinPerf'!J30+'D2-FinPerf'!J31+'D2-FinPerf'!J32+'D2-FinPerf'!J33)*'SD2'!K74</f>
        <v>1543942819.9856865</v>
      </c>
      <c r="L73" s="667">
        <f>('D2-FinPerf'!K24+'D2-FinPerf'!K25+'D2-FinPerf'!K27+'D2-FinPerf'!K28+'D2-FinPerf'!K29+'D2-FinPerf'!K30+'D2-FinPerf'!K31+'D2-FinPerf'!K32+'D2-FinPerf'!K33)*'SD2'!L74</f>
        <v>1636011587.1607933</v>
      </c>
    </row>
    <row r="74" spans="1:12" ht="12.75" customHeight="1" x14ac:dyDescent="0.25">
      <c r="A74" s="19" t="s">
        <v>433</v>
      </c>
      <c r="D74" s="435">
        <v>0.6</v>
      </c>
      <c r="E74" s="435">
        <f>D74</f>
        <v>0.6</v>
      </c>
      <c r="F74" s="435">
        <f t="shared" ref="F74:L74" si="14">E74</f>
        <v>0.6</v>
      </c>
      <c r="G74" s="435">
        <f t="shared" si="14"/>
        <v>0.6</v>
      </c>
      <c r="H74" s="435">
        <f t="shared" si="14"/>
        <v>0.6</v>
      </c>
      <c r="I74" s="435">
        <f t="shared" si="14"/>
        <v>0.6</v>
      </c>
      <c r="J74" s="435">
        <f t="shared" si="14"/>
        <v>0.6</v>
      </c>
      <c r="K74" s="435">
        <f t="shared" si="14"/>
        <v>0.6</v>
      </c>
      <c r="L74" s="435">
        <f t="shared" si="14"/>
        <v>0.6</v>
      </c>
    </row>
    <row r="75" spans="1:12" ht="12.75" customHeight="1" x14ac:dyDescent="0.25">
      <c r="A75" s="40" t="s">
        <v>1050</v>
      </c>
      <c r="B75" s="40"/>
      <c r="C75" s="40"/>
      <c r="D75" s="237"/>
      <c r="E75" s="237"/>
      <c r="F75" s="237"/>
      <c r="G75" s="237"/>
      <c r="H75" s="237"/>
      <c r="I75" s="237"/>
      <c r="J75" s="237"/>
      <c r="K75" s="237"/>
      <c r="L75" s="237"/>
    </row>
    <row r="76" spans="1:12" ht="12.75" customHeight="1" x14ac:dyDescent="0.25">
      <c r="D76" s="48"/>
      <c r="E76" s="48"/>
      <c r="F76" s="48"/>
      <c r="G76" s="48"/>
      <c r="H76" s="48"/>
      <c r="I76" s="48"/>
      <c r="J76" s="48"/>
      <c r="K76" s="48"/>
      <c r="L76" s="48"/>
    </row>
    <row r="77" spans="1:12" ht="12.75" customHeight="1" x14ac:dyDescent="0.25">
      <c r="D77" s="48"/>
      <c r="E77" s="48"/>
      <c r="F77" s="48"/>
      <c r="G77" s="48"/>
      <c r="H77" s="48"/>
      <c r="I77" s="48"/>
      <c r="J77" s="48"/>
      <c r="K77" s="48"/>
      <c r="L77" s="48"/>
    </row>
    <row r="78" spans="1:12" ht="12.75" customHeight="1" x14ac:dyDescent="0.25">
      <c r="D78" s="48"/>
      <c r="E78" s="48"/>
      <c r="F78" s="48"/>
      <c r="G78" s="48"/>
      <c r="H78" s="48"/>
      <c r="I78" s="48"/>
      <c r="J78" s="48"/>
      <c r="K78" s="48"/>
      <c r="L78" s="48"/>
    </row>
    <row r="79" spans="1:12" ht="12.75" customHeight="1" x14ac:dyDescent="0.25">
      <c r="D79" s="48"/>
      <c r="E79" s="48"/>
      <c r="F79" s="48"/>
      <c r="G79" s="48"/>
      <c r="H79" s="48"/>
      <c r="I79" s="48"/>
      <c r="J79" s="48"/>
      <c r="K79" s="48"/>
      <c r="L79" s="48"/>
    </row>
    <row r="80" spans="1:12" ht="12.75" customHeight="1" x14ac:dyDescent="0.25">
      <c r="D80" s="48"/>
      <c r="E80" s="48"/>
      <c r="F80" s="48"/>
      <c r="G80" s="48"/>
      <c r="H80" s="48"/>
      <c r="I80" s="48"/>
      <c r="J80" s="48"/>
      <c r="K80" s="48"/>
      <c r="L80" s="48"/>
    </row>
    <row r="81" spans="4:12" ht="12.75" customHeight="1" x14ac:dyDescent="0.25">
      <c r="D81" s="48"/>
      <c r="E81" s="48"/>
      <c r="F81" s="48"/>
      <c r="G81" s="48"/>
      <c r="H81" s="48"/>
      <c r="I81" s="48"/>
      <c r="J81" s="48"/>
      <c r="K81" s="48"/>
      <c r="L81" s="48"/>
    </row>
    <row r="82" spans="4:12" ht="12.75" customHeight="1" x14ac:dyDescent="0.25">
      <c r="D82" s="48"/>
      <c r="E82" s="48"/>
      <c r="F82" s="48"/>
      <c r="G82" s="48"/>
      <c r="H82" s="48"/>
      <c r="I82" s="48"/>
      <c r="J82" s="48"/>
      <c r="K82" s="48"/>
      <c r="L82" s="48"/>
    </row>
    <row r="83" spans="4:12" ht="12.75" customHeight="1" x14ac:dyDescent="0.25">
      <c r="D83" s="48"/>
      <c r="E83" s="48"/>
      <c r="F83" s="48"/>
      <c r="G83" s="48"/>
      <c r="H83" s="48"/>
      <c r="I83" s="48"/>
      <c r="J83" s="48"/>
      <c r="K83" s="48"/>
      <c r="L83" s="48"/>
    </row>
    <row r="84" spans="4:12" ht="12.75" customHeight="1" x14ac:dyDescent="0.25">
      <c r="D84" s="48"/>
      <c r="E84" s="48"/>
      <c r="F84" s="48"/>
      <c r="G84" s="48"/>
      <c r="H84" s="48"/>
      <c r="I84" s="48"/>
      <c r="J84" s="48"/>
      <c r="K84" s="48"/>
      <c r="L84" s="48"/>
    </row>
    <row r="85" spans="4:12" ht="12.75" customHeight="1" x14ac:dyDescent="0.25">
      <c r="D85" s="48"/>
      <c r="E85" s="48"/>
      <c r="F85" s="48"/>
      <c r="G85" s="48"/>
      <c r="H85" s="48"/>
      <c r="I85" s="48"/>
      <c r="J85" s="48"/>
      <c r="K85" s="48"/>
      <c r="L85" s="48"/>
    </row>
    <row r="86" spans="4:12" ht="12.75" customHeight="1" x14ac:dyDescent="0.25">
      <c r="D86" s="48"/>
      <c r="E86" s="48"/>
      <c r="F86" s="48"/>
      <c r="G86" s="48"/>
      <c r="H86" s="48"/>
      <c r="I86" s="48"/>
      <c r="J86" s="48"/>
      <c r="K86" s="48"/>
      <c r="L86" s="48"/>
    </row>
    <row r="87" spans="4:12" ht="12.75" customHeight="1" x14ac:dyDescent="0.25">
      <c r="D87" s="48"/>
      <c r="E87" s="48"/>
      <c r="F87" s="48"/>
      <c r="G87" s="48"/>
      <c r="H87" s="48"/>
      <c r="I87" s="48"/>
      <c r="J87" s="48"/>
      <c r="K87" s="48"/>
      <c r="L87" s="48"/>
    </row>
    <row r="88" spans="4:12" ht="12.75" customHeight="1" x14ac:dyDescent="0.25">
      <c r="D88" s="48"/>
      <c r="E88" s="48"/>
      <c r="F88" s="48"/>
      <c r="G88" s="48"/>
      <c r="H88" s="48"/>
      <c r="I88" s="48"/>
      <c r="J88" s="48"/>
      <c r="K88" s="48"/>
      <c r="L88" s="48"/>
    </row>
    <row r="89" spans="4:12" ht="12.75" customHeight="1" x14ac:dyDescent="0.25">
      <c r="D89" s="48"/>
      <c r="E89" s="48"/>
      <c r="F89" s="48"/>
      <c r="G89" s="48"/>
      <c r="H89" s="48"/>
      <c r="I89" s="48"/>
      <c r="J89" s="48"/>
      <c r="K89" s="48"/>
      <c r="L89" s="48"/>
    </row>
    <row r="90" spans="4:12" ht="12.75" customHeight="1" x14ac:dyDescent="0.25">
      <c r="D90" s="48"/>
      <c r="E90" s="48"/>
      <c r="F90" s="48"/>
      <c r="G90" s="48"/>
      <c r="H90" s="48"/>
      <c r="I90" s="48"/>
      <c r="J90" s="48"/>
      <c r="K90" s="48"/>
      <c r="L90" s="48"/>
    </row>
    <row r="91" spans="4:12" ht="12.75" customHeight="1" x14ac:dyDescent="0.25">
      <c r="D91" s="48"/>
      <c r="E91" s="48"/>
      <c r="F91" s="48"/>
      <c r="G91" s="48"/>
      <c r="H91" s="48"/>
      <c r="I91" s="48"/>
      <c r="J91" s="48"/>
      <c r="K91" s="48"/>
      <c r="L91" s="48"/>
    </row>
    <row r="92" spans="4:12" ht="12.75" customHeight="1" x14ac:dyDescent="0.25">
      <c r="D92" s="48"/>
      <c r="E92" s="48"/>
      <c r="F92" s="48"/>
      <c r="G92" s="48"/>
      <c r="H92" s="48"/>
      <c r="I92" s="48"/>
      <c r="J92" s="48"/>
      <c r="K92" s="48"/>
      <c r="L92" s="48"/>
    </row>
    <row r="93" spans="4:12" ht="12.75" customHeight="1" x14ac:dyDescent="0.25">
      <c r="D93" s="48"/>
      <c r="E93" s="48"/>
      <c r="F93" s="48"/>
      <c r="G93" s="48"/>
      <c r="H93" s="48"/>
      <c r="I93" s="48"/>
      <c r="J93" s="48"/>
      <c r="K93" s="48"/>
      <c r="L93" s="48"/>
    </row>
    <row r="94" spans="4:12" ht="12.75" customHeight="1" x14ac:dyDescent="0.25">
      <c r="D94" s="48"/>
      <c r="E94" s="48"/>
      <c r="F94" s="48"/>
      <c r="G94" s="48"/>
      <c r="H94" s="48"/>
      <c r="I94" s="48"/>
      <c r="J94" s="48"/>
      <c r="K94" s="48"/>
      <c r="L94" s="48"/>
    </row>
    <row r="95" spans="4:12" ht="12.75" customHeight="1" x14ac:dyDescent="0.25">
      <c r="D95" s="48"/>
      <c r="E95" s="48"/>
      <c r="F95" s="48"/>
      <c r="G95" s="48"/>
      <c r="H95" s="48"/>
      <c r="I95" s="48"/>
      <c r="J95" s="48"/>
      <c r="K95" s="48"/>
      <c r="L95" s="48"/>
    </row>
    <row r="96" spans="4:12" ht="12.75" customHeight="1" x14ac:dyDescent="0.25">
      <c r="D96" s="48"/>
      <c r="E96" s="48"/>
      <c r="F96" s="48"/>
      <c r="G96" s="48"/>
      <c r="H96" s="48"/>
      <c r="I96" s="48"/>
      <c r="J96" s="48"/>
      <c r="K96" s="48"/>
      <c r="L96" s="48"/>
    </row>
    <row r="97" spans="4:12" ht="12.75" customHeight="1" x14ac:dyDescent="0.25">
      <c r="D97" s="48"/>
      <c r="E97" s="48"/>
      <c r="F97" s="48"/>
      <c r="G97" s="48"/>
      <c r="H97" s="48"/>
      <c r="I97" s="48"/>
      <c r="J97" s="48"/>
      <c r="K97" s="48"/>
      <c r="L97" s="48"/>
    </row>
    <row r="98" spans="4:12" ht="12.75" customHeight="1" x14ac:dyDescent="0.25">
      <c r="D98" s="48"/>
      <c r="E98" s="48"/>
      <c r="F98" s="48"/>
      <c r="G98" s="48"/>
      <c r="H98" s="48"/>
      <c r="I98" s="48"/>
      <c r="J98" s="48"/>
      <c r="K98" s="48"/>
      <c r="L98" s="48"/>
    </row>
    <row r="99" spans="4:12" ht="12.75" customHeight="1" x14ac:dyDescent="0.25">
      <c r="D99" s="48"/>
      <c r="E99" s="48"/>
      <c r="F99" s="48"/>
      <c r="G99" s="48"/>
      <c r="H99" s="48"/>
      <c r="I99" s="48"/>
      <c r="J99" s="48"/>
      <c r="K99" s="48"/>
      <c r="L99" s="48"/>
    </row>
    <row r="100" spans="4:12" ht="12.75" customHeight="1" x14ac:dyDescent="0.25">
      <c r="D100" s="48"/>
      <c r="E100" s="48"/>
      <c r="F100" s="48"/>
      <c r="G100" s="48"/>
      <c r="H100" s="48"/>
      <c r="I100" s="48"/>
      <c r="J100" s="48"/>
      <c r="K100" s="48"/>
      <c r="L100" s="48"/>
    </row>
    <row r="101" spans="4:12" ht="12.75" customHeight="1" x14ac:dyDescent="0.25">
      <c r="D101" s="48"/>
      <c r="E101" s="48"/>
      <c r="F101" s="48"/>
      <c r="G101" s="48"/>
      <c r="H101" s="48"/>
      <c r="I101" s="48"/>
      <c r="J101" s="48"/>
      <c r="K101" s="48"/>
      <c r="L101" s="48"/>
    </row>
    <row r="102" spans="4:12" ht="12.75" customHeight="1" x14ac:dyDescent="0.25">
      <c r="D102" s="48"/>
      <c r="E102" s="48"/>
      <c r="F102" s="48"/>
      <c r="G102" s="48"/>
      <c r="H102" s="48"/>
      <c r="I102" s="48"/>
      <c r="J102" s="48"/>
      <c r="K102" s="48"/>
      <c r="L102" s="48"/>
    </row>
    <row r="103" spans="4:12" ht="12.75" customHeight="1" x14ac:dyDescent="0.25">
      <c r="D103" s="48"/>
      <c r="E103" s="48"/>
      <c r="F103" s="48"/>
      <c r="G103" s="48"/>
      <c r="H103" s="48"/>
      <c r="I103" s="48"/>
      <c r="J103" s="48"/>
      <c r="K103" s="48"/>
      <c r="L103" s="48"/>
    </row>
    <row r="104" spans="4:12" ht="12.75" customHeight="1" x14ac:dyDescent="0.25">
      <c r="D104" s="48"/>
      <c r="E104" s="48"/>
      <c r="F104" s="48"/>
      <c r="G104" s="48"/>
      <c r="H104" s="48"/>
      <c r="I104" s="48"/>
      <c r="J104" s="48"/>
      <c r="K104" s="48"/>
      <c r="L104" s="48"/>
    </row>
    <row r="105" spans="4:12" ht="12.75" customHeight="1" x14ac:dyDescent="0.25">
      <c r="D105" s="48"/>
      <c r="E105" s="48"/>
      <c r="F105" s="48"/>
      <c r="G105" s="48"/>
      <c r="H105" s="48"/>
      <c r="I105" s="48"/>
      <c r="J105" s="48"/>
      <c r="K105" s="48"/>
      <c r="L105" s="48"/>
    </row>
    <row r="106" spans="4:12" ht="12.75" customHeight="1" x14ac:dyDescent="0.25">
      <c r="D106" s="48"/>
      <c r="E106" s="48"/>
      <c r="F106" s="48"/>
      <c r="G106" s="48"/>
      <c r="H106" s="48"/>
      <c r="I106" s="48"/>
      <c r="J106" s="48"/>
      <c r="K106" s="48"/>
      <c r="L106" s="48"/>
    </row>
  </sheetData>
  <mergeCells count="15">
    <mergeCell ref="A30:A32"/>
    <mergeCell ref="A2:A3"/>
    <mergeCell ref="L3:L4"/>
    <mergeCell ref="C2:C3"/>
    <mergeCell ref="F3:F4"/>
    <mergeCell ref="G3:G4"/>
    <mergeCell ref="H3:H4"/>
    <mergeCell ref="I3:I4"/>
    <mergeCell ref="G2:I2"/>
    <mergeCell ref="K3:K4"/>
    <mergeCell ref="B2:B3"/>
    <mergeCell ref="D3:D4"/>
    <mergeCell ref="E3:E4"/>
    <mergeCell ref="J3:J4"/>
    <mergeCell ref="A27:A29"/>
  </mergeCells>
  <phoneticPr fontId="2" type="noConversion"/>
  <printOptions horizontalCentered="1"/>
  <pageMargins left="0.35433070866141736" right="0.15748031496062992" top="0.78740157480314965" bottom="0.59055118110236227" header="0.51181102362204722" footer="0.39370078740157483"/>
  <pageSetup paperSize="9"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FF0000"/>
    <pageSetUpPr fitToPage="1"/>
  </sheetPr>
  <dimension ref="A1:O43"/>
  <sheetViews>
    <sheetView showGridLines="0" zoomScaleNormal="100" workbookViewId="0">
      <pane xSplit="2" ySplit="3" topLeftCell="H4" activePane="bottomRight" state="frozen"/>
      <selection activeCell="M160" sqref="M158:P160"/>
      <selection pane="topRight" activeCell="M160" sqref="M158:P160"/>
      <selection pane="bottomLeft" activeCell="M160" sqref="M158:P160"/>
      <selection pane="bottomRight" activeCell="Q10" sqref="Q10"/>
    </sheetView>
  </sheetViews>
  <sheetFormatPr defaultRowHeight="12.75" x14ac:dyDescent="0.25"/>
  <cols>
    <col min="1" max="1" width="30.7109375" style="19" customWidth="1"/>
    <col min="2" max="2" width="3.140625" style="41" customWidth="1"/>
    <col min="3" max="5" width="15.7109375" style="19" customWidth="1"/>
    <col min="6" max="6" width="15.42578125" style="19" customWidth="1"/>
    <col min="7" max="7" width="12.85546875" style="19" customWidth="1"/>
    <col min="8" max="8" width="13.140625" style="19" customWidth="1"/>
    <col min="9" max="9" width="12.85546875" style="19" customWidth="1"/>
    <col min="10" max="10" width="12.140625" style="19" customWidth="1"/>
    <col min="11" max="11" width="12.5703125" style="19" customWidth="1"/>
    <col min="12" max="12" width="11.28515625" style="19" customWidth="1"/>
    <col min="13" max="14" width="11.7109375" style="19" customWidth="1"/>
    <col min="15" max="15" width="13.5703125" style="19" customWidth="1"/>
    <col min="16" max="18" width="9.5703125" style="19" customWidth="1"/>
    <col min="19" max="19" width="9.85546875" style="19" customWidth="1"/>
    <col min="20" max="22" width="9.5703125" style="19" customWidth="1"/>
    <col min="23" max="24" width="9.85546875" style="19" customWidth="1"/>
    <col min="25" max="16384" width="9.140625" style="19"/>
  </cols>
  <sheetData>
    <row r="1" spans="1:15" ht="13.5" x14ac:dyDescent="0.25">
      <c r="A1" s="100" t="str">
        <f>_MEB5</f>
        <v>Centlec - Supporting Table SD3 Budgeted Investment Portfolio</v>
      </c>
    </row>
    <row r="2" spans="1:15" ht="43.5" customHeight="1" x14ac:dyDescent="0.25">
      <c r="A2" s="380" t="s">
        <v>1023</v>
      </c>
      <c r="B2" s="582" t="str">
        <f>head27</f>
        <v>Ref</v>
      </c>
      <c r="C2" s="20" t="s">
        <v>1024</v>
      </c>
      <c r="D2" s="583" t="s">
        <v>1025</v>
      </c>
      <c r="E2" s="583" t="s">
        <v>1026</v>
      </c>
      <c r="F2" s="583" t="s">
        <v>1027</v>
      </c>
      <c r="G2" s="583" t="s">
        <v>1036</v>
      </c>
      <c r="H2" s="583" t="s">
        <v>1028</v>
      </c>
      <c r="I2" s="583" t="s">
        <v>1029</v>
      </c>
      <c r="J2" s="717" t="s">
        <v>131</v>
      </c>
      <c r="K2" s="97" t="s">
        <v>1030</v>
      </c>
      <c r="L2" s="92" t="s">
        <v>1031</v>
      </c>
      <c r="M2" s="20" t="s">
        <v>1037</v>
      </c>
      <c r="N2" s="20" t="s">
        <v>1032</v>
      </c>
      <c r="O2" s="92" t="s">
        <v>1033</v>
      </c>
    </row>
    <row r="3" spans="1:15" ht="12.75" customHeight="1" x14ac:dyDescent="0.25">
      <c r="A3" s="584" t="s">
        <v>1034</v>
      </c>
      <c r="B3" s="585"/>
      <c r="C3" s="586" t="s">
        <v>1035</v>
      </c>
      <c r="D3" s="587"/>
      <c r="E3" s="521"/>
      <c r="F3" s="529"/>
      <c r="G3" s="529"/>
      <c r="H3" s="529"/>
      <c r="I3" s="529"/>
      <c r="J3" s="718"/>
      <c r="K3" s="719"/>
      <c r="L3" s="719"/>
      <c r="M3" s="719"/>
      <c r="N3" s="719"/>
      <c r="O3" s="720"/>
    </row>
    <row r="4" spans="1:15" ht="12.75" customHeight="1" x14ac:dyDescent="0.25">
      <c r="A4" s="242" t="s">
        <v>1173</v>
      </c>
      <c r="B4" s="248"/>
      <c r="C4" s="237" t="s">
        <v>1174</v>
      </c>
      <c r="D4" s="243" t="s">
        <v>1175</v>
      </c>
      <c r="E4" s="244" t="s">
        <v>540</v>
      </c>
      <c r="F4" s="229" t="s">
        <v>1213</v>
      </c>
      <c r="G4" s="669">
        <v>6.2E-2</v>
      </c>
      <c r="H4" s="229"/>
      <c r="I4" s="228"/>
      <c r="J4" s="592" t="s">
        <v>1176</v>
      </c>
      <c r="K4" s="588">
        <v>24664.400000000001</v>
      </c>
      <c r="L4" s="589">
        <v>4482215.17</v>
      </c>
      <c r="M4" s="590"/>
      <c r="N4" s="590"/>
      <c r="O4" s="591">
        <f>SUM(K4:N4)</f>
        <v>4506879.57</v>
      </c>
    </row>
    <row r="5" spans="1:15" ht="12.75" customHeight="1" x14ac:dyDescent="0.25">
      <c r="A5" s="242"/>
      <c r="B5" s="248"/>
      <c r="C5" s="237"/>
      <c r="D5" s="243"/>
      <c r="E5" s="244"/>
      <c r="F5" s="229"/>
      <c r="G5" s="228"/>
      <c r="H5" s="229"/>
      <c r="I5" s="228"/>
      <c r="J5" s="592"/>
      <c r="K5" s="588"/>
      <c r="L5" s="589"/>
      <c r="M5" s="590"/>
      <c r="N5" s="590"/>
      <c r="O5" s="591">
        <f t="shared" ref="O5:O6" si="0">SUM(K5:N5)</f>
        <v>0</v>
      </c>
    </row>
    <row r="6" spans="1:15" ht="12.75" customHeight="1" x14ac:dyDescent="0.25">
      <c r="A6" s="242"/>
      <c r="B6" s="248"/>
      <c r="C6" s="237"/>
      <c r="D6" s="243"/>
      <c r="E6" s="244"/>
      <c r="F6" s="229"/>
      <c r="G6" s="228"/>
      <c r="H6" s="229"/>
      <c r="I6" s="228"/>
      <c r="J6" s="592"/>
      <c r="K6" s="588"/>
      <c r="L6" s="589"/>
      <c r="M6" s="590"/>
      <c r="N6" s="590"/>
      <c r="O6" s="591">
        <f t="shared" si="0"/>
        <v>0</v>
      </c>
    </row>
    <row r="7" spans="1:15" ht="12.75" customHeight="1" x14ac:dyDescent="0.25">
      <c r="A7" s="30"/>
      <c r="B7" s="121">
        <v>1</v>
      </c>
      <c r="C7" s="442"/>
      <c r="D7" s="443"/>
      <c r="E7" s="444"/>
      <c r="F7" s="32">
        <f>SUM(F4:F6)</f>
        <v>0</v>
      </c>
      <c r="G7" s="120">
        <f>SUM(G4:G6)</f>
        <v>6.2E-2</v>
      </c>
      <c r="H7" s="32">
        <f>SUM(H4:H6)</f>
        <v>0</v>
      </c>
      <c r="I7" s="447"/>
      <c r="J7" s="594"/>
      <c r="K7" s="595">
        <f>SUM(K4:K6)</f>
        <v>24664.400000000001</v>
      </c>
      <c r="L7" s="596"/>
      <c r="M7" s="597">
        <f>SUM(M4:M6)</f>
        <v>0</v>
      </c>
      <c r="N7" s="597">
        <f>SUM(N4:N6)</f>
        <v>0</v>
      </c>
      <c r="O7" s="598">
        <f>SUM(O4:O6)</f>
        <v>4506879.57</v>
      </c>
    </row>
    <row r="8" spans="1:15" ht="12.75" customHeight="1" x14ac:dyDescent="0.25">
      <c r="A8" s="593" t="str">
        <f>head27a</f>
        <v>References</v>
      </c>
      <c r="B8" s="34"/>
      <c r="C8" s="37"/>
      <c r="D8" s="36"/>
      <c r="E8" s="37"/>
      <c r="F8" s="37"/>
      <c r="G8" s="37"/>
      <c r="H8" s="37"/>
      <c r="I8" s="37"/>
    </row>
    <row r="9" spans="1:15" ht="11.25" customHeight="1" x14ac:dyDescent="0.25">
      <c r="A9" s="396" t="s">
        <v>1038</v>
      </c>
    </row>
    <row r="10" spans="1:15" ht="11.25" customHeight="1" x14ac:dyDescent="0.25">
      <c r="A10" s="396" t="s">
        <v>1039</v>
      </c>
    </row>
    <row r="11" spans="1:15" ht="11.25" customHeight="1" x14ac:dyDescent="0.25">
      <c r="A11" s="396" t="s">
        <v>1040</v>
      </c>
    </row>
    <row r="13" spans="1:15" ht="11.25" customHeight="1" x14ac:dyDescent="0.25"/>
    <row r="14" spans="1:15" ht="11.25" customHeight="1" x14ac:dyDescent="0.25"/>
    <row r="15" spans="1:15" ht="11.25" customHeight="1" x14ac:dyDescent="0.25"/>
    <row r="16" spans="1:15"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row r="28" ht="11.25" customHeight="1" x14ac:dyDescent="0.25"/>
    <row r="29" ht="11.25" customHeight="1" x14ac:dyDescent="0.25"/>
    <row r="30" ht="11.25" customHeight="1" x14ac:dyDescent="0.25"/>
    <row r="31" ht="11.25" customHeight="1" x14ac:dyDescent="0.25"/>
    <row r="3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sheetData>
  <mergeCells count="2">
    <mergeCell ref="J2:J3"/>
    <mergeCell ref="K3:O3"/>
  </mergeCells>
  <phoneticPr fontId="2" type="noConversion"/>
  <printOptions horizontalCentered="1"/>
  <pageMargins left="0.35" right="0.17" top="0.78" bottom="0.62" header="0.51181102362204722" footer="0.39"/>
  <pageSetup paperSize="9" scale="4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45"/>
  <sheetViews>
    <sheetView showGridLines="0" tabSelected="1" zoomScaleNormal="100" workbookViewId="0">
      <pane xSplit="2" ySplit="5" topLeftCell="C6" activePane="bottomRight" state="frozen"/>
      <selection activeCell="M160" sqref="M158:P160"/>
      <selection pane="topRight" activeCell="M160" sqref="M158:P160"/>
      <selection pane="bottomLeft" activeCell="M160" sqref="M158:P160"/>
      <selection pane="bottomRight" activeCell="I18" sqref="I18"/>
    </sheetView>
  </sheetViews>
  <sheetFormatPr defaultRowHeight="12.75" x14ac:dyDescent="0.25"/>
  <cols>
    <col min="1" max="1" width="37.7109375" style="19" customWidth="1"/>
    <col min="2" max="2" width="3.140625" style="41" customWidth="1"/>
    <col min="3" max="11" width="8.7109375" style="19" customWidth="1"/>
    <col min="12" max="12" width="29.42578125" style="19" bestFit="1" customWidth="1"/>
    <col min="13" max="13" width="9.5703125" style="19" customWidth="1"/>
    <col min="14" max="14" width="9.85546875" style="19" customWidth="1"/>
    <col min="15" max="17" width="9.5703125" style="19" customWidth="1"/>
    <col min="18" max="19" width="9.85546875" style="19" customWidth="1"/>
    <col min="20" max="16384" width="9.140625" style="19"/>
  </cols>
  <sheetData>
    <row r="1" spans="1:11" ht="13.5" x14ac:dyDescent="0.25">
      <c r="A1" s="100" t="str">
        <f>MEB5a</f>
        <v>Centlec - Supporting Table SD4 Board member allowances and staff benefits</v>
      </c>
    </row>
    <row r="2" spans="1:11" ht="25.5" x14ac:dyDescent="0.25">
      <c r="A2" s="721" t="s">
        <v>327</v>
      </c>
      <c r="B2" s="703"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1" x14ac:dyDescent="0.25">
      <c r="A3" s="722"/>
      <c r="B3" s="704"/>
      <c r="C3" s="699" t="str">
        <f>Head5</f>
        <v>Audited Outcome</v>
      </c>
      <c r="D3" s="701" t="str">
        <f>Head5</f>
        <v>Audited Outcome</v>
      </c>
      <c r="E3" s="706" t="str">
        <f>Head5</f>
        <v>Audited Outcome</v>
      </c>
      <c r="F3" s="710" t="str">
        <f>Head6</f>
        <v>Original Budget</v>
      </c>
      <c r="G3" s="708" t="str">
        <f>Head7</f>
        <v>Adjusted Budget</v>
      </c>
      <c r="H3" s="706" t="str">
        <f>Head8</f>
        <v>Full Year Forecast</v>
      </c>
      <c r="I3" s="710" t="str">
        <f>Head9</f>
        <v>Budget Year 2020/21</v>
      </c>
      <c r="J3" s="708" t="str">
        <f>Head10</f>
        <v>Budget Year +1 2021/22</v>
      </c>
      <c r="K3" s="706" t="str">
        <f>Head11</f>
        <v>Budget Year +2 2022/23</v>
      </c>
    </row>
    <row r="4" spans="1:11" x14ac:dyDescent="0.25">
      <c r="A4" s="722"/>
      <c r="B4" s="704"/>
      <c r="C4" s="700"/>
      <c r="D4" s="702"/>
      <c r="E4" s="707"/>
      <c r="F4" s="711"/>
      <c r="G4" s="709"/>
      <c r="H4" s="707"/>
      <c r="I4" s="723"/>
      <c r="J4" s="709"/>
      <c r="K4" s="707"/>
    </row>
    <row r="5" spans="1:11" x14ac:dyDescent="0.25">
      <c r="A5" s="133" t="s">
        <v>184</v>
      </c>
      <c r="B5" s="123"/>
      <c r="C5" s="172" t="s">
        <v>112</v>
      </c>
      <c r="D5" s="173" t="s">
        <v>75</v>
      </c>
      <c r="E5" s="174" t="s">
        <v>36</v>
      </c>
      <c r="F5" s="172" t="s">
        <v>129</v>
      </c>
      <c r="G5" s="173" t="s">
        <v>14</v>
      </c>
      <c r="H5" s="174" t="s">
        <v>15</v>
      </c>
      <c r="I5" s="172" t="s">
        <v>16</v>
      </c>
      <c r="J5" s="173" t="s">
        <v>132</v>
      </c>
      <c r="K5" s="174" t="s">
        <v>133</v>
      </c>
    </row>
    <row r="6" spans="1:11" ht="12.75" customHeight="1" x14ac:dyDescent="0.25">
      <c r="A6" s="21" t="s">
        <v>188</v>
      </c>
      <c r="B6" s="102"/>
      <c r="C6" s="26"/>
      <c r="D6" s="25"/>
      <c r="E6" s="95"/>
      <c r="F6" s="26"/>
      <c r="G6" s="25"/>
      <c r="H6" s="95"/>
      <c r="I6" s="26"/>
      <c r="J6" s="25"/>
      <c r="K6" s="95"/>
    </row>
    <row r="7" spans="1:11" ht="12.75" customHeight="1" x14ac:dyDescent="0.25">
      <c r="A7" s="51" t="s">
        <v>92</v>
      </c>
      <c r="B7" s="102"/>
      <c r="C7" s="26"/>
      <c r="D7" s="25"/>
      <c r="E7" s="95"/>
      <c r="F7" s="26"/>
      <c r="G7" s="25"/>
      <c r="H7" s="95"/>
      <c r="I7" s="26"/>
      <c r="J7" s="25"/>
      <c r="K7" s="95"/>
    </row>
    <row r="8" spans="1:11" ht="12.75" customHeight="1" x14ac:dyDescent="0.25">
      <c r="A8" s="22" t="s">
        <v>821</v>
      </c>
      <c r="B8" s="102"/>
      <c r="C8" s="229">
        <v>1162046.25</v>
      </c>
      <c r="D8" s="227">
        <v>1050771.8400000001</v>
      </c>
      <c r="E8" s="660">
        <v>406169</v>
      </c>
      <c r="F8" s="304">
        <v>1751260</v>
      </c>
      <c r="G8" s="227">
        <v>1751260</v>
      </c>
      <c r="H8" s="227">
        <v>1751260</v>
      </c>
      <c r="I8" s="229">
        <v>1831817.96</v>
      </c>
      <c r="J8" s="227">
        <v>1919745.2220800002</v>
      </c>
      <c r="K8" s="228">
        <v>2011892.9927398399</v>
      </c>
    </row>
    <row r="9" spans="1:11" ht="12.75" customHeight="1" x14ac:dyDescent="0.25">
      <c r="A9" s="22" t="s">
        <v>817</v>
      </c>
      <c r="B9" s="102"/>
      <c r="C9" s="229"/>
      <c r="D9" s="227"/>
      <c r="E9" s="228"/>
      <c r="F9" s="229"/>
      <c r="G9" s="227"/>
      <c r="H9" s="228"/>
      <c r="I9" s="229"/>
      <c r="J9" s="227"/>
      <c r="K9" s="228"/>
    </row>
    <row r="10" spans="1:11" ht="12.75" customHeight="1" x14ac:dyDescent="0.25">
      <c r="A10" s="22" t="s">
        <v>0</v>
      </c>
      <c r="B10" s="102"/>
      <c r="C10" s="229"/>
      <c r="D10" s="227"/>
      <c r="E10" s="228"/>
      <c r="F10" s="229"/>
      <c r="G10" s="227"/>
      <c r="H10" s="228"/>
      <c r="I10" s="229"/>
      <c r="J10" s="227"/>
      <c r="K10" s="228"/>
    </row>
    <row r="11" spans="1:11" ht="12.75" customHeight="1" x14ac:dyDescent="0.25">
      <c r="A11" s="22" t="s">
        <v>79</v>
      </c>
      <c r="B11" s="102"/>
      <c r="C11" s="229"/>
      <c r="D11" s="227"/>
      <c r="E11" s="228"/>
      <c r="F11" s="229"/>
      <c r="G11" s="227"/>
      <c r="H11" s="228"/>
      <c r="I11" s="229"/>
      <c r="J11" s="227"/>
      <c r="K11" s="228"/>
    </row>
    <row r="12" spans="1:11" ht="12.75" customHeight="1" x14ac:dyDescent="0.25">
      <c r="A12" s="22" t="s">
        <v>1</v>
      </c>
      <c r="B12" s="102"/>
      <c r="C12" s="229"/>
      <c r="D12" s="227"/>
      <c r="E12" s="228"/>
      <c r="F12" s="229"/>
      <c r="G12" s="227"/>
      <c r="H12" s="228"/>
      <c r="I12" s="229"/>
      <c r="J12" s="227"/>
      <c r="K12" s="228"/>
    </row>
    <row r="13" spans="1:11" ht="12.75" customHeight="1" x14ac:dyDescent="0.25">
      <c r="A13" s="22" t="s">
        <v>832</v>
      </c>
      <c r="B13" s="102"/>
      <c r="C13" s="229"/>
      <c r="D13" s="227"/>
      <c r="E13" s="228"/>
      <c r="F13" s="229"/>
      <c r="G13" s="227"/>
      <c r="H13" s="228"/>
      <c r="I13" s="229"/>
      <c r="J13" s="227"/>
      <c r="K13" s="228"/>
    </row>
    <row r="14" spans="1:11" ht="12.75" customHeight="1" x14ac:dyDescent="0.25">
      <c r="A14" s="22" t="s">
        <v>833</v>
      </c>
      <c r="B14" s="102"/>
      <c r="C14" s="229"/>
      <c r="D14" s="227"/>
      <c r="E14" s="228"/>
      <c r="F14" s="229"/>
      <c r="G14" s="227"/>
      <c r="H14" s="228"/>
      <c r="I14" s="229"/>
      <c r="J14" s="227"/>
      <c r="K14" s="228"/>
    </row>
    <row r="15" spans="1:11" ht="12.75" customHeight="1" x14ac:dyDescent="0.25">
      <c r="A15" s="22" t="s">
        <v>834</v>
      </c>
      <c r="B15" s="102"/>
      <c r="C15" s="229"/>
      <c r="D15" s="227"/>
      <c r="E15" s="228"/>
      <c r="F15" s="229"/>
      <c r="G15" s="227"/>
      <c r="H15" s="228"/>
      <c r="I15" s="229"/>
      <c r="J15" s="227"/>
      <c r="K15" s="228"/>
    </row>
    <row r="16" spans="1:11" ht="12.75" customHeight="1" x14ac:dyDescent="0.25">
      <c r="A16" s="22" t="s">
        <v>526</v>
      </c>
      <c r="B16" s="102"/>
      <c r="C16" s="229"/>
      <c r="D16" s="227"/>
      <c r="E16" s="228"/>
      <c r="F16" s="229"/>
      <c r="G16" s="227"/>
      <c r="H16" s="228"/>
      <c r="I16" s="229"/>
      <c r="J16" s="227"/>
      <c r="K16" s="228"/>
    </row>
    <row r="17" spans="1:11" ht="12.75" customHeight="1" x14ac:dyDescent="0.25">
      <c r="A17" s="22" t="s">
        <v>93</v>
      </c>
      <c r="B17" s="102"/>
      <c r="C17" s="229"/>
      <c r="D17" s="227"/>
      <c r="E17" s="228"/>
      <c r="F17" s="229"/>
      <c r="G17" s="227"/>
      <c r="H17" s="228"/>
      <c r="I17" s="229"/>
      <c r="J17" s="227"/>
      <c r="K17" s="228"/>
    </row>
    <row r="18" spans="1:11" ht="12.75" customHeight="1" x14ac:dyDescent="0.25">
      <c r="A18" s="22" t="s">
        <v>818</v>
      </c>
      <c r="B18" s="102"/>
      <c r="C18" s="229"/>
      <c r="D18" s="227"/>
      <c r="E18" s="228"/>
      <c r="F18" s="229"/>
      <c r="G18" s="227"/>
      <c r="H18" s="228"/>
      <c r="I18" s="229"/>
      <c r="J18" s="227"/>
      <c r="K18" s="228"/>
    </row>
    <row r="19" spans="1:11" ht="12.75" customHeight="1" x14ac:dyDescent="0.25">
      <c r="A19" s="22" t="s">
        <v>819</v>
      </c>
      <c r="B19" s="102">
        <v>1</v>
      </c>
      <c r="C19" s="229"/>
      <c r="D19" s="227"/>
      <c r="E19" s="228"/>
      <c r="F19" s="229"/>
      <c r="G19" s="227"/>
      <c r="H19" s="228"/>
      <c r="I19" s="229"/>
      <c r="J19" s="227"/>
      <c r="K19" s="228"/>
    </row>
    <row r="20" spans="1:11" ht="12.75" customHeight="1" x14ac:dyDescent="0.25">
      <c r="A20" s="22" t="s">
        <v>820</v>
      </c>
      <c r="B20" s="102"/>
      <c r="C20" s="229"/>
      <c r="D20" s="227"/>
      <c r="E20" s="228"/>
      <c r="F20" s="229"/>
      <c r="G20" s="227"/>
      <c r="H20" s="228"/>
      <c r="I20" s="229"/>
      <c r="J20" s="227"/>
      <c r="K20" s="228"/>
    </row>
    <row r="21" spans="1:11" ht="12.75" customHeight="1" x14ac:dyDescent="0.25">
      <c r="A21" s="51" t="s">
        <v>265</v>
      </c>
      <c r="B21" s="102"/>
      <c r="C21" s="43">
        <f>SUM(C8:C20)</f>
        <v>1162046.25</v>
      </c>
      <c r="D21" s="42">
        <f>SUM(D8:D20)</f>
        <v>1050771.8400000001</v>
      </c>
      <c r="E21" s="132">
        <f t="shared" ref="E21:K21" si="0">SUM(E8:E20)</f>
        <v>406169</v>
      </c>
      <c r="F21" s="43">
        <f t="shared" si="0"/>
        <v>1751260</v>
      </c>
      <c r="G21" s="42">
        <f t="shared" si="0"/>
        <v>1751260</v>
      </c>
      <c r="H21" s="96">
        <f t="shared" si="0"/>
        <v>1751260</v>
      </c>
      <c r="I21" s="125">
        <f t="shared" si="0"/>
        <v>1831817.96</v>
      </c>
      <c r="J21" s="42">
        <f t="shared" si="0"/>
        <v>1919745.2220800002</v>
      </c>
      <c r="K21" s="96">
        <f t="shared" si="0"/>
        <v>2011892.9927398399</v>
      </c>
    </row>
    <row r="22" spans="1:11" ht="12.75" customHeight="1" x14ac:dyDescent="0.25">
      <c r="A22" s="51" t="s">
        <v>232</v>
      </c>
      <c r="B22" s="102"/>
      <c r="C22" s="26"/>
      <c r="D22" s="28"/>
      <c r="E22" s="59"/>
      <c r="F22" s="29"/>
      <c r="G22" s="28"/>
      <c r="H22" s="111"/>
      <c r="I22" s="124"/>
      <c r="J22" s="59"/>
      <c r="K22" s="136"/>
    </row>
    <row r="23" spans="1:11" ht="5.0999999999999996" customHeight="1" x14ac:dyDescent="0.25">
      <c r="A23" s="23"/>
      <c r="B23" s="102"/>
      <c r="C23" s="26"/>
      <c r="D23" s="25"/>
      <c r="E23" s="95"/>
      <c r="F23" s="26"/>
      <c r="G23" s="25"/>
      <c r="H23" s="95"/>
      <c r="I23" s="26"/>
      <c r="J23" s="25"/>
      <c r="K23" s="95"/>
    </row>
    <row r="24" spans="1:11" ht="12.75" customHeight="1" x14ac:dyDescent="0.25">
      <c r="A24" s="51" t="s">
        <v>302</v>
      </c>
      <c r="B24" s="102"/>
      <c r="C24" s="26"/>
      <c r="D24" s="25"/>
      <c r="E24" s="95"/>
      <c r="F24" s="26"/>
      <c r="G24" s="25"/>
      <c r="H24" s="95"/>
      <c r="I24" s="26"/>
      <c r="J24" s="25"/>
      <c r="K24" s="95"/>
    </row>
    <row r="25" spans="1:11" ht="12.75" customHeight="1" x14ac:dyDescent="0.25">
      <c r="A25" s="285" t="s">
        <v>821</v>
      </c>
      <c r="B25" s="102"/>
      <c r="C25" s="229">
        <v>15578522</v>
      </c>
      <c r="D25" s="227">
        <v>26306743.399999999</v>
      </c>
      <c r="E25" s="228">
        <v>3283846.8</v>
      </c>
      <c r="F25" s="229">
        <v>12845073</v>
      </c>
      <c r="G25" s="227">
        <v>12105273</v>
      </c>
      <c r="H25" s="227">
        <v>12105273</v>
      </c>
      <c r="I25" s="229">
        <v>12952642.110000001</v>
      </c>
      <c r="J25" s="227">
        <v>13859327.057699999</v>
      </c>
      <c r="K25" s="228">
        <v>14829479.951738998</v>
      </c>
    </row>
    <row r="26" spans="1:11" ht="12.75" customHeight="1" x14ac:dyDescent="0.25">
      <c r="A26" s="285" t="s">
        <v>817</v>
      </c>
      <c r="B26" s="102"/>
      <c r="C26" s="229">
        <v>761102.54</v>
      </c>
      <c r="D26" s="227">
        <v>1865264.49</v>
      </c>
      <c r="E26" s="228">
        <v>3569.28</v>
      </c>
      <c r="F26" s="229">
        <v>425751</v>
      </c>
      <c r="G26" s="227">
        <v>425751</v>
      </c>
      <c r="H26" s="227">
        <v>425751</v>
      </c>
      <c r="I26" s="229">
        <v>455553.57000000007</v>
      </c>
      <c r="J26" s="227">
        <v>487442.31989999994</v>
      </c>
      <c r="K26" s="228">
        <v>521563.28229299997</v>
      </c>
    </row>
    <row r="27" spans="1:11" ht="12.75" customHeight="1" x14ac:dyDescent="0.25">
      <c r="A27" s="285" t="s">
        <v>0</v>
      </c>
      <c r="B27" s="102"/>
      <c r="C27" s="229">
        <v>369393.39</v>
      </c>
      <c r="D27" s="227">
        <v>1309844.57</v>
      </c>
      <c r="E27" s="228">
        <v>42691.8</v>
      </c>
      <c r="F27" s="229">
        <v>108710</v>
      </c>
      <c r="G27" s="227">
        <v>108710</v>
      </c>
      <c r="H27" s="227">
        <v>108710</v>
      </c>
      <c r="I27" s="229">
        <v>116319.7</v>
      </c>
      <c r="J27" s="227">
        <v>124462.079</v>
      </c>
      <c r="K27" s="228">
        <v>133174.42452999999</v>
      </c>
    </row>
    <row r="28" spans="1:11" ht="12.75" customHeight="1" x14ac:dyDescent="0.25">
      <c r="A28" s="285" t="s">
        <v>79</v>
      </c>
      <c r="B28" s="102"/>
      <c r="C28" s="229"/>
      <c r="D28" s="227"/>
      <c r="E28" s="228">
        <v>0</v>
      </c>
      <c r="F28" s="229"/>
      <c r="G28" s="227"/>
      <c r="H28" s="227"/>
      <c r="I28" s="229"/>
      <c r="J28" s="227"/>
      <c r="K28" s="228"/>
    </row>
    <row r="29" spans="1:11" ht="12.75" customHeight="1" x14ac:dyDescent="0.25">
      <c r="A29" s="285" t="s">
        <v>1</v>
      </c>
      <c r="B29" s="102"/>
      <c r="C29" s="229"/>
      <c r="D29" s="227"/>
      <c r="E29" s="228"/>
      <c r="F29" s="229"/>
      <c r="G29" s="227"/>
      <c r="H29" s="227"/>
      <c r="I29" s="229"/>
      <c r="J29" s="227"/>
      <c r="K29" s="228"/>
    </row>
    <row r="30" spans="1:11" ht="12.75" customHeight="1" x14ac:dyDescent="0.25">
      <c r="A30" s="285" t="s">
        <v>832</v>
      </c>
      <c r="B30" s="102"/>
      <c r="C30" s="229">
        <v>644994</v>
      </c>
      <c r="D30" s="227">
        <v>1136805.8500000001</v>
      </c>
      <c r="E30" s="228">
        <v>0</v>
      </c>
      <c r="F30" s="229">
        <v>540677</v>
      </c>
      <c r="G30" s="227">
        <v>503704</v>
      </c>
      <c r="H30" s="227">
        <v>503704</v>
      </c>
      <c r="I30" s="229">
        <v>538963.28</v>
      </c>
      <c r="J30" s="227">
        <v>576690.70959999994</v>
      </c>
      <c r="K30" s="228">
        <v>617059.05927199998</v>
      </c>
    </row>
    <row r="31" spans="1:11" ht="12.75" customHeight="1" x14ac:dyDescent="0.25">
      <c r="A31" s="285" t="s">
        <v>833</v>
      </c>
      <c r="B31" s="102"/>
      <c r="C31" s="229">
        <v>194709.3</v>
      </c>
      <c r="D31" s="227">
        <v>112400</v>
      </c>
      <c r="E31" s="228">
        <v>24000</v>
      </c>
      <c r="F31" s="229">
        <v>128169</v>
      </c>
      <c r="G31" s="227">
        <v>120361</v>
      </c>
      <c r="H31" s="227">
        <v>120361</v>
      </c>
      <c r="I31" s="229">
        <v>128786.27</v>
      </c>
      <c r="J31" s="227">
        <v>137801.3089</v>
      </c>
      <c r="K31" s="228">
        <v>147447.40052299999</v>
      </c>
    </row>
    <row r="32" spans="1:11" ht="12.75" customHeight="1" x14ac:dyDescent="0.25">
      <c r="A32" s="285" t="s">
        <v>834</v>
      </c>
      <c r="B32" s="102"/>
      <c r="C32" s="229"/>
      <c r="D32" s="227"/>
      <c r="E32" s="228"/>
      <c r="F32" s="229"/>
      <c r="G32" s="227"/>
      <c r="H32" s="228"/>
      <c r="I32" s="229"/>
      <c r="J32" s="227"/>
      <c r="K32" s="228"/>
    </row>
    <row r="33" spans="1:11" ht="12.75" customHeight="1" x14ac:dyDescent="0.25">
      <c r="A33" s="285" t="s">
        <v>526</v>
      </c>
      <c r="B33" s="102"/>
      <c r="C33" s="229"/>
      <c r="D33" s="227">
        <v>290842.25</v>
      </c>
      <c r="E33" s="228"/>
      <c r="F33" s="229"/>
      <c r="G33" s="227"/>
      <c r="H33" s="228"/>
      <c r="I33" s="229"/>
      <c r="J33" s="227"/>
      <c r="K33" s="228"/>
    </row>
    <row r="34" spans="1:11" ht="12.75" customHeight="1" x14ac:dyDescent="0.25">
      <c r="A34" s="285" t="s">
        <v>818</v>
      </c>
      <c r="B34" s="102"/>
      <c r="C34" s="229"/>
      <c r="D34" s="227"/>
      <c r="E34" s="228"/>
      <c r="F34" s="229"/>
      <c r="G34" s="227"/>
      <c r="H34" s="228"/>
      <c r="I34" s="229"/>
      <c r="J34" s="227"/>
      <c r="K34" s="228"/>
    </row>
    <row r="35" spans="1:11" ht="12.75" customHeight="1" x14ac:dyDescent="0.25">
      <c r="A35" s="285" t="s">
        <v>819</v>
      </c>
      <c r="B35" s="102"/>
      <c r="C35" s="229"/>
      <c r="D35" s="227"/>
      <c r="E35" s="228"/>
      <c r="F35" s="229"/>
      <c r="G35" s="227"/>
      <c r="H35" s="228"/>
      <c r="I35" s="229"/>
      <c r="J35" s="229"/>
      <c r="K35" s="229"/>
    </row>
    <row r="36" spans="1:11" ht="12.75" customHeight="1" x14ac:dyDescent="0.25">
      <c r="A36" s="285" t="s">
        <v>820</v>
      </c>
      <c r="B36" s="102">
        <v>1</v>
      </c>
      <c r="C36" s="229"/>
      <c r="D36" s="227"/>
      <c r="E36" s="228"/>
      <c r="F36" s="229"/>
      <c r="G36" s="227"/>
      <c r="H36" s="228"/>
      <c r="I36" s="229"/>
      <c r="J36" s="227"/>
      <c r="K36" s="228"/>
    </row>
    <row r="37" spans="1:11" ht="12.75" customHeight="1" x14ac:dyDescent="0.25">
      <c r="A37" s="51" t="s">
        <v>303</v>
      </c>
      <c r="B37" s="102"/>
      <c r="C37" s="43">
        <f>SUM(C25:C36)</f>
        <v>17548721.23</v>
      </c>
      <c r="D37" s="42">
        <f t="shared" ref="D37:K37" si="1">SUM(D25:D36)</f>
        <v>31021900.559999999</v>
      </c>
      <c r="E37" s="132">
        <f t="shared" si="1"/>
        <v>3354107.8799999994</v>
      </c>
      <c r="F37" s="43">
        <f t="shared" si="1"/>
        <v>14048380</v>
      </c>
      <c r="G37" s="42">
        <f t="shared" si="1"/>
        <v>13263799</v>
      </c>
      <c r="H37" s="96">
        <f t="shared" si="1"/>
        <v>13263799</v>
      </c>
      <c r="I37" s="125">
        <f t="shared" si="1"/>
        <v>14192264.93</v>
      </c>
      <c r="J37" s="42">
        <f t="shared" si="1"/>
        <v>15185723.475099999</v>
      </c>
      <c r="K37" s="96">
        <f t="shared" si="1"/>
        <v>16248724.118356997</v>
      </c>
    </row>
    <row r="38" spans="1:11" ht="12.75" customHeight="1" x14ac:dyDescent="0.25">
      <c r="A38" s="51" t="s">
        <v>232</v>
      </c>
      <c r="B38" s="102"/>
      <c r="C38" s="26"/>
      <c r="D38" s="28"/>
      <c r="E38" s="59"/>
      <c r="F38" s="29"/>
      <c r="G38" s="28"/>
      <c r="H38" s="111"/>
      <c r="I38" s="124"/>
      <c r="J38" s="59"/>
      <c r="K38" s="136"/>
    </row>
    <row r="39" spans="1:11" ht="5.0999999999999996" customHeight="1" x14ac:dyDescent="0.25">
      <c r="A39" s="40"/>
      <c r="B39" s="102"/>
      <c r="C39" s="26"/>
      <c r="D39" s="25"/>
      <c r="E39" s="95"/>
      <c r="F39" s="26"/>
      <c r="G39" s="25"/>
      <c r="H39" s="95"/>
      <c r="I39" s="26"/>
      <c r="J39" s="25"/>
      <c r="K39" s="95"/>
    </row>
    <row r="40" spans="1:11" ht="12.75" customHeight="1" x14ac:dyDescent="0.25">
      <c r="A40" s="51" t="s">
        <v>228</v>
      </c>
      <c r="B40" s="102"/>
      <c r="C40" s="26"/>
      <c r="D40" s="25"/>
      <c r="E40" s="95"/>
      <c r="F40" s="26"/>
      <c r="G40" s="25"/>
      <c r="H40" s="95"/>
      <c r="I40" s="26"/>
      <c r="J40" s="25"/>
      <c r="K40" s="95"/>
    </row>
    <row r="41" spans="1:11" ht="12.75" customHeight="1" x14ac:dyDescent="0.25">
      <c r="A41" s="285" t="s">
        <v>821</v>
      </c>
      <c r="B41" s="102"/>
      <c r="C41" s="229">
        <v>160706559.16</v>
      </c>
      <c r="D41" s="227">
        <v>166840954.37</v>
      </c>
      <c r="E41" s="228">
        <v>196588324.66999999</v>
      </c>
      <c r="F41" s="229">
        <v>187508079</v>
      </c>
      <c r="G41" s="227">
        <v>196209652</v>
      </c>
      <c r="H41" s="227">
        <v>196209652</v>
      </c>
      <c r="I41" s="229">
        <v>209944327.64000002</v>
      </c>
      <c r="J41" s="227">
        <v>224640430.57479998</v>
      </c>
      <c r="K41" s="228">
        <v>240365260.71503603</v>
      </c>
    </row>
    <row r="42" spans="1:11" ht="12.75" customHeight="1" x14ac:dyDescent="0.25">
      <c r="A42" s="285" t="s">
        <v>817</v>
      </c>
      <c r="B42" s="102"/>
      <c r="C42" s="229">
        <v>5939795</v>
      </c>
      <c r="D42" s="227">
        <v>9363508.9900000002</v>
      </c>
      <c r="E42" s="228">
        <v>34345070.450000003</v>
      </c>
      <c r="F42" s="229">
        <v>31775548</v>
      </c>
      <c r="G42" s="227">
        <v>31775548</v>
      </c>
      <c r="H42" s="227">
        <v>31775548</v>
      </c>
      <c r="I42" s="229">
        <v>33999836.359999992</v>
      </c>
      <c r="J42" s="227">
        <v>36379824.905199982</v>
      </c>
      <c r="K42" s="228">
        <v>38926412.648564026</v>
      </c>
    </row>
    <row r="43" spans="1:11" ht="12.75" customHeight="1" x14ac:dyDescent="0.25">
      <c r="A43" s="285" t="s">
        <v>0</v>
      </c>
      <c r="B43" s="102"/>
      <c r="C43" s="229">
        <v>3514788</v>
      </c>
      <c r="D43" s="227">
        <v>4994363.03</v>
      </c>
      <c r="E43" s="228">
        <v>18515444.52</v>
      </c>
      <c r="F43" s="229">
        <v>29395490</v>
      </c>
      <c r="G43" s="227">
        <v>29395490</v>
      </c>
      <c r="H43" s="227">
        <v>29395490</v>
      </c>
      <c r="I43" s="229">
        <v>31453174.300000004</v>
      </c>
      <c r="J43" s="227">
        <v>33654896.501000002</v>
      </c>
      <c r="K43" s="228">
        <v>36010739.256069995</v>
      </c>
    </row>
    <row r="44" spans="1:11" ht="12.75" customHeight="1" x14ac:dyDescent="0.25">
      <c r="A44" s="285" t="s">
        <v>79</v>
      </c>
      <c r="B44" s="102"/>
      <c r="C44" s="229">
        <v>7937758</v>
      </c>
      <c r="D44" s="227">
        <v>7737276.6900000004</v>
      </c>
      <c r="E44" s="228">
        <v>20452345.920000002</v>
      </c>
      <c r="F44" s="229">
        <v>30685221</v>
      </c>
      <c r="G44" s="227">
        <v>25772799</v>
      </c>
      <c r="H44" s="227">
        <v>25772799</v>
      </c>
      <c r="I44" s="229">
        <v>27576894.930000003</v>
      </c>
      <c r="J44" s="227">
        <v>29507277.575099997</v>
      </c>
      <c r="K44" s="228">
        <v>31572787.005357001</v>
      </c>
    </row>
    <row r="45" spans="1:11" ht="12.75" customHeight="1" x14ac:dyDescent="0.25">
      <c r="A45" s="285" t="s">
        <v>1</v>
      </c>
      <c r="B45" s="102"/>
      <c r="C45" s="229"/>
      <c r="D45" s="227"/>
      <c r="E45" s="228">
        <v>815328.72</v>
      </c>
      <c r="F45" s="229">
        <v>15116795</v>
      </c>
      <c r="G45" s="227">
        <v>14641012</v>
      </c>
      <c r="H45" s="227">
        <v>14641012</v>
      </c>
      <c r="I45" s="229">
        <v>15665883</v>
      </c>
      <c r="J45" s="227">
        <v>16762495</v>
      </c>
      <c r="K45" s="228">
        <v>17935869</v>
      </c>
    </row>
    <row r="46" spans="1:11" ht="12.75" customHeight="1" x14ac:dyDescent="0.25">
      <c r="A46" s="285" t="s">
        <v>832</v>
      </c>
      <c r="B46" s="102"/>
      <c r="C46" s="229">
        <v>5642781</v>
      </c>
      <c r="D46" s="227">
        <v>8185090.5700000003</v>
      </c>
      <c r="E46" s="228">
        <v>1129334.49</v>
      </c>
      <c r="F46" s="229">
        <v>17810354</v>
      </c>
      <c r="G46" s="227">
        <v>17129022</v>
      </c>
      <c r="H46" s="227">
        <v>17129022</v>
      </c>
      <c r="I46" s="229">
        <v>18328053.539999995</v>
      </c>
      <c r="J46" s="227">
        <v>19611017.287799999</v>
      </c>
      <c r="K46" s="228">
        <v>20983788.497946002</v>
      </c>
    </row>
    <row r="47" spans="1:11" ht="12.75" customHeight="1" x14ac:dyDescent="0.25">
      <c r="A47" s="285" t="s">
        <v>833</v>
      </c>
      <c r="B47" s="102"/>
      <c r="C47" s="229"/>
      <c r="D47" s="227">
        <v>327020</v>
      </c>
      <c r="E47" s="228">
        <v>29218914.890000001</v>
      </c>
      <c r="F47" s="229">
        <v>854842</v>
      </c>
      <c r="G47" s="227">
        <v>818664</v>
      </c>
      <c r="H47" s="227">
        <v>818664</v>
      </c>
      <c r="I47" s="229">
        <v>875970.47999999975</v>
      </c>
      <c r="J47" s="227">
        <v>937288.41359999985</v>
      </c>
      <c r="K47" s="228">
        <v>1002898.6025520001</v>
      </c>
    </row>
    <row r="48" spans="1:11" ht="12.75" customHeight="1" x14ac:dyDescent="0.25">
      <c r="A48" s="285" t="s">
        <v>834</v>
      </c>
      <c r="B48" s="102"/>
      <c r="C48" s="229">
        <v>156247</v>
      </c>
      <c r="D48" s="227">
        <v>336537</v>
      </c>
      <c r="E48" s="228">
        <v>15490899.27</v>
      </c>
      <c r="F48" s="229">
        <v>1331932</v>
      </c>
      <c r="G48" s="227">
        <v>1268430</v>
      </c>
      <c r="H48" s="227">
        <v>1268430</v>
      </c>
      <c r="I48" s="229">
        <v>1357220.1000000003</v>
      </c>
      <c r="J48" s="227">
        <v>1452225.507</v>
      </c>
      <c r="K48" s="228">
        <v>1553881.2924900001</v>
      </c>
    </row>
    <row r="49" spans="1:11" ht="12.75" customHeight="1" x14ac:dyDescent="0.25">
      <c r="A49" s="285" t="s">
        <v>526</v>
      </c>
      <c r="B49" s="102"/>
      <c r="C49" s="229">
        <v>988552.8</v>
      </c>
      <c r="D49" s="227">
        <v>943861.03</v>
      </c>
      <c r="E49" s="228">
        <v>27583911.43</v>
      </c>
      <c r="F49" s="229">
        <v>16172273</v>
      </c>
      <c r="G49" s="227">
        <v>14921562</v>
      </c>
      <c r="H49" s="227">
        <v>14921562</v>
      </c>
      <c r="I49" s="229">
        <v>15966071</v>
      </c>
      <c r="J49" s="227">
        <v>17083696</v>
      </c>
      <c r="K49" s="228">
        <v>18279555</v>
      </c>
    </row>
    <row r="50" spans="1:11" ht="12.75" customHeight="1" x14ac:dyDescent="0.25">
      <c r="A50" s="285" t="s">
        <v>818</v>
      </c>
      <c r="B50" s="102"/>
      <c r="C50" s="229"/>
      <c r="D50" s="227"/>
      <c r="E50" s="228"/>
      <c r="F50" s="229"/>
      <c r="G50" s="227"/>
      <c r="H50" s="228"/>
      <c r="I50" s="229"/>
      <c r="J50" s="227"/>
      <c r="K50" s="228"/>
    </row>
    <row r="51" spans="1:11" ht="12.75" customHeight="1" x14ac:dyDescent="0.25">
      <c r="A51" s="285" t="s">
        <v>819</v>
      </c>
      <c r="B51" s="102"/>
      <c r="C51" s="229"/>
      <c r="D51" s="227"/>
      <c r="E51" s="228"/>
      <c r="F51" s="229"/>
      <c r="G51" s="227"/>
      <c r="H51" s="228"/>
      <c r="I51" s="229"/>
      <c r="J51" s="227"/>
      <c r="K51" s="228"/>
    </row>
    <row r="52" spans="1:11" ht="12.75" customHeight="1" x14ac:dyDescent="0.25">
      <c r="A52" s="285" t="s">
        <v>820</v>
      </c>
      <c r="B52" s="102">
        <v>1</v>
      </c>
      <c r="C52" s="229"/>
      <c r="D52" s="227"/>
      <c r="E52" s="228"/>
      <c r="F52" s="229"/>
      <c r="G52" s="227"/>
      <c r="H52" s="228"/>
      <c r="I52" s="229"/>
      <c r="J52" s="227"/>
      <c r="K52" s="228"/>
    </row>
    <row r="53" spans="1:11" ht="12.75" customHeight="1" x14ac:dyDescent="0.25">
      <c r="A53" s="51" t="s">
        <v>62</v>
      </c>
      <c r="B53" s="102"/>
      <c r="C53" s="43">
        <f>SUM(C41:C52)</f>
        <v>184886480.96000001</v>
      </c>
      <c r="D53" s="42">
        <f t="shared" ref="D53:K53" si="2">SUM(D41:D52)</f>
        <v>198728611.68000001</v>
      </c>
      <c r="E53" s="132">
        <f t="shared" si="2"/>
        <v>344139574.36000001</v>
      </c>
      <c r="F53" s="43">
        <f t="shared" si="2"/>
        <v>330650534</v>
      </c>
      <c r="G53" s="42">
        <f t="shared" si="2"/>
        <v>331932179</v>
      </c>
      <c r="H53" s="96">
        <f t="shared" si="2"/>
        <v>331932179</v>
      </c>
      <c r="I53" s="125">
        <f t="shared" si="2"/>
        <v>355167431.35000008</v>
      </c>
      <c r="J53" s="42">
        <f t="shared" si="2"/>
        <v>380029151.76450002</v>
      </c>
      <c r="K53" s="96">
        <f t="shared" si="2"/>
        <v>406631192.01801515</v>
      </c>
    </row>
    <row r="54" spans="1:11" ht="12.75" customHeight="1" x14ac:dyDescent="0.25">
      <c r="A54" s="51" t="s">
        <v>232</v>
      </c>
      <c r="B54" s="102"/>
      <c r="C54" s="26"/>
      <c r="D54" s="28"/>
      <c r="E54" s="59"/>
      <c r="F54" s="29"/>
      <c r="G54" s="28"/>
      <c r="H54" s="111"/>
      <c r="I54" s="124"/>
      <c r="J54" s="59"/>
      <c r="K54" s="136"/>
    </row>
    <row r="55" spans="1:11" ht="5.0999999999999996" customHeight="1" x14ac:dyDescent="0.25">
      <c r="A55" s="23"/>
      <c r="B55" s="102"/>
      <c r="C55" s="26"/>
      <c r="D55" s="25"/>
      <c r="E55" s="95"/>
      <c r="F55" s="26"/>
      <c r="G55" s="25"/>
      <c r="H55" s="95"/>
      <c r="I55" s="26"/>
      <c r="J55" s="25"/>
      <c r="K55" s="95"/>
    </row>
    <row r="56" spans="1:11" ht="12.75" customHeight="1" x14ac:dyDescent="0.25">
      <c r="A56" s="312" t="s">
        <v>390</v>
      </c>
      <c r="B56" s="298"/>
      <c r="C56" s="186">
        <f>C21+C37+C53</f>
        <v>203597248.44</v>
      </c>
      <c r="D56" s="187">
        <f t="shared" ref="D56:K56" si="3">D21+D37+D53</f>
        <v>230801284.08000001</v>
      </c>
      <c r="E56" s="313">
        <f t="shared" si="3"/>
        <v>347899851.24000001</v>
      </c>
      <c r="F56" s="186">
        <f t="shared" si="3"/>
        <v>346450174</v>
      </c>
      <c r="G56" s="187">
        <f t="shared" si="3"/>
        <v>346947238</v>
      </c>
      <c r="H56" s="188">
        <f t="shared" si="3"/>
        <v>346947238</v>
      </c>
      <c r="I56" s="314">
        <f t="shared" si="3"/>
        <v>371191514.24000007</v>
      </c>
      <c r="J56" s="187">
        <f t="shared" si="3"/>
        <v>397134620.46168</v>
      </c>
      <c r="K56" s="188">
        <f t="shared" si="3"/>
        <v>424891809.12911201</v>
      </c>
    </row>
    <row r="57" spans="1:11" ht="5.0999999999999996" customHeight="1" x14ac:dyDescent="0.25">
      <c r="A57" s="315"/>
      <c r="B57" s="316"/>
      <c r="C57" s="317"/>
      <c r="D57" s="317"/>
      <c r="E57" s="317"/>
      <c r="F57" s="317"/>
      <c r="G57" s="317"/>
      <c r="H57" s="317"/>
      <c r="I57" s="317"/>
      <c r="J57" s="317"/>
      <c r="K57" s="317"/>
    </row>
    <row r="58" spans="1:11" ht="12.75" customHeight="1" x14ac:dyDescent="0.25">
      <c r="A58" s="33" t="str">
        <f>head27a</f>
        <v>References</v>
      </c>
      <c r="B58" s="34"/>
      <c r="C58" s="27"/>
      <c r="D58" s="27"/>
      <c r="E58" s="27"/>
      <c r="F58" s="27"/>
      <c r="G58" s="27"/>
      <c r="H58" s="27"/>
      <c r="I58" s="27"/>
      <c r="J58" s="27"/>
      <c r="K58" s="27"/>
    </row>
    <row r="59" spans="1:11" ht="12.75" customHeight="1" x14ac:dyDescent="0.25">
      <c r="A59" s="45" t="s">
        <v>113</v>
      </c>
      <c r="B59" s="34"/>
      <c r="C59" s="27"/>
      <c r="D59" s="27"/>
      <c r="E59" s="27"/>
      <c r="F59" s="27"/>
      <c r="G59" s="27"/>
      <c r="H59" s="27"/>
      <c r="I59" s="27"/>
      <c r="J59" s="27"/>
      <c r="K59" s="27"/>
    </row>
    <row r="60" spans="1:11" ht="12.75" customHeight="1" x14ac:dyDescent="0.25">
      <c r="A60" s="33" t="s">
        <v>128</v>
      </c>
      <c r="B60" s="34"/>
      <c r="C60" s="40"/>
      <c r="D60" s="40"/>
      <c r="E60" s="40"/>
      <c r="F60" s="40"/>
      <c r="G60" s="40"/>
      <c r="H60" s="40"/>
      <c r="I60" s="40"/>
      <c r="J60" s="40"/>
      <c r="K60" s="40"/>
    </row>
    <row r="61" spans="1:11" ht="12.75" customHeight="1" x14ac:dyDescent="0.25">
      <c r="A61" s="45" t="s">
        <v>392</v>
      </c>
      <c r="B61" s="34"/>
      <c r="C61" s="40"/>
      <c r="D61" s="40"/>
      <c r="E61" s="40"/>
      <c r="F61" s="40"/>
      <c r="G61" s="40"/>
      <c r="H61" s="40"/>
      <c r="I61" s="40"/>
      <c r="J61" s="40"/>
      <c r="K61" s="40"/>
    </row>
    <row r="62" spans="1:11" ht="12.75" customHeight="1" x14ac:dyDescent="0.25">
      <c r="A62" s="45" t="s">
        <v>393</v>
      </c>
      <c r="B62" s="34"/>
      <c r="C62" s="40"/>
      <c r="D62" s="40"/>
      <c r="E62" s="40"/>
      <c r="F62" s="40"/>
      <c r="G62" s="40"/>
      <c r="H62" s="40"/>
      <c r="I62" s="40"/>
      <c r="J62" s="40"/>
      <c r="K62" s="40"/>
    </row>
    <row r="63" spans="1:11" ht="12.75" customHeight="1" x14ac:dyDescent="0.25">
      <c r="A63" s="45" t="s">
        <v>394</v>
      </c>
      <c r="B63" s="34"/>
      <c r="C63" s="40"/>
      <c r="D63" s="40"/>
      <c r="E63" s="40"/>
      <c r="F63" s="40"/>
      <c r="G63" s="40"/>
      <c r="H63" s="40"/>
      <c r="I63" s="40"/>
      <c r="J63" s="40"/>
      <c r="K63" s="40"/>
    </row>
    <row r="64" spans="1:11" ht="12.75" customHeight="1" x14ac:dyDescent="0.25">
      <c r="A64" s="45" t="s">
        <v>395</v>
      </c>
      <c r="B64" s="34"/>
      <c r="C64" s="40"/>
      <c r="D64" s="40"/>
      <c r="E64" s="40"/>
      <c r="F64" s="40"/>
      <c r="G64" s="40"/>
      <c r="H64" s="40"/>
      <c r="I64" s="40"/>
      <c r="J64" s="40"/>
      <c r="K64" s="40"/>
    </row>
    <row r="65" spans="1:13" ht="12.75" customHeight="1" x14ac:dyDescent="0.25">
      <c r="A65" s="45" t="s">
        <v>398</v>
      </c>
      <c r="B65" s="34"/>
      <c r="C65" s="40"/>
      <c r="D65" s="40"/>
      <c r="E65" s="40"/>
      <c r="F65" s="40"/>
      <c r="G65" s="40"/>
      <c r="H65" s="40"/>
      <c r="I65" s="40"/>
      <c r="J65" s="40"/>
      <c r="K65" s="40"/>
    </row>
    <row r="66" spans="1:13" ht="12.75" customHeight="1" x14ac:dyDescent="0.25">
      <c r="A66" s="45" t="s">
        <v>397</v>
      </c>
      <c r="B66" s="34"/>
      <c r="C66" s="40"/>
      <c r="D66" s="40"/>
      <c r="E66" s="40"/>
      <c r="F66" s="40"/>
      <c r="G66" s="40"/>
      <c r="H66" s="40"/>
      <c r="I66" s="40"/>
      <c r="J66" s="40"/>
      <c r="K66" s="40"/>
      <c r="M66" s="49"/>
    </row>
    <row r="67" spans="1:13" ht="12.75" customHeight="1" x14ac:dyDescent="0.25">
      <c r="A67" s="45" t="s">
        <v>396</v>
      </c>
      <c r="B67" s="34"/>
      <c r="C67" s="40"/>
      <c r="D67" s="40"/>
      <c r="E67" s="40"/>
      <c r="F67" s="40"/>
      <c r="G67" s="40"/>
      <c r="H67" s="40"/>
      <c r="I67" s="40"/>
      <c r="J67" s="40"/>
      <c r="K67" s="40"/>
    </row>
    <row r="68" spans="1:13" ht="12.75" customHeight="1" x14ac:dyDescent="0.25">
      <c r="A68" s="45" t="s">
        <v>399</v>
      </c>
      <c r="B68" s="34"/>
      <c r="C68" s="40"/>
      <c r="D68" s="40"/>
      <c r="E68" s="40"/>
      <c r="F68" s="40"/>
      <c r="G68" s="40"/>
      <c r="H68" s="40"/>
      <c r="I68" s="40"/>
      <c r="J68" s="40"/>
      <c r="K68" s="40"/>
    </row>
    <row r="69" spans="1:13" ht="12.75" customHeight="1" x14ac:dyDescent="0.25">
      <c r="A69" s="45" t="s">
        <v>400</v>
      </c>
      <c r="B69" s="34"/>
      <c r="C69" s="40"/>
      <c r="D69" s="40"/>
      <c r="E69" s="40"/>
      <c r="F69" s="40"/>
      <c r="G69" s="40"/>
      <c r="H69" s="40"/>
      <c r="I69" s="40"/>
      <c r="J69" s="40"/>
      <c r="K69" s="40"/>
    </row>
    <row r="71" spans="1:13" x14ac:dyDescent="0.25">
      <c r="B71" s="19"/>
    </row>
    <row r="72" spans="1:13" x14ac:dyDescent="0.25">
      <c r="B72" s="19"/>
    </row>
    <row r="73" spans="1:13" x14ac:dyDescent="0.25">
      <c r="B73" s="19"/>
    </row>
    <row r="74" spans="1:13" x14ac:dyDescent="0.25">
      <c r="B74" s="19"/>
    </row>
    <row r="75" spans="1:13" x14ac:dyDescent="0.25">
      <c r="B75" s="19"/>
    </row>
    <row r="76" spans="1:13" x14ac:dyDescent="0.25">
      <c r="B76" s="19"/>
    </row>
    <row r="77" spans="1:13" x14ac:dyDescent="0.25">
      <c r="B77" s="19"/>
    </row>
    <row r="78" spans="1:13" x14ac:dyDescent="0.25">
      <c r="B78" s="19"/>
    </row>
    <row r="79" spans="1:13" x14ac:dyDescent="0.25">
      <c r="B79" s="19"/>
    </row>
    <row r="80" spans="1:13" x14ac:dyDescent="0.25">
      <c r="B80" s="19"/>
    </row>
    <row r="81" spans="2:2" x14ac:dyDescent="0.25">
      <c r="B81" s="19"/>
    </row>
    <row r="82" spans="2:2" x14ac:dyDescent="0.25">
      <c r="B82" s="19"/>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19"/>
    </row>
    <row r="101" spans="2:2" x14ac:dyDescent="0.25">
      <c r="B101" s="19"/>
    </row>
    <row r="102" spans="2:2" x14ac:dyDescent="0.25">
      <c r="B102" s="19"/>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19"/>
    </row>
    <row r="114" spans="2:2" x14ac:dyDescent="0.25">
      <c r="B114" s="19"/>
    </row>
    <row r="115" spans="2:2" x14ac:dyDescent="0.25">
      <c r="B115" s="19"/>
    </row>
    <row r="116" spans="2:2" x14ac:dyDescent="0.25">
      <c r="B116" s="19"/>
    </row>
    <row r="117" spans="2:2" x14ac:dyDescent="0.25">
      <c r="B117" s="19"/>
    </row>
    <row r="118" spans="2:2" x14ac:dyDescent="0.25">
      <c r="B118" s="19"/>
    </row>
    <row r="119" spans="2:2" x14ac:dyDescent="0.25">
      <c r="B119" s="19"/>
    </row>
    <row r="120" spans="2:2" x14ac:dyDescent="0.25">
      <c r="B120" s="19"/>
    </row>
    <row r="121" spans="2:2" x14ac:dyDescent="0.25">
      <c r="B121" s="19"/>
    </row>
    <row r="122" spans="2:2" x14ac:dyDescent="0.25">
      <c r="B122" s="19"/>
    </row>
    <row r="123" spans="2:2" x14ac:dyDescent="0.25">
      <c r="B123" s="19"/>
    </row>
    <row r="124" spans="2:2" x14ac:dyDescent="0.25">
      <c r="B124" s="19"/>
    </row>
    <row r="125" spans="2:2" x14ac:dyDescent="0.25">
      <c r="B125" s="19"/>
    </row>
    <row r="126" spans="2:2" x14ac:dyDescent="0.25">
      <c r="B126" s="19"/>
    </row>
    <row r="127" spans="2:2" x14ac:dyDescent="0.25">
      <c r="B127" s="19"/>
    </row>
    <row r="128" spans="2:2" x14ac:dyDescent="0.25">
      <c r="B128" s="19"/>
    </row>
    <row r="129" spans="2:2" x14ac:dyDescent="0.25">
      <c r="B129" s="19"/>
    </row>
    <row r="130" spans="2:2" x14ac:dyDescent="0.25">
      <c r="B130" s="19"/>
    </row>
    <row r="131" spans="2:2" x14ac:dyDescent="0.25">
      <c r="B131" s="19"/>
    </row>
    <row r="132" spans="2:2" x14ac:dyDescent="0.25">
      <c r="B132" s="19"/>
    </row>
    <row r="133" spans="2:2" x14ac:dyDescent="0.25">
      <c r="B133" s="19"/>
    </row>
    <row r="134" spans="2:2" x14ac:dyDescent="0.25">
      <c r="B134" s="19"/>
    </row>
    <row r="135" spans="2:2" x14ac:dyDescent="0.25">
      <c r="B135" s="19"/>
    </row>
    <row r="136" spans="2:2" x14ac:dyDescent="0.25">
      <c r="B136" s="19"/>
    </row>
    <row r="137" spans="2:2" x14ac:dyDescent="0.25">
      <c r="B137" s="19"/>
    </row>
    <row r="138" spans="2:2" x14ac:dyDescent="0.25">
      <c r="B138" s="19"/>
    </row>
    <row r="139" spans="2:2" x14ac:dyDescent="0.25">
      <c r="B139" s="19"/>
    </row>
    <row r="140" spans="2:2" x14ac:dyDescent="0.25">
      <c r="B140" s="19"/>
    </row>
    <row r="141" spans="2:2" x14ac:dyDescent="0.25">
      <c r="B141" s="19"/>
    </row>
    <row r="142" spans="2:2" x14ac:dyDescent="0.25">
      <c r="B142" s="19"/>
    </row>
    <row r="143" spans="2:2" x14ac:dyDescent="0.25">
      <c r="B143" s="19"/>
    </row>
    <row r="144" spans="2:2" x14ac:dyDescent="0.25">
      <c r="B144" s="19"/>
    </row>
    <row r="145" spans="2:2" x14ac:dyDescent="0.25">
      <c r="B145" s="19"/>
    </row>
  </sheetData>
  <sheetProtection sheet="1" objects="1" scenarios="1"/>
  <mergeCells count="11">
    <mergeCell ref="K3:K4"/>
    <mergeCell ref="E3:E4"/>
    <mergeCell ref="F3:F4"/>
    <mergeCell ref="G3:G4"/>
    <mergeCell ref="H3:H4"/>
    <mergeCell ref="J3:J4"/>
    <mergeCell ref="C3:C4"/>
    <mergeCell ref="D3:D4"/>
    <mergeCell ref="A2:A4"/>
    <mergeCell ref="B2:B4"/>
    <mergeCell ref="I3:I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zoomScaleNormal="100" workbookViewId="0">
      <pane xSplit="2" ySplit="3" topLeftCell="C4" activePane="bottomRight" state="frozen"/>
      <selection activeCell="M160" sqref="M158:P160"/>
      <selection pane="topRight" activeCell="M160" sqref="M158:P160"/>
      <selection pane="bottomLeft" activeCell="M160" sqref="M158:P160"/>
      <selection pane="bottomRight" activeCell="M160" sqref="M158:P160"/>
    </sheetView>
  </sheetViews>
  <sheetFormatPr defaultRowHeight="12.75" x14ac:dyDescent="0.25"/>
  <cols>
    <col min="1" max="1" width="37.7109375" style="19" customWidth="1"/>
    <col min="2" max="2" width="3"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1" ht="13.5" customHeight="1" x14ac:dyDescent="0.25">
      <c r="A1" s="318" t="str">
        <f>MEB5b</f>
        <v>Centlec - Supporting Table SD5 Summary of personnel numbers</v>
      </c>
      <c r="B1" s="318"/>
      <c r="C1" s="318"/>
      <c r="D1" s="318"/>
      <c r="E1" s="318"/>
      <c r="F1" s="318"/>
      <c r="G1" s="318"/>
      <c r="H1" s="318"/>
      <c r="I1" s="318"/>
      <c r="J1" s="318"/>
      <c r="K1" s="318"/>
    </row>
    <row r="2" spans="1:11" ht="28.5" customHeight="1" x14ac:dyDescent="0.25">
      <c r="A2" s="319" t="s">
        <v>498</v>
      </c>
      <c r="B2" s="320" t="str">
        <f>head27</f>
        <v>Ref</v>
      </c>
      <c r="C2" s="724" t="str">
        <f>Head1</f>
        <v>2018/19</v>
      </c>
      <c r="D2" s="697"/>
      <c r="E2" s="698"/>
      <c r="F2" s="725" t="str">
        <f>Head2</f>
        <v>Current Year 2019/20</v>
      </c>
      <c r="G2" s="726"/>
      <c r="H2" s="727"/>
      <c r="I2" s="693" t="str">
        <f>Head9</f>
        <v>Budget Year 2020/21</v>
      </c>
      <c r="J2" s="694"/>
      <c r="K2" s="695"/>
    </row>
    <row r="3" spans="1:11" ht="25.5" x14ac:dyDescent="0.25">
      <c r="A3" s="392" t="s">
        <v>499</v>
      </c>
      <c r="B3" s="321">
        <v>1</v>
      </c>
      <c r="C3" s="322" t="s">
        <v>500</v>
      </c>
      <c r="D3" s="323" t="s">
        <v>221</v>
      </c>
      <c r="E3" s="324" t="s">
        <v>501</v>
      </c>
      <c r="F3" s="322" t="s">
        <v>500</v>
      </c>
      <c r="G3" s="323" t="s">
        <v>221</v>
      </c>
      <c r="H3" s="324" t="s">
        <v>501</v>
      </c>
      <c r="I3" s="322" t="s">
        <v>500</v>
      </c>
      <c r="J3" s="323" t="s">
        <v>221</v>
      </c>
      <c r="K3" s="324" t="s">
        <v>501</v>
      </c>
    </row>
    <row r="4" spans="1:11" x14ac:dyDescent="0.25">
      <c r="A4" s="325" t="s">
        <v>502</v>
      </c>
      <c r="B4" s="302"/>
      <c r="C4" s="326"/>
      <c r="D4" s="326"/>
      <c r="E4" s="327"/>
      <c r="F4" s="328"/>
      <c r="G4" s="326"/>
      <c r="H4" s="329"/>
      <c r="I4" s="330"/>
      <c r="J4" s="326"/>
      <c r="K4" s="327"/>
    </row>
    <row r="5" spans="1:11" ht="11.25" customHeight="1" x14ac:dyDescent="0.25">
      <c r="A5" s="284" t="s">
        <v>503</v>
      </c>
      <c r="B5" s="302"/>
      <c r="C5" s="331"/>
      <c r="D5" s="331"/>
      <c r="E5" s="332"/>
      <c r="F5" s="333"/>
      <c r="G5" s="331"/>
      <c r="H5" s="334"/>
      <c r="I5" s="335"/>
      <c r="J5" s="331"/>
      <c r="K5" s="332"/>
    </row>
    <row r="6" spans="1:11" ht="11.25" customHeight="1" x14ac:dyDescent="0.25">
      <c r="A6" s="284" t="s">
        <v>504</v>
      </c>
      <c r="B6" s="302">
        <v>3</v>
      </c>
      <c r="C6" s="331">
        <v>8</v>
      </c>
      <c r="D6" s="331"/>
      <c r="E6" s="332"/>
      <c r="F6" s="333">
        <v>8</v>
      </c>
      <c r="G6" s="331">
        <v>5</v>
      </c>
      <c r="H6" s="334"/>
      <c r="I6" s="335">
        <v>5</v>
      </c>
      <c r="J6" s="331">
        <v>4</v>
      </c>
      <c r="K6" s="332"/>
    </row>
    <row r="7" spans="1:11" ht="11.25" customHeight="1" x14ac:dyDescent="0.25">
      <c r="A7" s="325" t="s">
        <v>782</v>
      </c>
      <c r="B7" s="302">
        <v>4</v>
      </c>
      <c r="C7" s="331"/>
      <c r="D7" s="331"/>
      <c r="E7" s="332"/>
      <c r="F7" s="333"/>
      <c r="G7" s="331"/>
      <c r="H7" s="334"/>
      <c r="I7" s="335"/>
      <c r="J7" s="331"/>
      <c r="K7" s="332"/>
    </row>
    <row r="8" spans="1:11" ht="11.25" customHeight="1" x14ac:dyDescent="0.25">
      <c r="A8" s="284" t="s">
        <v>783</v>
      </c>
      <c r="B8" s="302">
        <v>2</v>
      </c>
      <c r="C8" s="331"/>
      <c r="D8" s="331">
        <v>17</v>
      </c>
      <c r="E8" s="332"/>
      <c r="F8" s="333">
        <v>7</v>
      </c>
      <c r="G8" s="331">
        <v>6</v>
      </c>
      <c r="H8" s="334"/>
      <c r="I8" s="335">
        <v>7</v>
      </c>
      <c r="J8" s="331"/>
      <c r="K8" s="332">
        <v>7</v>
      </c>
    </row>
    <row r="9" spans="1:11" ht="11.25" customHeight="1" x14ac:dyDescent="0.25">
      <c r="A9" s="284" t="s">
        <v>134</v>
      </c>
      <c r="B9" s="302">
        <v>6</v>
      </c>
      <c r="C9" s="331"/>
      <c r="D9" s="331"/>
      <c r="E9" s="332"/>
      <c r="F9" s="333"/>
      <c r="G9" s="331">
        <v>45</v>
      </c>
      <c r="H9" s="334"/>
      <c r="I9" s="335"/>
      <c r="J9" s="331">
        <v>45</v>
      </c>
      <c r="K9" s="332"/>
    </row>
    <row r="10" spans="1:11" ht="11.25" customHeight="1" x14ac:dyDescent="0.25">
      <c r="A10" s="284" t="s">
        <v>505</v>
      </c>
      <c r="B10" s="302"/>
      <c r="C10" s="336">
        <f>SUM(C11:C18)</f>
        <v>0</v>
      </c>
      <c r="D10" s="336">
        <f>SUM(D11:D18)</f>
        <v>184</v>
      </c>
      <c r="E10" s="337">
        <f t="shared" ref="E10:K10" si="0">SUM(E11:E18)</f>
        <v>0</v>
      </c>
      <c r="F10" s="338">
        <f t="shared" si="0"/>
        <v>0</v>
      </c>
      <c r="G10" s="336">
        <f t="shared" si="0"/>
        <v>28</v>
      </c>
      <c r="H10" s="339">
        <f t="shared" si="0"/>
        <v>0</v>
      </c>
      <c r="I10" s="340">
        <f t="shared" si="0"/>
        <v>0</v>
      </c>
      <c r="J10" s="336">
        <f t="shared" si="0"/>
        <v>254</v>
      </c>
      <c r="K10" s="337">
        <f t="shared" si="0"/>
        <v>0</v>
      </c>
    </row>
    <row r="11" spans="1:11" ht="11.25" customHeight="1" x14ac:dyDescent="0.25">
      <c r="A11" s="404" t="s">
        <v>222</v>
      </c>
      <c r="B11" s="302"/>
      <c r="C11" s="331"/>
      <c r="D11" s="331">
        <v>53</v>
      </c>
      <c r="E11" s="332"/>
      <c r="F11" s="333"/>
      <c r="G11" s="331">
        <v>28</v>
      </c>
      <c r="H11" s="334"/>
      <c r="I11" s="335"/>
      <c r="J11" s="331">
        <v>75</v>
      </c>
      <c r="K11" s="332"/>
    </row>
    <row r="12" spans="1:11" ht="11.25" customHeight="1" x14ac:dyDescent="0.25">
      <c r="A12" s="404" t="s">
        <v>506</v>
      </c>
      <c r="B12" s="302"/>
      <c r="C12" s="331"/>
      <c r="D12" s="331"/>
      <c r="E12" s="332"/>
      <c r="F12" s="333"/>
      <c r="G12" s="331">
        <v>0</v>
      </c>
      <c r="H12" s="334"/>
      <c r="I12" s="335"/>
      <c r="J12" s="331"/>
      <c r="K12" s="332"/>
    </row>
    <row r="13" spans="1:11" ht="11.25" customHeight="1" x14ac:dyDescent="0.25">
      <c r="A13" s="404" t="s">
        <v>253</v>
      </c>
      <c r="B13" s="302"/>
      <c r="C13" s="331"/>
      <c r="D13" s="331">
        <v>9</v>
      </c>
      <c r="E13" s="332"/>
      <c r="F13" s="333"/>
      <c r="G13" s="331">
        <v>0</v>
      </c>
      <c r="H13" s="334"/>
      <c r="I13" s="335"/>
      <c r="J13" s="331">
        <v>12</v>
      </c>
      <c r="K13" s="332"/>
    </row>
    <row r="14" spans="1:11" ht="11.25" customHeight="1" x14ac:dyDescent="0.25">
      <c r="A14" s="404" t="s">
        <v>507</v>
      </c>
      <c r="B14" s="302"/>
      <c r="C14" s="331"/>
      <c r="D14" s="331"/>
      <c r="E14" s="332"/>
      <c r="F14" s="333"/>
      <c r="G14" s="331">
        <v>0</v>
      </c>
      <c r="H14" s="334"/>
      <c r="I14" s="335"/>
      <c r="J14" s="331"/>
      <c r="K14" s="332"/>
    </row>
    <row r="15" spans="1:11" ht="11.25" customHeight="1" x14ac:dyDescent="0.25">
      <c r="A15" s="404" t="s">
        <v>143</v>
      </c>
      <c r="B15" s="302"/>
      <c r="C15" s="331"/>
      <c r="D15" s="331">
        <v>122</v>
      </c>
      <c r="E15" s="332"/>
      <c r="F15" s="333"/>
      <c r="G15" s="331">
        <v>0</v>
      </c>
      <c r="H15" s="334"/>
      <c r="I15" s="335"/>
      <c r="J15" s="331">
        <v>167</v>
      </c>
      <c r="K15" s="332"/>
    </row>
    <row r="16" spans="1:11" ht="11.25" customHeight="1" x14ac:dyDescent="0.25">
      <c r="A16" s="404" t="s">
        <v>3</v>
      </c>
      <c r="B16" s="302"/>
      <c r="C16" s="331"/>
      <c r="D16" s="331"/>
      <c r="E16" s="332"/>
      <c r="F16" s="333"/>
      <c r="G16" s="331"/>
      <c r="H16" s="334"/>
      <c r="I16" s="335"/>
      <c r="J16" s="331"/>
      <c r="K16" s="332"/>
    </row>
    <row r="17" spans="1:11" ht="11.25" customHeight="1" x14ac:dyDescent="0.25">
      <c r="A17" s="404" t="s">
        <v>4</v>
      </c>
      <c r="B17" s="302"/>
      <c r="C17" s="331"/>
      <c r="D17" s="331"/>
      <c r="E17" s="332"/>
      <c r="F17" s="333"/>
      <c r="G17" s="331"/>
      <c r="H17" s="334"/>
      <c r="I17" s="335"/>
      <c r="J17" s="331"/>
      <c r="K17" s="332"/>
    </row>
    <row r="18" spans="1:11" ht="11.25" customHeight="1" x14ac:dyDescent="0.25">
      <c r="A18" s="404" t="s">
        <v>91</v>
      </c>
      <c r="B18" s="302"/>
      <c r="C18" s="331"/>
      <c r="D18" s="331"/>
      <c r="E18" s="332"/>
      <c r="F18" s="333"/>
      <c r="G18" s="331"/>
      <c r="H18" s="334"/>
      <c r="I18" s="335"/>
      <c r="J18" s="331"/>
      <c r="K18" s="332"/>
    </row>
    <row r="19" spans="1:11" ht="11.25" customHeight="1" x14ac:dyDescent="0.25">
      <c r="A19" s="404" t="s">
        <v>229</v>
      </c>
      <c r="B19" s="302"/>
      <c r="C19" s="331"/>
      <c r="D19" s="331">
        <v>397</v>
      </c>
      <c r="E19" s="332">
        <v>41</v>
      </c>
      <c r="F19" s="333"/>
      <c r="G19" s="331">
        <v>316</v>
      </c>
      <c r="H19" s="334"/>
      <c r="I19" s="335"/>
      <c r="J19" s="331"/>
      <c r="K19" s="332"/>
    </row>
    <row r="20" spans="1:11" ht="11.25" customHeight="1" x14ac:dyDescent="0.25">
      <c r="A20" s="284" t="s">
        <v>508</v>
      </c>
      <c r="B20" s="302"/>
      <c r="C20" s="336">
        <f>SUM(C21:C28)</f>
        <v>0</v>
      </c>
      <c r="D20" s="336">
        <f>SUM(D21:D28)</f>
        <v>0</v>
      </c>
      <c r="E20" s="337">
        <f t="shared" ref="E20:K20" si="1">SUM(E21:E28)</f>
        <v>0</v>
      </c>
      <c r="F20" s="338">
        <f t="shared" si="1"/>
        <v>0</v>
      </c>
      <c r="G20" s="336">
        <f t="shared" si="1"/>
        <v>174</v>
      </c>
      <c r="H20" s="339">
        <f t="shared" si="1"/>
        <v>0</v>
      </c>
      <c r="I20" s="340">
        <f t="shared" si="1"/>
        <v>0</v>
      </c>
      <c r="J20" s="336">
        <f t="shared" si="1"/>
        <v>282</v>
      </c>
      <c r="K20" s="337">
        <f t="shared" si="1"/>
        <v>0</v>
      </c>
    </row>
    <row r="21" spans="1:11" ht="11.25" customHeight="1" x14ac:dyDescent="0.25">
      <c r="A21" s="404" t="s">
        <v>222</v>
      </c>
      <c r="B21" s="302"/>
      <c r="C21" s="331"/>
      <c r="D21" s="331"/>
      <c r="E21" s="332"/>
      <c r="F21" s="333"/>
      <c r="G21" s="331"/>
      <c r="H21" s="334"/>
      <c r="I21" s="335"/>
      <c r="J21" s="331"/>
      <c r="K21" s="332"/>
    </row>
    <row r="22" spans="1:11" ht="11.25" customHeight="1" x14ac:dyDescent="0.25">
      <c r="A22" s="404" t="s">
        <v>506</v>
      </c>
      <c r="B22" s="302"/>
      <c r="C22" s="331"/>
      <c r="D22" s="331"/>
      <c r="E22" s="332"/>
      <c r="F22" s="333"/>
      <c r="G22" s="331"/>
      <c r="H22" s="334"/>
      <c r="I22" s="335"/>
      <c r="J22" s="331"/>
      <c r="K22" s="332"/>
    </row>
    <row r="23" spans="1:11" ht="11.25" customHeight="1" x14ac:dyDescent="0.25">
      <c r="A23" s="404" t="s">
        <v>253</v>
      </c>
      <c r="B23" s="302"/>
      <c r="C23" s="331"/>
      <c r="D23" s="331"/>
      <c r="E23" s="332"/>
      <c r="F23" s="333"/>
      <c r="G23" s="331">
        <v>15</v>
      </c>
      <c r="H23" s="334"/>
      <c r="I23" s="335"/>
      <c r="J23" s="331"/>
      <c r="K23" s="332"/>
    </row>
    <row r="24" spans="1:11" ht="11.25" customHeight="1" x14ac:dyDescent="0.25">
      <c r="A24" s="404" t="s">
        <v>507</v>
      </c>
      <c r="B24" s="302"/>
      <c r="C24" s="331"/>
      <c r="D24" s="331"/>
      <c r="E24" s="332"/>
      <c r="F24" s="333"/>
      <c r="G24" s="331"/>
      <c r="H24" s="334"/>
      <c r="I24" s="335"/>
      <c r="J24" s="331"/>
      <c r="K24" s="332"/>
    </row>
    <row r="25" spans="1:11" ht="11.25" customHeight="1" x14ac:dyDescent="0.25">
      <c r="A25" s="404" t="s">
        <v>143</v>
      </c>
      <c r="B25" s="302"/>
      <c r="C25" s="331"/>
      <c r="D25" s="331"/>
      <c r="E25" s="332"/>
      <c r="F25" s="333"/>
      <c r="G25" s="331">
        <v>159</v>
      </c>
      <c r="H25" s="334"/>
      <c r="I25" s="335"/>
      <c r="J25" s="331">
        <v>282</v>
      </c>
      <c r="K25" s="332"/>
    </row>
    <row r="26" spans="1:11" ht="11.25" customHeight="1" x14ac:dyDescent="0.25">
      <c r="A26" s="404" t="s">
        <v>3</v>
      </c>
      <c r="B26" s="302"/>
      <c r="C26" s="331"/>
      <c r="D26" s="331"/>
      <c r="E26" s="332"/>
      <c r="F26" s="333"/>
      <c r="G26" s="331"/>
      <c r="H26" s="334"/>
      <c r="I26" s="335"/>
      <c r="J26" s="331"/>
      <c r="K26" s="332"/>
    </row>
    <row r="27" spans="1:11" ht="11.25" customHeight="1" x14ac:dyDescent="0.25">
      <c r="A27" s="404" t="s">
        <v>4</v>
      </c>
      <c r="B27" s="302"/>
      <c r="C27" s="331"/>
      <c r="D27" s="331"/>
      <c r="E27" s="332"/>
      <c r="F27" s="333"/>
      <c r="G27" s="331"/>
      <c r="H27" s="334"/>
      <c r="I27" s="335"/>
      <c r="J27" s="331"/>
      <c r="K27" s="332"/>
    </row>
    <row r="28" spans="1:11" ht="11.25" customHeight="1" x14ac:dyDescent="0.25">
      <c r="A28" s="404" t="s">
        <v>91</v>
      </c>
      <c r="B28" s="302"/>
      <c r="C28" s="331"/>
      <c r="D28" s="331"/>
      <c r="E28" s="332"/>
      <c r="F28" s="333"/>
      <c r="G28" s="331"/>
      <c r="H28" s="334"/>
      <c r="I28" s="335"/>
      <c r="J28" s="331"/>
      <c r="K28" s="332"/>
    </row>
    <row r="29" spans="1:11" ht="11.25" customHeight="1" x14ac:dyDescent="0.25">
      <c r="A29" s="404" t="s">
        <v>229</v>
      </c>
      <c r="B29" s="302"/>
      <c r="C29" s="331"/>
      <c r="D29" s="331"/>
      <c r="E29" s="332"/>
      <c r="F29" s="333"/>
      <c r="G29" s="331">
        <v>64</v>
      </c>
      <c r="H29" s="334"/>
      <c r="I29" s="335"/>
      <c r="J29" s="331">
        <v>64</v>
      </c>
      <c r="K29" s="332"/>
    </row>
    <row r="30" spans="1:11" ht="11.25" customHeight="1" x14ac:dyDescent="0.25">
      <c r="A30" s="284" t="s">
        <v>509</v>
      </c>
      <c r="B30" s="302"/>
      <c r="C30" s="331"/>
      <c r="D30" s="331"/>
      <c r="E30" s="332"/>
      <c r="F30" s="333"/>
      <c r="G30" s="331">
        <v>34</v>
      </c>
      <c r="H30" s="334"/>
      <c r="I30" s="335"/>
      <c r="J30" s="331">
        <v>34</v>
      </c>
      <c r="K30" s="332"/>
    </row>
    <row r="31" spans="1:11" ht="11.25" customHeight="1" x14ac:dyDescent="0.25">
      <c r="A31" s="284" t="s">
        <v>510</v>
      </c>
      <c r="B31" s="302"/>
      <c r="C31" s="331"/>
      <c r="D31" s="331"/>
      <c r="E31" s="332"/>
      <c r="F31" s="333"/>
      <c r="G31" s="331"/>
      <c r="H31" s="334"/>
      <c r="I31" s="335"/>
      <c r="J31" s="331"/>
      <c r="K31" s="332"/>
    </row>
    <row r="32" spans="1:11" ht="11.25" customHeight="1" x14ac:dyDescent="0.25">
      <c r="A32" s="284" t="s">
        <v>511</v>
      </c>
      <c r="B32" s="302"/>
      <c r="C32" s="331"/>
      <c r="D32" s="331"/>
      <c r="E32" s="332"/>
      <c r="F32" s="333"/>
      <c r="G32" s="331"/>
      <c r="H32" s="334"/>
      <c r="I32" s="335"/>
      <c r="J32" s="331"/>
      <c r="K32" s="332"/>
    </row>
    <row r="33" spans="1:11" ht="11.25" customHeight="1" x14ac:dyDescent="0.25">
      <c r="A33" s="284" t="s">
        <v>512</v>
      </c>
      <c r="B33" s="302"/>
      <c r="C33" s="331"/>
      <c r="D33" s="331"/>
      <c r="E33" s="332"/>
      <c r="F33" s="333"/>
      <c r="G33" s="331"/>
      <c r="H33" s="334"/>
      <c r="I33" s="335"/>
      <c r="J33" s="331"/>
      <c r="K33" s="332"/>
    </row>
    <row r="34" spans="1:11" ht="11.25" customHeight="1" x14ac:dyDescent="0.25">
      <c r="A34" s="284" t="s">
        <v>513</v>
      </c>
      <c r="B34" s="302"/>
      <c r="C34" s="331"/>
      <c r="D34" s="331"/>
      <c r="E34" s="332"/>
      <c r="F34" s="333"/>
      <c r="G34" s="331"/>
      <c r="H34" s="334"/>
      <c r="I34" s="335"/>
      <c r="J34" s="331"/>
      <c r="K34" s="332"/>
    </row>
    <row r="35" spans="1:11" ht="11.25" customHeight="1" x14ac:dyDescent="0.25">
      <c r="A35" s="284" t="s">
        <v>514</v>
      </c>
      <c r="B35" s="302"/>
      <c r="C35" s="331"/>
      <c r="D35" s="331"/>
      <c r="E35" s="332"/>
      <c r="F35" s="333"/>
      <c r="G35" s="331"/>
      <c r="H35" s="334"/>
      <c r="I35" s="335"/>
      <c r="J35" s="331"/>
      <c r="K35" s="332"/>
    </row>
    <row r="36" spans="1:11" ht="11.25" customHeight="1" x14ac:dyDescent="0.25">
      <c r="A36" s="405" t="s">
        <v>784</v>
      </c>
      <c r="B36" s="302"/>
      <c r="C36" s="341">
        <f>SUM(C5:C9)+SUM(C11:C19)+SUM(C21:C35)</f>
        <v>8</v>
      </c>
      <c r="D36" s="341">
        <f t="shared" ref="D36:K36" si="2">SUM(D5:D9)+SUM(D11:D19)+SUM(D21:D35)</f>
        <v>598</v>
      </c>
      <c r="E36" s="342">
        <f t="shared" si="2"/>
        <v>41</v>
      </c>
      <c r="F36" s="343">
        <f t="shared" si="2"/>
        <v>15</v>
      </c>
      <c r="G36" s="341">
        <f t="shared" si="2"/>
        <v>672</v>
      </c>
      <c r="H36" s="344">
        <f t="shared" si="2"/>
        <v>0</v>
      </c>
      <c r="I36" s="345">
        <f t="shared" si="2"/>
        <v>12</v>
      </c>
      <c r="J36" s="341">
        <f t="shared" si="2"/>
        <v>683</v>
      </c>
      <c r="K36" s="344">
        <f t="shared" si="2"/>
        <v>7</v>
      </c>
    </row>
    <row r="37" spans="1:11" ht="11.25" customHeight="1" x14ac:dyDescent="0.25">
      <c r="A37" s="406" t="s">
        <v>232</v>
      </c>
      <c r="B37" s="302"/>
      <c r="C37" s="346"/>
      <c r="D37" s="347">
        <f>IF(ISERROR((D36/C36)-1),0,((D36/C36)-1))</f>
        <v>73.75</v>
      </c>
      <c r="E37" s="348">
        <f>IF(ISERROR((E36/D36)-1),0,((E36/D36)-1))</f>
        <v>-0.93143812709030105</v>
      </c>
      <c r="F37" s="349">
        <f>IF(ISERROR((F36/E36)-1),0,((F36/E36)-1))</f>
        <v>-0.63414634146341464</v>
      </c>
      <c r="G37" s="350">
        <f>IF(ISERROR((G36/E36)-1),0,((G36/E36)-1))</f>
        <v>15.390243902439025</v>
      </c>
      <c r="H37" s="351">
        <f>IF(ISERROR((H36/E36)-1),0,((H36/E36)-1))</f>
        <v>-1</v>
      </c>
      <c r="I37" s="352">
        <f>IF(ISERROR((I36/H36)-1),0,((I36/H36)-1))</f>
        <v>0</v>
      </c>
      <c r="J37" s="350">
        <f>IF(ISERROR((J36/I36)-1),0,((J36/I36)-1))</f>
        <v>55.916666666666664</v>
      </c>
      <c r="K37" s="353">
        <f>IF(ISERROR((K36/J36)-1),0,((K36/J36)-1))</f>
        <v>-0.98975109809663253</v>
      </c>
    </row>
    <row r="38" spans="1:11" ht="3.75" customHeight="1" x14ac:dyDescent="0.25">
      <c r="A38" s="406"/>
      <c r="B38" s="302"/>
      <c r="C38" s="346"/>
      <c r="D38" s="350"/>
      <c r="E38" s="353"/>
      <c r="F38" s="349"/>
      <c r="G38" s="350"/>
      <c r="H38" s="351"/>
      <c r="I38" s="352"/>
      <c r="J38" s="350"/>
      <c r="K38" s="353"/>
    </row>
    <row r="39" spans="1:11" ht="11.25" customHeight="1" x14ac:dyDescent="0.25">
      <c r="A39" s="325" t="s">
        <v>524</v>
      </c>
      <c r="B39" s="302">
        <v>5</v>
      </c>
      <c r="C39" s="354"/>
      <c r="D39" s="355"/>
      <c r="E39" s="356"/>
      <c r="F39" s="357"/>
      <c r="G39" s="358"/>
      <c r="H39" s="359"/>
      <c r="I39" s="360"/>
      <c r="J39" s="358"/>
      <c r="K39" s="361"/>
    </row>
    <row r="40" spans="1:11" ht="11.25" customHeight="1" x14ac:dyDescent="0.25">
      <c r="A40" s="285" t="s">
        <v>515</v>
      </c>
      <c r="B40" s="302">
        <v>7</v>
      </c>
      <c r="C40" s="354"/>
      <c r="D40" s="355"/>
      <c r="E40" s="356"/>
      <c r="F40" s="357"/>
      <c r="G40" s="358"/>
      <c r="H40" s="359"/>
      <c r="I40" s="360"/>
      <c r="J40" s="358"/>
      <c r="K40" s="361"/>
    </row>
    <row r="41" spans="1:11" ht="11.25" customHeight="1" x14ac:dyDescent="0.25">
      <c r="A41" s="362" t="s">
        <v>516</v>
      </c>
      <c r="B41" s="363">
        <v>7</v>
      </c>
      <c r="C41" s="364"/>
      <c r="D41" s="365"/>
      <c r="E41" s="366"/>
      <c r="F41" s="367"/>
      <c r="G41" s="368"/>
      <c r="H41" s="369"/>
      <c r="I41" s="370"/>
      <c r="J41" s="368"/>
      <c r="K41" s="371"/>
    </row>
    <row r="42" spans="1:11" ht="11.25" customHeight="1" x14ac:dyDescent="0.25">
      <c r="A42" s="372"/>
      <c r="B42" s="34"/>
      <c r="C42" s="48"/>
      <c r="D42" s="48"/>
      <c r="E42" s="48"/>
      <c r="F42" s="48"/>
      <c r="G42" s="48"/>
      <c r="H42" s="48"/>
      <c r="I42" s="48"/>
      <c r="J42" s="48"/>
      <c r="K42" s="48"/>
    </row>
    <row r="43" spans="1:11" ht="11.25" customHeight="1" x14ac:dyDescent="0.25">
      <c r="A43" s="415" t="str">
        <f>head27a</f>
        <v>References</v>
      </c>
      <c r="B43" s="373"/>
      <c r="C43" s="374"/>
      <c r="D43" s="374"/>
      <c r="E43" s="374"/>
      <c r="F43" s="374"/>
      <c r="G43" s="374"/>
      <c r="H43" s="374"/>
      <c r="I43" s="374"/>
      <c r="J43" s="374"/>
      <c r="K43" s="374"/>
    </row>
    <row r="44" spans="1:11" ht="11.25" customHeight="1" x14ac:dyDescent="0.25">
      <c r="A44" s="416" t="s">
        <v>517</v>
      </c>
      <c r="B44" s="375"/>
      <c r="C44" s="376"/>
      <c r="D44" s="376"/>
      <c r="E44" s="376"/>
      <c r="F44" s="376"/>
      <c r="G44" s="376"/>
      <c r="H44" s="376"/>
      <c r="I44" s="376"/>
      <c r="J44" s="376"/>
      <c r="K44" s="376"/>
    </row>
    <row r="45" spans="1:11" ht="11.25" customHeight="1" x14ac:dyDescent="0.25">
      <c r="A45" s="416" t="s">
        <v>518</v>
      </c>
      <c r="B45" s="375"/>
      <c r="C45" s="376"/>
      <c r="D45" s="376"/>
      <c r="E45" s="376"/>
      <c r="F45" s="376"/>
      <c r="G45" s="376"/>
      <c r="H45" s="376"/>
      <c r="I45" s="376"/>
      <c r="J45" s="376"/>
      <c r="K45" s="376"/>
    </row>
    <row r="46" spans="1:11" ht="11.25" customHeight="1" x14ac:dyDescent="0.25">
      <c r="A46" s="416" t="s">
        <v>519</v>
      </c>
      <c r="B46" s="375"/>
      <c r="C46" s="376"/>
      <c r="D46" s="376"/>
      <c r="E46" s="376"/>
      <c r="F46" s="376"/>
      <c r="G46" s="376"/>
      <c r="H46" s="376"/>
      <c r="I46" s="376"/>
      <c r="J46" s="376"/>
      <c r="K46" s="376"/>
    </row>
    <row r="47" spans="1:11" ht="11.25" customHeight="1" x14ac:dyDescent="0.25">
      <c r="A47" s="416" t="s">
        <v>520</v>
      </c>
      <c r="B47" s="375"/>
      <c r="C47" s="376"/>
      <c r="D47" s="376"/>
      <c r="E47" s="376"/>
      <c r="F47" s="376"/>
      <c r="G47" s="376"/>
      <c r="H47" s="376"/>
      <c r="I47" s="376"/>
      <c r="J47" s="376"/>
      <c r="K47" s="376"/>
    </row>
    <row r="48" spans="1:11" ht="11.25" customHeight="1" x14ac:dyDescent="0.25">
      <c r="A48" s="416" t="s">
        <v>521</v>
      </c>
      <c r="B48" s="375"/>
      <c r="C48" s="376"/>
      <c r="D48" s="376"/>
      <c r="E48" s="376"/>
      <c r="F48" s="376"/>
      <c r="G48" s="376"/>
      <c r="H48" s="376"/>
      <c r="I48" s="376"/>
      <c r="J48" s="376"/>
      <c r="K48" s="376"/>
    </row>
    <row r="49" spans="1:11" ht="11.25" customHeight="1" x14ac:dyDescent="0.25">
      <c r="A49" s="416" t="s">
        <v>522</v>
      </c>
      <c r="B49" s="375"/>
      <c r="C49" s="376"/>
      <c r="D49" s="376"/>
      <c r="E49" s="376"/>
      <c r="F49" s="376"/>
      <c r="G49" s="376"/>
      <c r="H49" s="376"/>
      <c r="I49" s="376"/>
      <c r="J49" s="376"/>
      <c r="K49" s="376"/>
    </row>
    <row r="50" spans="1:11" ht="11.25" customHeight="1" x14ac:dyDescent="0.25">
      <c r="A50" s="416" t="s">
        <v>523</v>
      </c>
      <c r="B50" s="375"/>
      <c r="C50" s="376"/>
      <c r="D50" s="376"/>
      <c r="E50" s="376"/>
      <c r="F50" s="376"/>
      <c r="G50" s="376"/>
      <c r="H50" s="376"/>
      <c r="I50" s="376"/>
      <c r="J50" s="376"/>
      <c r="K50" s="376"/>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FF0000"/>
    <pageSetUpPr fitToPage="1"/>
  </sheetPr>
  <dimension ref="A1:S243"/>
  <sheetViews>
    <sheetView showGridLines="0" zoomScaleNormal="100" workbookViewId="0">
      <pane xSplit="1" ySplit="4" topLeftCell="B222" activePane="bottomRight" state="frozen"/>
      <selection activeCell="M160" sqref="M158:P160"/>
      <selection pane="topRight" activeCell="M160" sqref="M158:P160"/>
      <selection pane="bottomLeft" activeCell="M160" sqref="M158:P160"/>
      <selection pane="bottomRight" activeCell="E239" sqref="E239"/>
    </sheetView>
  </sheetViews>
  <sheetFormatPr defaultRowHeight="13.5" x14ac:dyDescent="0.25"/>
  <cols>
    <col min="1" max="1" width="41.7109375" style="19" customWidth="1"/>
    <col min="2" max="2" width="7.140625" style="19" customWidth="1"/>
    <col min="3" max="3" width="7" style="19" customWidth="1"/>
    <col min="4" max="4" width="7.5703125" style="19" customWidth="1"/>
    <col min="5" max="5" width="7.42578125" style="19" customWidth="1"/>
    <col min="6" max="6" width="7.7109375" style="19" customWidth="1"/>
    <col min="7" max="7" width="7.28515625" style="19" customWidth="1"/>
    <col min="8" max="8" width="6.85546875" style="19" customWidth="1"/>
    <col min="9" max="9" width="7.42578125" style="19" customWidth="1"/>
    <col min="10" max="10" width="6.85546875" style="19" customWidth="1"/>
    <col min="11" max="12" width="7.5703125" style="19" customWidth="1"/>
    <col min="13" max="13" width="8" style="19" customWidth="1"/>
    <col min="14" max="16" width="8.7109375" style="19" customWidth="1"/>
    <col min="17" max="17" width="14" bestFit="1" customWidth="1"/>
    <col min="18" max="19" width="11.5703125" bestFit="1" customWidth="1"/>
  </cols>
  <sheetData>
    <row r="1" spans="1:17" x14ac:dyDescent="0.25">
      <c r="A1" s="100" t="str">
        <f>_MEB8</f>
        <v>Centlec - Supporting Table SD6 Budgeted monthly cash and revenue/expenditure</v>
      </c>
      <c r="C1" s="41"/>
      <c r="L1" s="761"/>
      <c r="M1" s="761"/>
      <c r="N1" s="761"/>
      <c r="O1" s="761"/>
      <c r="P1" s="761"/>
      <c r="Q1" s="686"/>
    </row>
    <row r="2" spans="1:17" ht="25.5" x14ac:dyDescent="0.2">
      <c r="A2" s="715" t="str">
        <f>desc</f>
        <v>Description</v>
      </c>
      <c r="B2" s="118" t="str">
        <f>Head9</f>
        <v>Budget Year 2020/21</v>
      </c>
      <c r="C2" s="116"/>
      <c r="D2" s="116"/>
      <c r="E2" s="116"/>
      <c r="F2" s="116"/>
      <c r="G2" s="116"/>
      <c r="H2" s="116"/>
      <c r="I2" s="116"/>
      <c r="J2" s="116"/>
      <c r="K2" s="116"/>
      <c r="L2" s="767"/>
      <c r="M2" s="766"/>
      <c r="N2" s="118" t="str">
        <f>Head3a</f>
        <v>Medium Term Revenue and Expenditure Framework</v>
      </c>
      <c r="O2" s="116"/>
      <c r="P2" s="117"/>
    </row>
    <row r="3" spans="1:17" ht="25.5" x14ac:dyDescent="0.2">
      <c r="A3" s="716"/>
      <c r="B3" s="113" t="s">
        <v>271</v>
      </c>
      <c r="C3" s="91" t="s">
        <v>344</v>
      </c>
      <c r="D3" s="91" t="s">
        <v>345</v>
      </c>
      <c r="E3" s="91" t="s">
        <v>346</v>
      </c>
      <c r="F3" s="91" t="s">
        <v>347</v>
      </c>
      <c r="G3" s="101" t="s">
        <v>348</v>
      </c>
      <c r="H3" s="114" t="s">
        <v>349</v>
      </c>
      <c r="I3" s="135" t="s">
        <v>350</v>
      </c>
      <c r="J3" s="91" t="s">
        <v>351</v>
      </c>
      <c r="K3" s="91" t="s">
        <v>352</v>
      </c>
      <c r="L3" s="135" t="s">
        <v>353</v>
      </c>
      <c r="M3" s="135" t="s">
        <v>354</v>
      </c>
      <c r="N3" s="710" t="str">
        <f>Head9</f>
        <v>Budget Year 2020/21</v>
      </c>
      <c r="O3" s="708" t="str">
        <f>Head10</f>
        <v>Budget Year +1 2021/22</v>
      </c>
      <c r="P3" s="706" t="str">
        <f>Head11</f>
        <v>Budget Year +2 2022/23</v>
      </c>
    </row>
    <row r="4" spans="1:17" x14ac:dyDescent="0.25">
      <c r="A4" s="140" t="s">
        <v>184</v>
      </c>
      <c r="B4" s="139"/>
      <c r="C4" s="137"/>
      <c r="D4" s="137"/>
      <c r="E4" s="137"/>
      <c r="F4" s="137"/>
      <c r="G4" s="138"/>
      <c r="H4" s="137"/>
      <c r="I4" s="138"/>
      <c r="J4" s="137"/>
      <c r="K4" s="137"/>
      <c r="L4" s="138"/>
      <c r="M4" s="138"/>
      <c r="N4" s="711"/>
      <c r="O4" s="709"/>
      <c r="P4" s="707"/>
    </row>
    <row r="5" spans="1:17" x14ac:dyDescent="0.25">
      <c r="A5" s="21" t="s">
        <v>1019</v>
      </c>
      <c r="B5" s="26"/>
      <c r="C5" s="25"/>
      <c r="D5" s="25"/>
      <c r="E5" s="25"/>
      <c r="F5" s="25"/>
      <c r="G5" s="58"/>
      <c r="H5" s="25"/>
      <c r="I5" s="25"/>
      <c r="J5" s="25"/>
      <c r="K5" s="25"/>
      <c r="L5" s="58"/>
      <c r="M5" s="58"/>
      <c r="N5" s="26"/>
      <c r="O5" s="25"/>
      <c r="P5" s="95"/>
    </row>
    <row r="6" spans="1:17" x14ac:dyDescent="0.25">
      <c r="A6" s="285" t="s">
        <v>360</v>
      </c>
      <c r="B6" s="229"/>
      <c r="C6" s="227"/>
      <c r="D6" s="227"/>
      <c r="E6" s="227"/>
      <c r="F6" s="227"/>
      <c r="G6" s="227"/>
      <c r="H6" s="227"/>
      <c r="I6" s="227"/>
      <c r="J6" s="227"/>
      <c r="K6" s="227"/>
      <c r="L6" s="245"/>
      <c r="M6" s="227"/>
      <c r="N6" s="26"/>
      <c r="O6" s="25"/>
      <c r="P6" s="95"/>
    </row>
    <row r="7" spans="1:17" x14ac:dyDescent="0.25">
      <c r="A7" s="285" t="s">
        <v>307</v>
      </c>
      <c r="B7" s="229">
        <v>260434228.34618556</v>
      </c>
      <c r="C7" s="227">
        <v>294008175.80254465</v>
      </c>
      <c r="D7" s="227">
        <v>246358630.34999999</v>
      </c>
      <c r="E7" s="227">
        <v>229934721.66000003</v>
      </c>
      <c r="F7" s="227">
        <v>216248131.08500001</v>
      </c>
      <c r="G7" s="227">
        <v>205298858.625</v>
      </c>
      <c r="H7" s="227">
        <v>191612268.05000001</v>
      </c>
      <c r="I7" s="227">
        <v>177925677.47499999</v>
      </c>
      <c r="J7" s="227">
        <v>161501768.785</v>
      </c>
      <c r="K7" s="227">
        <v>246358630.34999999</v>
      </c>
      <c r="L7" s="245">
        <v>243824774.18241924</v>
      </c>
      <c r="M7" s="227">
        <v>263812250.28885043</v>
      </c>
      <c r="N7" s="26">
        <v>2737318115</v>
      </c>
      <c r="O7" s="25">
        <v>2806709385</v>
      </c>
      <c r="P7" s="95">
        <v>2941207435.5085402</v>
      </c>
    </row>
    <row r="8" spans="1:17" hidden="1" x14ac:dyDescent="0.25">
      <c r="A8" s="285" t="s">
        <v>308</v>
      </c>
      <c r="B8" s="229"/>
      <c r="C8" s="227"/>
      <c r="D8" s="227"/>
      <c r="E8" s="227"/>
      <c r="F8" s="227"/>
      <c r="G8" s="227"/>
      <c r="H8" s="227"/>
      <c r="I8" s="227"/>
      <c r="J8" s="227"/>
      <c r="K8" s="227"/>
      <c r="L8" s="245"/>
      <c r="M8" s="227"/>
      <c r="N8" s="26"/>
      <c r="O8" s="25"/>
      <c r="P8" s="95"/>
    </row>
    <row r="9" spans="1:17" hidden="1" x14ac:dyDescent="0.25">
      <c r="A9" s="285" t="s">
        <v>309</v>
      </c>
      <c r="B9" s="229"/>
      <c r="C9" s="227"/>
      <c r="D9" s="227"/>
      <c r="E9" s="227"/>
      <c r="F9" s="227"/>
      <c r="G9" s="227"/>
      <c r="H9" s="227"/>
      <c r="I9" s="227"/>
      <c r="J9" s="227"/>
      <c r="K9" s="227"/>
      <c r="L9" s="245"/>
      <c r="M9" s="227"/>
      <c r="N9" s="26"/>
      <c r="O9" s="25"/>
      <c r="P9" s="95"/>
    </row>
    <row r="10" spans="1:17" hidden="1" x14ac:dyDescent="0.25">
      <c r="A10" s="285" t="s">
        <v>769</v>
      </c>
      <c r="B10" s="229"/>
      <c r="C10" s="227"/>
      <c r="D10" s="227"/>
      <c r="E10" s="227"/>
      <c r="F10" s="227"/>
      <c r="G10" s="227"/>
      <c r="H10" s="227"/>
      <c r="I10" s="227"/>
      <c r="J10" s="227"/>
      <c r="K10" s="227"/>
      <c r="L10" s="245"/>
      <c r="M10" s="227"/>
      <c r="N10" s="26"/>
      <c r="O10" s="25"/>
      <c r="P10" s="95"/>
    </row>
    <row r="11" spans="1:17" ht="0.95" hidden="1" customHeight="1" x14ac:dyDescent="0.25">
      <c r="A11" s="285"/>
      <c r="B11" s="424"/>
      <c r="C11" s="422"/>
      <c r="D11" s="422"/>
      <c r="E11" s="422"/>
      <c r="F11" s="227"/>
      <c r="G11" s="227"/>
      <c r="H11" s="227"/>
      <c r="I11" s="227"/>
      <c r="J11" s="227"/>
      <c r="K11" s="227"/>
      <c r="L11" s="245"/>
      <c r="M11" s="227"/>
      <c r="N11" s="424"/>
      <c r="O11" s="422"/>
      <c r="P11" s="425"/>
    </row>
    <row r="12" spans="1:17" hidden="1" x14ac:dyDescent="0.25">
      <c r="A12" s="285" t="s">
        <v>405</v>
      </c>
      <c r="B12" s="229"/>
      <c r="C12" s="227"/>
      <c r="D12" s="227"/>
      <c r="E12" s="227"/>
      <c r="F12" s="227"/>
      <c r="G12" s="227"/>
      <c r="H12" s="227"/>
      <c r="I12" s="227"/>
      <c r="J12" s="227"/>
      <c r="K12" s="227"/>
      <c r="L12" s="245"/>
      <c r="M12" s="227"/>
      <c r="N12" s="26"/>
      <c r="O12" s="25"/>
      <c r="P12" s="95"/>
    </row>
    <row r="13" spans="1:17" x14ac:dyDescent="0.25">
      <c r="A13" s="285" t="s">
        <v>312</v>
      </c>
      <c r="B13" s="229">
        <v>375573.29750000004</v>
      </c>
      <c r="C13" s="227">
        <v>375573.29750000004</v>
      </c>
      <c r="D13" s="227">
        <v>375573.29750000004</v>
      </c>
      <c r="E13" s="227">
        <v>375573.29750000004</v>
      </c>
      <c r="F13" s="227">
        <v>375573.29750000004</v>
      </c>
      <c r="G13" s="227">
        <v>375573.29750000004</v>
      </c>
      <c r="H13" s="227">
        <v>375573.29750000004</v>
      </c>
      <c r="I13" s="227">
        <v>375573.29750000004</v>
      </c>
      <c r="J13" s="227">
        <v>375573.29750000004</v>
      </c>
      <c r="K13" s="227">
        <v>375573.29750000004</v>
      </c>
      <c r="L13" s="245">
        <v>375573.29750000004</v>
      </c>
      <c r="M13" s="227">
        <f t="shared" ref="M13:M21" si="0">N13-SUM(B13:L13)</f>
        <v>375573.2975000008</v>
      </c>
      <c r="N13" s="26">
        <v>4506879.57</v>
      </c>
      <c r="O13" s="25">
        <v>4723209.7893599998</v>
      </c>
      <c r="P13" s="95">
        <v>4949923.8592492798</v>
      </c>
      <c r="Q13" s="679"/>
    </row>
    <row r="14" spans="1:17" x14ac:dyDescent="0.25">
      <c r="A14" s="285" t="s">
        <v>313</v>
      </c>
      <c r="B14" s="229">
        <v>1092283.1465</v>
      </c>
      <c r="C14" s="227">
        <v>1092283.1465</v>
      </c>
      <c r="D14" s="227">
        <v>1092283.1465</v>
      </c>
      <c r="E14" s="227">
        <v>1092283.1465</v>
      </c>
      <c r="F14" s="227">
        <v>1092283.1465</v>
      </c>
      <c r="G14" s="227">
        <v>1092283.1465</v>
      </c>
      <c r="H14" s="227">
        <v>1092283.1465</v>
      </c>
      <c r="I14" s="227">
        <v>1092283.1465</v>
      </c>
      <c r="J14" s="227">
        <v>1092283.1465</v>
      </c>
      <c r="K14" s="227">
        <v>1092283.1465</v>
      </c>
      <c r="L14" s="245">
        <v>1092283.1465</v>
      </c>
      <c r="M14" s="227">
        <f t="shared" si="0"/>
        <v>1092283.146499997</v>
      </c>
      <c r="N14" s="26">
        <v>13107397.757999999</v>
      </c>
      <c r="O14" s="25">
        <v>13736552.850384001</v>
      </c>
      <c r="P14" s="95">
        <v>14395907.387202401</v>
      </c>
      <c r="Q14" s="679"/>
    </row>
    <row r="15" spans="1:17" hidden="1" x14ac:dyDescent="0.25">
      <c r="A15" s="285" t="s">
        <v>356</v>
      </c>
      <c r="B15" s="229"/>
      <c r="C15" s="227"/>
      <c r="D15" s="227"/>
      <c r="E15" s="227"/>
      <c r="F15" s="227"/>
      <c r="G15" s="227"/>
      <c r="H15" s="227"/>
      <c r="I15" s="227"/>
      <c r="J15" s="227"/>
      <c r="K15" s="227"/>
      <c r="L15" s="245"/>
      <c r="M15" s="227"/>
      <c r="N15" s="26"/>
      <c r="O15" s="25"/>
      <c r="P15" s="95"/>
      <c r="Q15" s="679"/>
    </row>
    <row r="16" spans="1:17" x14ac:dyDescent="0.25">
      <c r="A16" s="285" t="s">
        <v>849</v>
      </c>
      <c r="B16" s="229">
        <v>566729.33750000002</v>
      </c>
      <c r="C16" s="227">
        <v>566729.33750000002</v>
      </c>
      <c r="D16" s="227">
        <v>566729.33750000002</v>
      </c>
      <c r="E16" s="227">
        <v>566729.33750000002</v>
      </c>
      <c r="F16" s="227">
        <v>566729.33750000002</v>
      </c>
      <c r="G16" s="227">
        <v>566729.33750000002</v>
      </c>
      <c r="H16" s="227">
        <v>566729.33750000002</v>
      </c>
      <c r="I16" s="227">
        <v>566729.33750000002</v>
      </c>
      <c r="J16" s="227">
        <v>566729.33750000002</v>
      </c>
      <c r="K16" s="227">
        <v>566729.33750000002</v>
      </c>
      <c r="L16" s="245">
        <v>566729.33750000002</v>
      </c>
      <c r="M16" s="227">
        <f t="shared" si="0"/>
        <v>566729.33749999851</v>
      </c>
      <c r="N16" s="26">
        <v>6800752.0499999998</v>
      </c>
      <c r="O16" s="25">
        <v>7127188.1484000003</v>
      </c>
      <c r="P16" s="95">
        <v>7469293.1795231998</v>
      </c>
      <c r="Q16" s="679"/>
    </row>
    <row r="17" spans="1:19" hidden="1" x14ac:dyDescent="0.25">
      <c r="A17" s="285" t="s">
        <v>314</v>
      </c>
      <c r="B17" s="229"/>
      <c r="C17" s="227"/>
      <c r="D17" s="227"/>
      <c r="E17" s="227"/>
      <c r="F17" s="227"/>
      <c r="G17" s="227"/>
      <c r="H17" s="227"/>
      <c r="I17" s="227"/>
      <c r="J17" s="227"/>
      <c r="K17" s="227"/>
      <c r="L17" s="245"/>
      <c r="M17" s="227"/>
      <c r="N17" s="26"/>
      <c r="O17" s="25"/>
      <c r="P17" s="95"/>
      <c r="Q17" s="679"/>
    </row>
    <row r="18" spans="1:19" x14ac:dyDescent="0.25">
      <c r="A18" s="285" t="s">
        <v>114</v>
      </c>
      <c r="B18" s="229">
        <v>537518.82866666664</v>
      </c>
      <c r="C18" s="227">
        <v>537518.82866666664</v>
      </c>
      <c r="D18" s="227">
        <v>537518.82866666664</v>
      </c>
      <c r="E18" s="227">
        <v>537518.82866666664</v>
      </c>
      <c r="F18" s="227">
        <v>537518.82866666664</v>
      </c>
      <c r="G18" s="227">
        <v>537518.82866666664</v>
      </c>
      <c r="H18" s="227">
        <v>537518.82866666664</v>
      </c>
      <c r="I18" s="227">
        <v>537518.82866666664</v>
      </c>
      <c r="J18" s="227">
        <v>537518.82866666664</v>
      </c>
      <c r="K18" s="227">
        <v>537518.82866666664</v>
      </c>
      <c r="L18" s="245">
        <v>537518.82866666664</v>
      </c>
      <c r="M18" s="227">
        <f t="shared" si="0"/>
        <v>537518.82866666745</v>
      </c>
      <c r="N18" s="26">
        <v>6450225.9440000001</v>
      </c>
      <c r="O18" s="25">
        <v>6759836.7893120004</v>
      </c>
      <c r="P18" s="95">
        <v>7084308.9551989799</v>
      </c>
      <c r="Q18" s="679"/>
    </row>
    <row r="19" spans="1:19" x14ac:dyDescent="0.25">
      <c r="A19" s="285" t="s">
        <v>850</v>
      </c>
      <c r="B19" s="229">
        <v>5786068.8861666666</v>
      </c>
      <c r="C19" s="227">
        <v>5786068.8861666666</v>
      </c>
      <c r="D19" s="227">
        <v>5786068.8861666666</v>
      </c>
      <c r="E19" s="227">
        <v>5786068.8861666666</v>
      </c>
      <c r="F19" s="227">
        <v>5786068.8861666666</v>
      </c>
      <c r="G19" s="227">
        <v>5786068.8861666666</v>
      </c>
      <c r="H19" s="227">
        <v>5786068.8861666666</v>
      </c>
      <c r="I19" s="227">
        <v>5786068.8861666666</v>
      </c>
      <c r="J19" s="227">
        <v>5786068.8861666666</v>
      </c>
      <c r="K19" s="227">
        <v>5786068.8861666666</v>
      </c>
      <c r="L19" s="245">
        <v>5786068.8861666666</v>
      </c>
      <c r="M19" s="227">
        <f t="shared" si="0"/>
        <v>5786068.8861666545</v>
      </c>
      <c r="N19" s="26">
        <v>69432826.634000003</v>
      </c>
      <c r="O19" s="25">
        <v>37374178.464432001</v>
      </c>
      <c r="P19" s="95">
        <v>40320048.582724698</v>
      </c>
      <c r="Q19" s="679"/>
    </row>
    <row r="20" spans="1:19" x14ac:dyDescent="0.25">
      <c r="A20" s="285" t="s">
        <v>20</v>
      </c>
      <c r="B20" s="229">
        <v>1201168.7828333334</v>
      </c>
      <c r="C20" s="227">
        <v>1201168.7828333334</v>
      </c>
      <c r="D20" s="227">
        <v>1201168.7828333334</v>
      </c>
      <c r="E20" s="227">
        <v>1201168.7828333334</v>
      </c>
      <c r="F20" s="227">
        <v>1201168.7828333334</v>
      </c>
      <c r="G20" s="227">
        <v>1201168.7828333334</v>
      </c>
      <c r="H20" s="227">
        <v>1201168.7828333334</v>
      </c>
      <c r="I20" s="227">
        <v>1201168.7828333334</v>
      </c>
      <c r="J20" s="227">
        <v>1201168.7828333334</v>
      </c>
      <c r="K20" s="227">
        <v>1201168.7828333334</v>
      </c>
      <c r="L20" s="245">
        <v>1201168.7828333334</v>
      </c>
      <c r="M20" s="227">
        <f t="shared" si="0"/>
        <v>1201168.7828333303</v>
      </c>
      <c r="N20" s="26">
        <v>14414025.393999999</v>
      </c>
      <c r="O20" s="25">
        <v>15105898.612911999</v>
      </c>
      <c r="P20" s="95">
        <v>15830981.7463318</v>
      </c>
      <c r="Q20" s="679"/>
    </row>
    <row r="21" spans="1:19" x14ac:dyDescent="0.25">
      <c r="A21" s="656" t="s">
        <v>1169</v>
      </c>
      <c r="B21" s="229">
        <v>30016.713333333333</v>
      </c>
      <c r="C21" s="227">
        <v>30016.713333333333</v>
      </c>
      <c r="D21" s="227">
        <v>30016.713333333333</v>
      </c>
      <c r="E21" s="227">
        <v>30016.713333333333</v>
      </c>
      <c r="F21" s="227">
        <v>30016.713333333333</v>
      </c>
      <c r="G21" s="245">
        <v>30016.713333333333</v>
      </c>
      <c r="H21" s="227">
        <v>30016.713333333333</v>
      </c>
      <c r="I21" s="227">
        <v>30016.713333333333</v>
      </c>
      <c r="J21" s="227">
        <v>30016.713333333333</v>
      </c>
      <c r="K21" s="227">
        <v>30016.713333333333</v>
      </c>
      <c r="L21" s="245">
        <v>30016.713333333333</v>
      </c>
      <c r="M21" s="227">
        <f t="shared" si="0"/>
        <v>30016.713333333435</v>
      </c>
      <c r="N21" s="26">
        <v>360200.56</v>
      </c>
      <c r="O21" s="25">
        <v>377490.18687999999</v>
      </c>
      <c r="P21" s="95">
        <v>395609.71585024003</v>
      </c>
      <c r="Q21" s="679"/>
    </row>
    <row r="22" spans="1:19" x14ac:dyDescent="0.25">
      <c r="A22" s="55" t="s">
        <v>496</v>
      </c>
      <c r="B22" s="43">
        <f>SUM(B6:B10)+SUM(B12:B21)</f>
        <v>270023587.33868557</v>
      </c>
      <c r="C22" s="42">
        <f t="shared" ref="C22:P22" si="1">SUM(C6:C10)+SUM(C12:C21)</f>
        <v>303597534.79504466</v>
      </c>
      <c r="D22" s="42">
        <f t="shared" si="1"/>
        <v>255947989.3425</v>
      </c>
      <c r="E22" s="42">
        <f t="shared" si="1"/>
        <v>239524080.65250003</v>
      </c>
      <c r="F22" s="42">
        <f t="shared" si="1"/>
        <v>225837490.07750002</v>
      </c>
      <c r="G22" s="132">
        <f t="shared" si="1"/>
        <v>214888217.61750001</v>
      </c>
      <c r="H22" s="42">
        <f t="shared" si="1"/>
        <v>201201627.04250002</v>
      </c>
      <c r="I22" s="42">
        <f t="shared" si="1"/>
        <v>187515036.4675</v>
      </c>
      <c r="J22" s="42">
        <f t="shared" si="1"/>
        <v>171091127.7775</v>
      </c>
      <c r="K22" s="42">
        <f t="shared" si="1"/>
        <v>255947989.3425</v>
      </c>
      <c r="L22" s="132">
        <f t="shared" si="1"/>
        <v>253414133.17491925</v>
      </c>
      <c r="M22" s="132">
        <f t="shared" si="1"/>
        <v>273401609.28135043</v>
      </c>
      <c r="N22" s="43">
        <f t="shared" si="1"/>
        <v>2852390422.9099998</v>
      </c>
      <c r="O22" s="42">
        <f t="shared" si="1"/>
        <v>2891913739.84168</v>
      </c>
      <c r="P22" s="96">
        <f t="shared" si="1"/>
        <v>3031653508.9346209</v>
      </c>
    </row>
    <row r="23" spans="1:19" ht="5.25" customHeight="1" x14ac:dyDescent="0.25">
      <c r="A23" s="51"/>
      <c r="B23" s="26"/>
      <c r="C23" s="25"/>
      <c r="D23" s="25"/>
      <c r="E23" s="25"/>
      <c r="F23" s="25"/>
      <c r="G23" s="58"/>
      <c r="H23" s="25"/>
      <c r="I23" s="25"/>
      <c r="J23" s="25"/>
      <c r="K23" s="25"/>
      <c r="L23" s="58"/>
      <c r="M23" s="58"/>
      <c r="N23" s="26"/>
      <c r="O23" s="25"/>
      <c r="P23" s="95"/>
      <c r="Q23" s="679"/>
      <c r="R23" s="679"/>
      <c r="S23" s="679"/>
    </row>
    <row r="24" spans="1:19" ht="9.75" customHeight="1" x14ac:dyDescent="0.25">
      <c r="A24" s="21" t="s">
        <v>1020</v>
      </c>
      <c r="B24" s="26"/>
      <c r="C24" s="25"/>
      <c r="D24" s="25"/>
      <c r="E24" s="25"/>
      <c r="F24" s="25"/>
      <c r="G24" s="58"/>
      <c r="H24" s="25"/>
      <c r="I24" s="25"/>
      <c r="J24" s="25"/>
      <c r="K24" s="25"/>
      <c r="L24" s="58"/>
      <c r="M24" s="58"/>
      <c r="N24" s="26"/>
      <c r="O24" s="25"/>
      <c r="P24" s="95"/>
    </row>
    <row r="25" spans="1:19" x14ac:dyDescent="0.25">
      <c r="A25" s="22" t="s">
        <v>315</v>
      </c>
      <c r="B25" s="229">
        <v>30779984.780833337</v>
      </c>
      <c r="C25" s="227">
        <v>30779984.780833337</v>
      </c>
      <c r="D25" s="227">
        <v>30779984.780833337</v>
      </c>
      <c r="E25" s="227">
        <v>30779984.780833337</v>
      </c>
      <c r="F25" s="227">
        <v>30779984.780833337</v>
      </c>
      <c r="G25" s="245">
        <v>30779984.780833337</v>
      </c>
      <c r="H25" s="227">
        <v>30779984.780833337</v>
      </c>
      <c r="I25" s="227">
        <v>30779984.780833337</v>
      </c>
      <c r="J25" s="227">
        <v>30779984.780833337</v>
      </c>
      <c r="K25" s="227">
        <v>30779984.780833337</v>
      </c>
      <c r="L25" s="245">
        <v>30779984.780833337</v>
      </c>
      <c r="M25" s="227">
        <f t="shared" ref="M25:M34" si="2">N25-SUM(B25:L25)</f>
        <v>30779984.780833304</v>
      </c>
      <c r="N25" s="26">
        <v>369359817.37000006</v>
      </c>
      <c r="O25" s="25">
        <v>395215004.58590007</v>
      </c>
      <c r="P25" s="95">
        <v>422880054.90691304</v>
      </c>
    </row>
    <row r="26" spans="1:19" x14ac:dyDescent="0.25">
      <c r="A26" s="22" t="s">
        <v>2</v>
      </c>
      <c r="B26" s="229">
        <v>152651.49666666667</v>
      </c>
      <c r="C26" s="227">
        <v>152651.49666666667</v>
      </c>
      <c r="D26" s="227">
        <v>152651.49666666667</v>
      </c>
      <c r="E26" s="227">
        <v>152651.49666666667</v>
      </c>
      <c r="F26" s="227">
        <v>152651.49666666667</v>
      </c>
      <c r="G26" s="245">
        <v>152651.49666666667</v>
      </c>
      <c r="H26" s="227">
        <v>152651.49666666667</v>
      </c>
      <c r="I26" s="227">
        <v>152651.49666666667</v>
      </c>
      <c r="J26" s="227">
        <v>152651.49666666667</v>
      </c>
      <c r="K26" s="227">
        <v>152651.49666666667</v>
      </c>
      <c r="L26" s="245">
        <v>152651.49666666667</v>
      </c>
      <c r="M26" s="227">
        <f t="shared" si="2"/>
        <v>152651.49666666682</v>
      </c>
      <c r="N26" s="26">
        <v>1831817.96</v>
      </c>
      <c r="O26" s="25">
        <v>1919745.2220800002</v>
      </c>
      <c r="P26" s="95">
        <v>2011892.9927398399</v>
      </c>
    </row>
    <row r="27" spans="1:19" x14ac:dyDescent="0.25">
      <c r="A27" s="22" t="s">
        <v>136</v>
      </c>
      <c r="B27" s="229">
        <v>774799.91900000011</v>
      </c>
      <c r="C27" s="227">
        <v>774799.91900000011</v>
      </c>
      <c r="D27" s="227">
        <v>774799.91900000011</v>
      </c>
      <c r="E27" s="227">
        <v>774799.91900000011</v>
      </c>
      <c r="F27" s="227">
        <v>774799.91900000011</v>
      </c>
      <c r="G27" s="245">
        <v>774799.91900000011</v>
      </c>
      <c r="H27" s="227">
        <v>774799.91900000011</v>
      </c>
      <c r="I27" s="227">
        <v>774799.91900000011</v>
      </c>
      <c r="J27" s="227">
        <v>774799.91900000011</v>
      </c>
      <c r="K27" s="227">
        <v>774799.91900000011</v>
      </c>
      <c r="L27" s="245">
        <v>774799.91900000011</v>
      </c>
      <c r="M27" s="227">
        <f t="shared" si="2"/>
        <v>774799.91900000162</v>
      </c>
      <c r="N27" s="26">
        <v>9297599.0280000009</v>
      </c>
      <c r="O27" s="25">
        <v>9743883.7813440003</v>
      </c>
      <c r="P27" s="95">
        <v>10211590.202848513</v>
      </c>
    </row>
    <row r="28" spans="1:19" x14ac:dyDescent="0.25">
      <c r="A28" s="22" t="s">
        <v>179</v>
      </c>
      <c r="B28" s="229">
        <v>6179020.8073333325</v>
      </c>
      <c r="C28" s="227">
        <v>6179020.8073333325</v>
      </c>
      <c r="D28" s="227">
        <v>6179020.8073333325</v>
      </c>
      <c r="E28" s="227">
        <v>6179020.8073333325</v>
      </c>
      <c r="F28" s="227">
        <v>6179020.8073333325</v>
      </c>
      <c r="G28" s="245">
        <v>6179020.8073333325</v>
      </c>
      <c r="H28" s="227">
        <v>6179020.8073333325</v>
      </c>
      <c r="I28" s="227">
        <v>6179020.8073333325</v>
      </c>
      <c r="J28" s="227">
        <v>6179020.8073333325</v>
      </c>
      <c r="K28" s="227">
        <v>6179020.8073333325</v>
      </c>
      <c r="L28" s="245">
        <v>6179020.8073333325</v>
      </c>
      <c r="M28" s="227">
        <f t="shared" si="2"/>
        <v>6179020.8073333204</v>
      </c>
      <c r="N28" s="26">
        <v>74148249.687999994</v>
      </c>
      <c r="O28" s="25">
        <v>77707365.673023984</v>
      </c>
      <c r="P28" s="95">
        <v>81437319.225329146</v>
      </c>
    </row>
    <row r="29" spans="1:19" x14ac:dyDescent="0.25">
      <c r="A29" s="22" t="s">
        <v>19</v>
      </c>
      <c r="B29" s="229">
        <v>4721.2081666666663</v>
      </c>
      <c r="C29" s="227">
        <v>4721.2081666666663</v>
      </c>
      <c r="D29" s="227">
        <v>4721.2081666666663</v>
      </c>
      <c r="E29" s="227">
        <v>4721.2081666666663</v>
      </c>
      <c r="F29" s="227">
        <v>4721.2081666666663</v>
      </c>
      <c r="G29" s="245">
        <v>4721.2081666666663</v>
      </c>
      <c r="H29" s="227">
        <v>4721.2081666666663</v>
      </c>
      <c r="I29" s="227">
        <v>4721.2081666666663</v>
      </c>
      <c r="J29" s="227">
        <v>4721.2081666666663</v>
      </c>
      <c r="K29" s="227">
        <v>4721.2081666666663</v>
      </c>
      <c r="L29" s="245">
        <v>4721.2081666666663</v>
      </c>
      <c r="M29" s="227">
        <f t="shared" si="2"/>
        <v>4721.2081666666782</v>
      </c>
      <c r="N29" s="26">
        <v>56654.498</v>
      </c>
      <c r="O29" s="25">
        <v>59373.913904000001</v>
      </c>
      <c r="P29" s="95">
        <v>62223.861771392003</v>
      </c>
    </row>
    <row r="30" spans="1:19" x14ac:dyDescent="0.25">
      <c r="A30" s="22" t="s">
        <v>527</v>
      </c>
      <c r="B30" s="229">
        <v>157786076.7523872</v>
      </c>
      <c r="C30" s="227">
        <v>178127110.58603489</v>
      </c>
      <c r="D30" s="227">
        <v>149258267.63964</v>
      </c>
      <c r="E30" s="227">
        <v>139307716.46366403</v>
      </c>
      <c r="F30" s="227">
        <v>131015590.483684</v>
      </c>
      <c r="G30" s="245">
        <v>124381889.6997</v>
      </c>
      <c r="H30" s="227">
        <v>116089763.71972002</v>
      </c>
      <c r="I30" s="227">
        <v>107797637.73974001</v>
      </c>
      <c r="J30" s="227">
        <v>97847086.563763991</v>
      </c>
      <c r="K30" s="227">
        <v>149258267.63964</v>
      </c>
      <c r="L30" s="245">
        <v>147723111.42658663</v>
      </c>
      <c r="M30" s="227">
        <f t="shared" si="2"/>
        <v>159832677.2814393</v>
      </c>
      <c r="N30" s="26">
        <v>1658425195.9960001</v>
      </c>
      <c r="O30" s="25">
        <v>1738029605.4038081</v>
      </c>
      <c r="P30" s="95">
        <v>1848455026.4631908</v>
      </c>
    </row>
    <row r="31" spans="1:19" x14ac:dyDescent="0.25">
      <c r="A31" s="22" t="s">
        <v>355</v>
      </c>
      <c r="B31" s="229">
        <v>2527900.969833333</v>
      </c>
      <c r="C31" s="227">
        <v>2527900.969833333</v>
      </c>
      <c r="D31" s="227">
        <v>2527900.969833333</v>
      </c>
      <c r="E31" s="227">
        <v>2527900.969833333</v>
      </c>
      <c r="F31" s="227">
        <v>2527900.969833333</v>
      </c>
      <c r="G31" s="245">
        <v>2527900.969833333</v>
      </c>
      <c r="H31" s="227">
        <v>2527900.969833333</v>
      </c>
      <c r="I31" s="227">
        <v>2527900.969833333</v>
      </c>
      <c r="J31" s="227">
        <v>2527900.969833333</v>
      </c>
      <c r="K31" s="227">
        <v>2527900.969833333</v>
      </c>
      <c r="L31" s="245">
        <v>2527900.969833333</v>
      </c>
      <c r="M31" s="227">
        <f t="shared" si="2"/>
        <v>2527900.969833333</v>
      </c>
      <c r="N31" s="26">
        <v>30334811.637999997</v>
      </c>
      <c r="O31" s="25">
        <v>31788882.596623998</v>
      </c>
      <c r="P31" s="95">
        <v>33312656.961261947</v>
      </c>
    </row>
    <row r="32" spans="1:19" x14ac:dyDescent="0.25">
      <c r="A32" s="22" t="s">
        <v>317</v>
      </c>
      <c r="B32" s="229">
        <v>10583234.596833333</v>
      </c>
      <c r="C32" s="227">
        <v>10583234.596833333</v>
      </c>
      <c r="D32" s="227">
        <v>10583234.596833333</v>
      </c>
      <c r="E32" s="227">
        <v>10583234.596833333</v>
      </c>
      <c r="F32" s="227">
        <v>10583234.596833333</v>
      </c>
      <c r="G32" s="245">
        <v>10583234.596833333</v>
      </c>
      <c r="H32" s="227">
        <v>10583234.596833333</v>
      </c>
      <c r="I32" s="227">
        <v>10583234.596833333</v>
      </c>
      <c r="J32" s="227">
        <v>10583234.596833333</v>
      </c>
      <c r="K32" s="227">
        <v>10583234.596833333</v>
      </c>
      <c r="L32" s="245">
        <v>10583234.596833333</v>
      </c>
      <c r="M32" s="227">
        <f t="shared" si="2"/>
        <v>10583234.596833333</v>
      </c>
      <c r="N32" s="26">
        <v>126998815.162</v>
      </c>
      <c r="O32" s="25">
        <v>133094758.28977601</v>
      </c>
      <c r="P32" s="95">
        <v>139483306.68768525</v>
      </c>
    </row>
    <row r="33" spans="1:17" x14ac:dyDescent="0.25">
      <c r="A33" s="285" t="s">
        <v>850</v>
      </c>
      <c r="B33" s="229">
        <v>10000000</v>
      </c>
      <c r="C33" s="227">
        <v>10000000</v>
      </c>
      <c r="D33" s="227">
        <v>10000000</v>
      </c>
      <c r="E33" s="227">
        <v>10000000</v>
      </c>
      <c r="F33" s="227">
        <v>10000000</v>
      </c>
      <c r="G33" s="245">
        <v>10000000</v>
      </c>
      <c r="H33" s="227">
        <v>10000000</v>
      </c>
      <c r="I33" s="227">
        <v>10000000</v>
      </c>
      <c r="J33" s="227">
        <v>10000000</v>
      </c>
      <c r="K33" s="227">
        <v>10000000</v>
      </c>
      <c r="L33" s="245">
        <v>10000000</v>
      </c>
      <c r="M33" s="227">
        <f t="shared" si="2"/>
        <v>10000000</v>
      </c>
      <c r="N33" s="26">
        <v>120000000</v>
      </c>
      <c r="O33" s="25">
        <v>120000000</v>
      </c>
      <c r="P33" s="95">
        <v>120000000</v>
      </c>
    </row>
    <row r="34" spans="1:17" x14ac:dyDescent="0.25">
      <c r="A34" s="22" t="s">
        <v>6</v>
      </c>
      <c r="B34" s="229">
        <v>5997413.1351666674</v>
      </c>
      <c r="C34" s="227">
        <v>5997413.1351666674</v>
      </c>
      <c r="D34" s="227">
        <v>5997413.1351666674</v>
      </c>
      <c r="E34" s="227">
        <v>5997413.1351666674</v>
      </c>
      <c r="F34" s="227">
        <v>5997413.1351666674</v>
      </c>
      <c r="G34" s="227">
        <v>5997413.1351666674</v>
      </c>
      <c r="H34" s="227">
        <v>5997413.1351666674</v>
      </c>
      <c r="I34" s="227">
        <v>5997413.1351666674</v>
      </c>
      <c r="J34" s="227">
        <v>5997413.1351666674</v>
      </c>
      <c r="K34" s="227">
        <v>5997413.1351666674</v>
      </c>
      <c r="L34" s="245">
        <v>5997413.1351666674</v>
      </c>
      <c r="M34" s="227">
        <f t="shared" si="2"/>
        <v>5997413.1351666674</v>
      </c>
      <c r="N34" s="26">
        <v>71968957.622000009</v>
      </c>
      <c r="O34" s="25">
        <v>75423467.587856054</v>
      </c>
      <c r="P34" s="95">
        <v>79043794.032073081</v>
      </c>
    </row>
    <row r="35" spans="1:17" x14ac:dyDescent="0.25">
      <c r="A35" s="655" t="s">
        <v>1168</v>
      </c>
      <c r="B35" s="229"/>
      <c r="C35" s="227"/>
      <c r="D35" s="227"/>
      <c r="E35" s="227"/>
      <c r="F35" s="227"/>
      <c r="G35" s="245"/>
      <c r="H35" s="227"/>
      <c r="I35" s="227"/>
      <c r="J35" s="227"/>
      <c r="K35" s="227"/>
      <c r="L35" s="245"/>
      <c r="M35" s="227"/>
      <c r="N35" s="26"/>
      <c r="O35" s="25"/>
      <c r="P35" s="95"/>
    </row>
    <row r="36" spans="1:17" x14ac:dyDescent="0.25">
      <c r="A36" s="55" t="s">
        <v>47</v>
      </c>
      <c r="B36" s="43">
        <f t="shared" ref="B36:P36" si="3">SUM(B25:B35)</f>
        <v>224785803.66622058</v>
      </c>
      <c r="C36" s="42">
        <f t="shared" si="3"/>
        <v>245126837.49986824</v>
      </c>
      <c r="D36" s="42">
        <f t="shared" si="3"/>
        <v>216257994.55347338</v>
      </c>
      <c r="E36" s="42">
        <f t="shared" si="3"/>
        <v>206307443.3774974</v>
      </c>
      <c r="F36" s="42">
        <f t="shared" si="3"/>
        <v>198015317.39751735</v>
      </c>
      <c r="G36" s="42">
        <f t="shared" si="3"/>
        <v>191381616.61353335</v>
      </c>
      <c r="H36" s="42">
        <f t="shared" si="3"/>
        <v>183089490.63355336</v>
      </c>
      <c r="I36" s="42">
        <f t="shared" si="3"/>
        <v>174797364.65357336</v>
      </c>
      <c r="J36" s="42">
        <f t="shared" si="3"/>
        <v>164846813.47759733</v>
      </c>
      <c r="K36" s="42">
        <f t="shared" si="3"/>
        <v>216257994.55347338</v>
      </c>
      <c r="L36" s="132">
        <f t="shared" si="3"/>
        <v>214722838.34041998</v>
      </c>
      <c r="M36" s="42">
        <f t="shared" si="3"/>
        <v>226832404.19527259</v>
      </c>
      <c r="N36" s="43">
        <f t="shared" si="3"/>
        <v>2462421918.9620004</v>
      </c>
      <c r="O36" s="42">
        <f t="shared" si="3"/>
        <v>2582982087.0543156</v>
      </c>
      <c r="P36" s="96">
        <f t="shared" si="3"/>
        <v>2736897865.3338127</v>
      </c>
      <c r="Q36" s="679"/>
    </row>
    <row r="37" spans="1:17" ht="7.5" customHeight="1" x14ac:dyDescent="0.25">
      <c r="M37" s="748"/>
      <c r="N37" s="40"/>
      <c r="O37" s="40"/>
      <c r="P37" s="764"/>
    </row>
    <row r="38" spans="1:17" ht="27.75" customHeight="1" x14ac:dyDescent="0.25">
      <c r="A38" s="780"/>
      <c r="B38" s="777" t="str">
        <f>Head9</f>
        <v>Budget Year 2020/21</v>
      </c>
      <c r="C38" s="769"/>
      <c r="D38" s="769"/>
      <c r="E38" s="769"/>
      <c r="F38" s="769"/>
      <c r="G38" s="769"/>
      <c r="H38" s="769"/>
      <c r="I38" s="769"/>
      <c r="J38" s="769"/>
      <c r="K38" s="769"/>
      <c r="L38" s="775"/>
      <c r="M38" s="776"/>
      <c r="N38" s="118" t="str">
        <f>Head3a</f>
        <v>Medium Term Revenue and Expenditure Framework</v>
      </c>
      <c r="O38" s="116"/>
      <c r="P38" s="117"/>
    </row>
    <row r="39" spans="1:17" ht="25.5" x14ac:dyDescent="0.25">
      <c r="A39" s="781" t="s">
        <v>826</v>
      </c>
      <c r="B39" s="778" t="s">
        <v>271</v>
      </c>
      <c r="C39" s="587" t="s">
        <v>344</v>
      </c>
      <c r="D39" s="587" t="s">
        <v>345</v>
      </c>
      <c r="E39" s="587" t="s">
        <v>346</v>
      </c>
      <c r="F39" s="587" t="s">
        <v>347</v>
      </c>
      <c r="G39" s="684" t="s">
        <v>348</v>
      </c>
      <c r="H39" s="115" t="s">
        <v>349</v>
      </c>
      <c r="I39" s="683" t="s">
        <v>350</v>
      </c>
      <c r="J39" s="587" t="s">
        <v>351</v>
      </c>
      <c r="K39" s="587" t="s">
        <v>352</v>
      </c>
      <c r="L39" s="683" t="s">
        <v>353</v>
      </c>
      <c r="M39" s="683" t="s">
        <v>354</v>
      </c>
      <c r="N39" s="710" t="str">
        <f>Head9</f>
        <v>Budget Year 2020/21</v>
      </c>
      <c r="O39" s="708" t="str">
        <f>Head10</f>
        <v>Budget Year +1 2021/22</v>
      </c>
      <c r="P39" s="706" t="str">
        <f>Head11</f>
        <v>Budget Year +2 2022/23</v>
      </c>
    </row>
    <row r="40" spans="1:17" ht="7.5" customHeight="1" x14ac:dyDescent="0.25">
      <c r="A40" s="782"/>
      <c r="B40" s="779"/>
      <c r="C40" s="685"/>
      <c r="D40" s="685"/>
      <c r="E40" s="685"/>
      <c r="F40" s="685"/>
      <c r="G40" s="138"/>
      <c r="H40" s="685"/>
      <c r="I40" s="138"/>
      <c r="J40" s="685"/>
      <c r="K40" s="685"/>
      <c r="L40" s="138"/>
      <c r="M40" s="138"/>
      <c r="N40" s="711"/>
      <c r="O40" s="709"/>
      <c r="P40" s="707"/>
    </row>
    <row r="41" spans="1:17" x14ac:dyDescent="0.25">
      <c r="A41" s="301" t="s">
        <v>160</v>
      </c>
      <c r="B41" s="290">
        <f t="shared" ref="B41:M41" si="4">B42+B47+B51+B61+B72+B79+B87+B97+B103</f>
        <v>12255810.525166666</v>
      </c>
      <c r="C41" s="290">
        <f t="shared" si="4"/>
        <v>12255810.525166666</v>
      </c>
      <c r="D41" s="290">
        <f t="shared" si="4"/>
        <v>12255810.525166666</v>
      </c>
      <c r="E41" s="290">
        <f t="shared" si="4"/>
        <v>12255810.525166666</v>
      </c>
      <c r="F41" s="290">
        <f t="shared" si="4"/>
        <v>12255810.525166666</v>
      </c>
      <c r="G41" s="290">
        <f t="shared" si="4"/>
        <v>12255810.525166666</v>
      </c>
      <c r="H41" s="290">
        <f t="shared" si="4"/>
        <v>12255810.525166666</v>
      </c>
      <c r="I41" s="290">
        <f t="shared" si="4"/>
        <v>12255810.525166666</v>
      </c>
      <c r="J41" s="290">
        <f t="shared" si="4"/>
        <v>12255810.525166666</v>
      </c>
      <c r="K41" s="290">
        <f t="shared" si="4"/>
        <v>12255810.525166666</v>
      </c>
      <c r="L41" s="746">
        <f t="shared" si="4"/>
        <v>12255810.525166666</v>
      </c>
      <c r="M41" s="765">
        <f t="shared" si="4"/>
        <v>5943849.1511667073</v>
      </c>
      <c r="N41" s="57">
        <f>'D3-Capex'!I6</f>
        <v>140757764.928</v>
      </c>
      <c r="O41" s="56">
        <f>'D3-Capex'!J6</f>
        <v>101642712.19654399</v>
      </c>
      <c r="P41" s="112">
        <f>'D3-Capex'!K6</f>
        <v>107673472.86197811</v>
      </c>
      <c r="Q41" s="670"/>
    </row>
    <row r="42" spans="1:17" x14ac:dyDescent="0.25">
      <c r="A42" s="285" t="s">
        <v>854</v>
      </c>
      <c r="B42" s="417">
        <f t="shared" ref="B42:K42" si="5">SUM(B43:B46)</f>
        <v>0</v>
      </c>
      <c r="C42" s="417">
        <f t="shared" si="5"/>
        <v>0</v>
      </c>
      <c r="D42" s="417">
        <f t="shared" si="5"/>
        <v>0</v>
      </c>
      <c r="E42" s="417">
        <f t="shared" si="5"/>
        <v>0</v>
      </c>
      <c r="F42" s="417">
        <f t="shared" si="5"/>
        <v>0</v>
      </c>
      <c r="G42" s="417">
        <f t="shared" si="5"/>
        <v>0</v>
      </c>
      <c r="H42" s="417">
        <f t="shared" si="5"/>
        <v>0</v>
      </c>
      <c r="I42" s="417">
        <f t="shared" si="5"/>
        <v>0</v>
      </c>
      <c r="J42" s="417">
        <f t="shared" si="5"/>
        <v>0</v>
      </c>
      <c r="K42" s="417">
        <f t="shared" si="5"/>
        <v>0</v>
      </c>
      <c r="L42" s="418">
        <f>SUM(L43:L46)</f>
        <v>0</v>
      </c>
      <c r="M42" s="58">
        <f t="shared" ref="M42:M103" si="6">N42-SUM(B42:L42)</f>
        <v>0</v>
      </c>
      <c r="N42" s="26">
        <f>'D3-Capex'!I7</f>
        <v>0</v>
      </c>
      <c r="O42" s="25">
        <f>'D3-Capex'!J7</f>
        <v>0</v>
      </c>
      <c r="P42" s="95">
        <f>'D3-Capex'!K7</f>
        <v>0</v>
      </c>
    </row>
    <row r="43" spans="1:17" hidden="1" x14ac:dyDescent="0.25">
      <c r="A43" s="303" t="s">
        <v>507</v>
      </c>
      <c r="B43" s="475"/>
      <c r="C43" s="475"/>
      <c r="D43" s="475"/>
      <c r="E43" s="475"/>
      <c r="F43" s="475"/>
      <c r="G43" s="475"/>
      <c r="H43" s="475"/>
      <c r="I43" s="475"/>
      <c r="J43" s="475"/>
      <c r="K43" s="475"/>
      <c r="L43" s="480"/>
      <c r="M43" s="475"/>
      <c r="N43" s="26"/>
      <c r="O43" s="25"/>
      <c r="P43" s="95"/>
    </row>
    <row r="44" spans="1:17" hidden="1" x14ac:dyDescent="0.25">
      <c r="A44" s="303" t="s">
        <v>855</v>
      </c>
      <c r="B44" s="475"/>
      <c r="C44" s="475"/>
      <c r="D44" s="475"/>
      <c r="E44" s="475"/>
      <c r="F44" s="475"/>
      <c r="G44" s="475"/>
      <c r="H44" s="475"/>
      <c r="I44" s="475"/>
      <c r="J44" s="475"/>
      <c r="K44" s="475"/>
      <c r="L44" s="480"/>
      <c r="M44" s="475"/>
      <c r="N44" s="26"/>
      <c r="O44" s="25"/>
      <c r="P44" s="95"/>
    </row>
    <row r="45" spans="1:17" hidden="1" x14ac:dyDescent="0.25">
      <c r="A45" s="303" t="s">
        <v>856</v>
      </c>
      <c r="B45" s="475"/>
      <c r="C45" s="475"/>
      <c r="D45" s="475"/>
      <c r="E45" s="475"/>
      <c r="F45" s="475"/>
      <c r="G45" s="475"/>
      <c r="H45" s="475"/>
      <c r="I45" s="475"/>
      <c r="J45" s="475"/>
      <c r="K45" s="475"/>
      <c r="L45" s="480"/>
      <c r="M45" s="475"/>
      <c r="N45" s="26"/>
      <c r="O45" s="25"/>
      <c r="P45" s="95"/>
    </row>
    <row r="46" spans="1:17" hidden="1" x14ac:dyDescent="0.25">
      <c r="A46" s="303" t="s">
        <v>857</v>
      </c>
      <c r="B46" s="475"/>
      <c r="C46" s="475"/>
      <c r="D46" s="475"/>
      <c r="E46" s="475"/>
      <c r="F46" s="475"/>
      <c r="G46" s="475"/>
      <c r="H46" s="475"/>
      <c r="I46" s="475"/>
      <c r="J46" s="475"/>
      <c r="K46" s="475"/>
      <c r="L46" s="480"/>
      <c r="M46" s="475"/>
      <c r="N46" s="26"/>
      <c r="O46" s="25"/>
      <c r="P46" s="95"/>
    </row>
    <row r="47" spans="1:17" hidden="1" x14ac:dyDescent="0.25">
      <c r="A47" s="285" t="s">
        <v>858</v>
      </c>
      <c r="B47" s="422">
        <f t="shared" ref="B47:L47" si="7">SUM(B48:B50)</f>
        <v>0</v>
      </c>
      <c r="C47" s="422">
        <f t="shared" si="7"/>
        <v>0</v>
      </c>
      <c r="D47" s="422">
        <f t="shared" si="7"/>
        <v>0</v>
      </c>
      <c r="E47" s="422">
        <f t="shared" si="7"/>
        <v>0</v>
      </c>
      <c r="F47" s="422">
        <f t="shared" si="7"/>
        <v>0</v>
      </c>
      <c r="G47" s="422">
        <f t="shared" si="7"/>
        <v>0</v>
      </c>
      <c r="H47" s="422">
        <f t="shared" si="7"/>
        <v>0</v>
      </c>
      <c r="I47" s="422">
        <f t="shared" si="7"/>
        <v>0</v>
      </c>
      <c r="J47" s="422">
        <f t="shared" si="7"/>
        <v>0</v>
      </c>
      <c r="K47" s="422">
        <f t="shared" si="7"/>
        <v>0</v>
      </c>
      <c r="L47" s="423">
        <f t="shared" si="7"/>
        <v>0</v>
      </c>
      <c r="M47" s="58">
        <f t="shared" si="6"/>
        <v>0</v>
      </c>
      <c r="N47" s="26">
        <f>'D3-Capex'!I12</f>
        <v>0</v>
      </c>
      <c r="O47" s="25">
        <f>'D3-Capex'!J12</f>
        <v>0</v>
      </c>
      <c r="P47" s="95">
        <f>'D3-Capex'!K12</f>
        <v>0</v>
      </c>
    </row>
    <row r="48" spans="1:17" hidden="1" x14ac:dyDescent="0.25">
      <c r="A48" s="303" t="s">
        <v>859</v>
      </c>
      <c r="B48" s="475"/>
      <c r="C48" s="475"/>
      <c r="D48" s="475"/>
      <c r="E48" s="475"/>
      <c r="F48" s="475"/>
      <c r="G48" s="475"/>
      <c r="H48" s="475"/>
      <c r="I48" s="475"/>
      <c r="J48" s="475"/>
      <c r="K48" s="475"/>
      <c r="L48" s="480"/>
      <c r="M48" s="475"/>
      <c r="N48" s="26"/>
      <c r="O48" s="25"/>
      <c r="P48" s="95"/>
    </row>
    <row r="49" spans="1:17" hidden="1" x14ac:dyDescent="0.25">
      <c r="A49" s="303" t="s">
        <v>860</v>
      </c>
      <c r="B49" s="475"/>
      <c r="C49" s="475"/>
      <c r="D49" s="475"/>
      <c r="E49" s="475"/>
      <c r="F49" s="475"/>
      <c r="G49" s="475"/>
      <c r="H49" s="475"/>
      <c r="I49" s="475"/>
      <c r="J49" s="475"/>
      <c r="K49" s="475"/>
      <c r="L49" s="480"/>
      <c r="M49" s="475"/>
      <c r="N49" s="26"/>
      <c r="O49" s="25"/>
      <c r="P49" s="95"/>
    </row>
    <row r="50" spans="1:17" hidden="1" x14ac:dyDescent="0.25">
      <c r="A50" s="303" t="s">
        <v>861</v>
      </c>
      <c r="B50" s="475"/>
      <c r="C50" s="475"/>
      <c r="D50" s="475"/>
      <c r="E50" s="475"/>
      <c r="F50" s="475"/>
      <c r="G50" s="475"/>
      <c r="H50" s="475"/>
      <c r="I50" s="475"/>
      <c r="J50" s="475"/>
      <c r="K50" s="475"/>
      <c r="L50" s="480"/>
      <c r="M50" s="475"/>
      <c r="N50" s="26"/>
      <c r="O50" s="25"/>
      <c r="P50" s="95"/>
    </row>
    <row r="51" spans="1:17" x14ac:dyDescent="0.25">
      <c r="A51" s="285" t="s">
        <v>862</v>
      </c>
      <c r="B51" s="422">
        <f t="shared" ref="B51:K51" si="8">SUM(B52:B60)</f>
        <v>12255810.525166666</v>
      </c>
      <c r="C51" s="422">
        <f t="shared" si="8"/>
        <v>12255810.525166666</v>
      </c>
      <c r="D51" s="422">
        <f t="shared" si="8"/>
        <v>12255810.525166666</v>
      </c>
      <c r="E51" s="422">
        <f t="shared" si="8"/>
        <v>12255810.525166666</v>
      </c>
      <c r="F51" s="422">
        <f t="shared" si="8"/>
        <v>12255810.525166666</v>
      </c>
      <c r="G51" s="422">
        <f t="shared" si="8"/>
        <v>12255810.525166666</v>
      </c>
      <c r="H51" s="422">
        <f t="shared" si="8"/>
        <v>12255810.525166666</v>
      </c>
      <c r="I51" s="422">
        <f t="shared" si="8"/>
        <v>12255810.525166666</v>
      </c>
      <c r="J51" s="422">
        <f t="shared" si="8"/>
        <v>12255810.525166666</v>
      </c>
      <c r="K51" s="422">
        <f t="shared" si="8"/>
        <v>12255810.525166666</v>
      </c>
      <c r="L51" s="423">
        <f>SUM(L52:L60)</f>
        <v>12255810.525166666</v>
      </c>
      <c r="M51" s="58">
        <f t="shared" si="6"/>
        <v>5943849.1511667073</v>
      </c>
      <c r="N51" s="26">
        <f>'D3-Capex'!I16</f>
        <v>140757764.928</v>
      </c>
      <c r="O51" s="25">
        <f>'D3-Capex'!J16</f>
        <v>101642712.19654399</v>
      </c>
      <c r="P51" s="95">
        <f>'D3-Capex'!K16</f>
        <v>107673472.86197811</v>
      </c>
    </row>
    <row r="52" spans="1:17" x14ac:dyDescent="0.25">
      <c r="A52" s="303" t="s">
        <v>863</v>
      </c>
      <c r="B52" s="475">
        <v>250000</v>
      </c>
      <c r="C52" s="475">
        <v>250000</v>
      </c>
      <c r="D52" s="475">
        <v>250000</v>
      </c>
      <c r="E52" s="475">
        <v>250000</v>
      </c>
      <c r="F52" s="475">
        <v>250000</v>
      </c>
      <c r="G52" s="475">
        <v>250000</v>
      </c>
      <c r="H52" s="475">
        <v>250000</v>
      </c>
      <c r="I52" s="475">
        <v>250000</v>
      </c>
      <c r="J52" s="475">
        <v>250000</v>
      </c>
      <c r="K52" s="475">
        <v>250000</v>
      </c>
      <c r="L52" s="480">
        <v>250000</v>
      </c>
      <c r="M52" s="475">
        <f t="shared" ref="M52:M59" si="9">N52-SUM(B52:L52)</f>
        <v>250000</v>
      </c>
      <c r="N52" s="26">
        <v>3000000</v>
      </c>
      <c r="O52" s="25">
        <v>3144000</v>
      </c>
      <c r="P52" s="95">
        <v>3294912</v>
      </c>
    </row>
    <row r="53" spans="1:17" x14ac:dyDescent="0.25">
      <c r="A53" s="303" t="s">
        <v>864</v>
      </c>
      <c r="B53" s="475">
        <v>293851.16066666669</v>
      </c>
      <c r="C53" s="475">
        <v>293851.16066666669</v>
      </c>
      <c r="D53" s="475">
        <v>293851.16066666669</v>
      </c>
      <c r="E53" s="475">
        <v>293851.16066666669</v>
      </c>
      <c r="F53" s="475">
        <v>293851.16066666669</v>
      </c>
      <c r="G53" s="475">
        <v>293851.16066666669</v>
      </c>
      <c r="H53" s="475">
        <v>293851.16066666669</v>
      </c>
      <c r="I53" s="475">
        <v>293851.16066666669</v>
      </c>
      <c r="J53" s="475">
        <v>293851.16066666669</v>
      </c>
      <c r="K53" s="475">
        <v>293851.16066666669</v>
      </c>
      <c r="L53" s="480">
        <v>293851.16066666669</v>
      </c>
      <c r="M53" s="475">
        <f t="shared" si="9"/>
        <v>293851.16066666599</v>
      </c>
      <c r="N53" s="26">
        <v>3526213.9280000003</v>
      </c>
      <c r="O53" s="25">
        <v>3695472.1965439999</v>
      </c>
      <c r="P53" s="95">
        <v>3872854.8619781118</v>
      </c>
    </row>
    <row r="54" spans="1:17" hidden="1" x14ac:dyDescent="0.25">
      <c r="A54" s="303" t="s">
        <v>865</v>
      </c>
      <c r="B54" s="475"/>
      <c r="C54" s="475"/>
      <c r="D54" s="475"/>
      <c r="E54" s="475"/>
      <c r="F54" s="475"/>
      <c r="G54" s="475"/>
      <c r="H54" s="475"/>
      <c r="I54" s="475"/>
      <c r="J54" s="475"/>
      <c r="K54" s="475"/>
      <c r="L54" s="480"/>
      <c r="M54" s="475"/>
      <c r="N54" s="26"/>
      <c r="O54" s="25"/>
      <c r="P54" s="95"/>
    </row>
    <row r="55" spans="1:17" x14ac:dyDescent="0.25">
      <c r="A55" s="303" t="s">
        <v>866</v>
      </c>
      <c r="B55" s="475">
        <v>83333.333333333328</v>
      </c>
      <c r="C55" s="475">
        <v>83333.333333333328</v>
      </c>
      <c r="D55" s="475">
        <v>83333.333333333328</v>
      </c>
      <c r="E55" s="475">
        <v>83333.333333333328</v>
      </c>
      <c r="F55" s="475">
        <v>83333.333333333328</v>
      </c>
      <c r="G55" s="475">
        <v>83333.333333333328</v>
      </c>
      <c r="H55" s="475">
        <v>83333.333333333328</v>
      </c>
      <c r="I55" s="475">
        <v>83333.333333333328</v>
      </c>
      <c r="J55" s="475">
        <v>83333.333333333328</v>
      </c>
      <c r="K55" s="475">
        <v>83333.333333333328</v>
      </c>
      <c r="L55" s="480">
        <v>83333.333333333328</v>
      </c>
      <c r="M55" s="475">
        <f t="shared" si="9"/>
        <v>83333.333333333256</v>
      </c>
      <c r="N55" s="26">
        <v>1000000</v>
      </c>
      <c r="O55" s="25">
        <v>1048000</v>
      </c>
      <c r="P55" s="95">
        <v>1098304</v>
      </c>
    </row>
    <row r="56" spans="1:17" hidden="1" x14ac:dyDescent="0.25">
      <c r="A56" s="303" t="s">
        <v>867</v>
      </c>
      <c r="B56" s="475"/>
      <c r="C56" s="475"/>
      <c r="D56" s="475"/>
      <c r="E56" s="475"/>
      <c r="F56" s="475"/>
      <c r="G56" s="475"/>
      <c r="H56" s="475"/>
      <c r="I56" s="475"/>
      <c r="J56" s="475"/>
      <c r="K56" s="475"/>
      <c r="L56" s="480"/>
      <c r="M56" s="475"/>
      <c r="N56" s="26"/>
      <c r="O56" s="25"/>
      <c r="P56" s="95"/>
    </row>
    <row r="57" spans="1:17" hidden="1" x14ac:dyDescent="0.25">
      <c r="A57" s="303" t="s">
        <v>868</v>
      </c>
      <c r="B57" s="475"/>
      <c r="C57" s="475"/>
      <c r="D57" s="475"/>
      <c r="E57" s="475"/>
      <c r="F57" s="475"/>
      <c r="G57" s="475"/>
      <c r="H57" s="475"/>
      <c r="I57" s="475"/>
      <c r="J57" s="475"/>
      <c r="K57" s="475"/>
      <c r="L57" s="480"/>
      <c r="M57" s="475"/>
      <c r="N57" s="26"/>
      <c r="O57" s="25"/>
      <c r="P57" s="95"/>
    </row>
    <row r="58" spans="1:17" x14ac:dyDescent="0.25">
      <c r="A58" s="303" t="s">
        <v>869</v>
      </c>
      <c r="B58" s="475">
        <v>1820716.9524999999</v>
      </c>
      <c r="C58" s="475">
        <v>1820716.9524999999</v>
      </c>
      <c r="D58" s="475">
        <v>1820716.9524999999</v>
      </c>
      <c r="E58" s="475">
        <v>1820716.9524999999</v>
      </c>
      <c r="F58" s="475">
        <v>1820716.9524999999</v>
      </c>
      <c r="G58" s="475">
        <v>1820716.9524999999</v>
      </c>
      <c r="H58" s="475">
        <v>1820716.9524999999</v>
      </c>
      <c r="I58" s="475">
        <v>1820716.9524999999</v>
      </c>
      <c r="J58" s="475">
        <v>1820716.9524999999</v>
      </c>
      <c r="K58" s="475">
        <v>1820716.9524999999</v>
      </c>
      <c r="L58" s="480">
        <v>1820716.9524999999</v>
      </c>
      <c r="M58" s="475">
        <f t="shared" si="9"/>
        <v>1820716.9524999969</v>
      </c>
      <c r="N58" s="26">
        <v>21848603.43</v>
      </c>
      <c r="O58" s="25">
        <v>22897336.394639999</v>
      </c>
      <c r="P58" s="95">
        <v>23996408.541582718</v>
      </c>
    </row>
    <row r="59" spans="1:17" x14ac:dyDescent="0.25">
      <c r="A59" s="303" t="s">
        <v>870</v>
      </c>
      <c r="B59" s="475">
        <v>9807909.0786666665</v>
      </c>
      <c r="C59" s="475">
        <v>9807909.0786666665</v>
      </c>
      <c r="D59" s="475">
        <v>9807909.0786666665</v>
      </c>
      <c r="E59" s="475">
        <v>9807909.0786666665</v>
      </c>
      <c r="F59" s="475">
        <v>9807909.0786666665</v>
      </c>
      <c r="G59" s="475">
        <v>9807909.0786666665</v>
      </c>
      <c r="H59" s="475">
        <v>9807909.0786666665</v>
      </c>
      <c r="I59" s="475">
        <v>9807909.0786666665</v>
      </c>
      <c r="J59" s="475">
        <v>9807909.0786666665</v>
      </c>
      <c r="K59" s="475">
        <v>9807909.0786666665</v>
      </c>
      <c r="L59" s="480">
        <v>9807909.0786666665</v>
      </c>
      <c r="M59" s="475">
        <f t="shared" si="9"/>
        <v>9807909.0786666572</v>
      </c>
      <c r="N59" s="26">
        <v>117694908.94400001</v>
      </c>
      <c r="O59" s="25">
        <v>97144264.573311999</v>
      </c>
      <c r="P59" s="95">
        <v>101807189.27283098</v>
      </c>
      <c r="Q59" s="670"/>
    </row>
    <row r="60" spans="1:17" x14ac:dyDescent="0.25">
      <c r="A60" s="303" t="s">
        <v>857</v>
      </c>
      <c r="B60" s="475"/>
      <c r="C60" s="475"/>
      <c r="D60" s="475"/>
      <c r="E60" s="475"/>
      <c r="F60" s="475"/>
      <c r="G60" s="475"/>
      <c r="H60" s="475"/>
      <c r="I60" s="475"/>
      <c r="J60" s="475"/>
      <c r="K60" s="475"/>
      <c r="L60" s="480"/>
      <c r="M60" s="475"/>
      <c r="N60" s="26"/>
      <c r="O60" s="25"/>
      <c r="P60" s="95"/>
      <c r="Q60" s="670"/>
    </row>
    <row r="61" spans="1:17" hidden="1" x14ac:dyDescent="0.25">
      <c r="A61" s="284" t="s">
        <v>871</v>
      </c>
      <c r="B61" s="422">
        <f t="shared" ref="B61:L61" si="10">SUM(B62:B71)</f>
        <v>0</v>
      </c>
      <c r="C61" s="422">
        <f t="shared" si="10"/>
        <v>0</v>
      </c>
      <c r="D61" s="422">
        <f t="shared" si="10"/>
        <v>0</v>
      </c>
      <c r="E61" s="422">
        <f t="shared" si="10"/>
        <v>0</v>
      </c>
      <c r="F61" s="422">
        <f t="shared" si="10"/>
        <v>0</v>
      </c>
      <c r="G61" s="422">
        <f t="shared" si="10"/>
        <v>0</v>
      </c>
      <c r="H61" s="422">
        <f t="shared" si="10"/>
        <v>0</v>
      </c>
      <c r="I61" s="422">
        <f t="shared" si="10"/>
        <v>0</v>
      </c>
      <c r="J61" s="422">
        <f t="shared" si="10"/>
        <v>0</v>
      </c>
      <c r="K61" s="422">
        <f t="shared" si="10"/>
        <v>0</v>
      </c>
      <c r="L61" s="423">
        <f t="shared" si="10"/>
        <v>0</v>
      </c>
      <c r="M61" s="58">
        <f t="shared" si="6"/>
        <v>0</v>
      </c>
      <c r="N61" s="26">
        <f>'D3-Capex'!I26</f>
        <v>0</v>
      </c>
      <c r="O61" s="25">
        <f>'D3-Capex'!J26</f>
        <v>0</v>
      </c>
      <c r="P61" s="95">
        <f>'D3-Capex'!K26</f>
        <v>0</v>
      </c>
    </row>
    <row r="62" spans="1:17" hidden="1" x14ac:dyDescent="0.25">
      <c r="A62" s="303" t="s">
        <v>872</v>
      </c>
      <c r="B62" s="475"/>
      <c r="C62" s="475"/>
      <c r="D62" s="475"/>
      <c r="E62" s="475"/>
      <c r="F62" s="475"/>
      <c r="G62" s="475"/>
      <c r="H62" s="475"/>
      <c r="I62" s="475"/>
      <c r="J62" s="475"/>
      <c r="K62" s="475"/>
      <c r="L62" s="480"/>
      <c r="M62" s="475"/>
      <c r="N62" s="26"/>
      <c r="O62" s="25"/>
      <c r="P62" s="95"/>
    </row>
    <row r="63" spans="1:17" hidden="1" x14ac:dyDescent="0.25">
      <c r="A63" s="303" t="s">
        <v>873</v>
      </c>
      <c r="B63" s="475"/>
      <c r="C63" s="475"/>
      <c r="D63" s="475"/>
      <c r="E63" s="475"/>
      <c r="F63" s="475"/>
      <c r="G63" s="475"/>
      <c r="H63" s="475"/>
      <c r="I63" s="475"/>
      <c r="J63" s="475"/>
      <c r="K63" s="475"/>
      <c r="L63" s="480"/>
      <c r="M63" s="475"/>
      <c r="N63" s="26"/>
      <c r="O63" s="25"/>
      <c r="P63" s="95"/>
    </row>
    <row r="64" spans="1:17" hidden="1" x14ac:dyDescent="0.25">
      <c r="A64" s="303" t="s">
        <v>874</v>
      </c>
      <c r="B64" s="475"/>
      <c r="C64" s="475"/>
      <c r="D64" s="475"/>
      <c r="E64" s="475"/>
      <c r="F64" s="475"/>
      <c r="G64" s="475"/>
      <c r="H64" s="475"/>
      <c r="I64" s="475"/>
      <c r="J64" s="475"/>
      <c r="K64" s="475"/>
      <c r="L64" s="480"/>
      <c r="M64" s="475"/>
      <c r="N64" s="26"/>
      <c r="O64" s="25"/>
      <c r="P64" s="95"/>
    </row>
    <row r="65" spans="1:16" hidden="1" x14ac:dyDescent="0.25">
      <c r="A65" s="303" t="s">
        <v>875</v>
      </c>
      <c r="B65" s="475"/>
      <c r="C65" s="475"/>
      <c r="D65" s="475"/>
      <c r="E65" s="475"/>
      <c r="F65" s="475"/>
      <c r="G65" s="475"/>
      <c r="H65" s="475"/>
      <c r="I65" s="475"/>
      <c r="J65" s="475"/>
      <c r="K65" s="475"/>
      <c r="L65" s="480"/>
      <c r="M65" s="475"/>
      <c r="N65" s="26"/>
      <c r="O65" s="25"/>
      <c r="P65" s="95"/>
    </row>
    <row r="66" spans="1:16" hidden="1" x14ac:dyDescent="0.25">
      <c r="A66" s="303" t="s">
        <v>876</v>
      </c>
      <c r="B66" s="475"/>
      <c r="C66" s="475"/>
      <c r="D66" s="475"/>
      <c r="E66" s="475"/>
      <c r="F66" s="475"/>
      <c r="G66" s="475"/>
      <c r="H66" s="475"/>
      <c r="I66" s="475"/>
      <c r="J66" s="475"/>
      <c r="K66" s="475"/>
      <c r="L66" s="480"/>
      <c r="M66" s="475"/>
      <c r="N66" s="26"/>
      <c r="O66" s="25"/>
      <c r="P66" s="95"/>
    </row>
    <row r="67" spans="1:16" hidden="1" x14ac:dyDescent="0.25">
      <c r="A67" s="303" t="s">
        <v>877</v>
      </c>
      <c r="B67" s="475"/>
      <c r="C67" s="475"/>
      <c r="D67" s="475"/>
      <c r="E67" s="475"/>
      <c r="F67" s="475"/>
      <c r="G67" s="475"/>
      <c r="H67" s="475"/>
      <c r="I67" s="475"/>
      <c r="J67" s="475"/>
      <c r="K67" s="475"/>
      <c r="L67" s="480"/>
      <c r="M67" s="475"/>
      <c r="N67" s="26"/>
      <c r="O67" s="25"/>
      <c r="P67" s="95"/>
    </row>
    <row r="68" spans="1:16" hidden="1" x14ac:dyDescent="0.25">
      <c r="A68" s="303" t="s">
        <v>878</v>
      </c>
      <c r="B68" s="475"/>
      <c r="C68" s="475"/>
      <c r="D68" s="475"/>
      <c r="E68" s="475"/>
      <c r="F68" s="475"/>
      <c r="G68" s="475"/>
      <c r="H68" s="475"/>
      <c r="I68" s="475"/>
      <c r="J68" s="475"/>
      <c r="K68" s="475"/>
      <c r="L68" s="480"/>
      <c r="M68" s="475"/>
      <c r="N68" s="26"/>
      <c r="O68" s="25"/>
      <c r="P68" s="95"/>
    </row>
    <row r="69" spans="1:16" hidden="1" x14ac:dyDescent="0.25">
      <c r="A69" s="303" t="s">
        <v>879</v>
      </c>
      <c r="B69" s="475"/>
      <c r="C69" s="475"/>
      <c r="D69" s="475"/>
      <c r="E69" s="475"/>
      <c r="F69" s="475"/>
      <c r="G69" s="475"/>
      <c r="H69" s="475"/>
      <c r="I69" s="475"/>
      <c r="J69" s="475"/>
      <c r="K69" s="475"/>
      <c r="L69" s="480"/>
      <c r="M69" s="475"/>
      <c r="N69" s="26"/>
      <c r="O69" s="25"/>
      <c r="P69" s="95"/>
    </row>
    <row r="70" spans="1:16" hidden="1" x14ac:dyDescent="0.25">
      <c r="A70" s="303" t="s">
        <v>880</v>
      </c>
      <c r="B70" s="475"/>
      <c r="C70" s="475"/>
      <c r="D70" s="475"/>
      <c r="E70" s="475"/>
      <c r="F70" s="475"/>
      <c r="G70" s="475"/>
      <c r="H70" s="475"/>
      <c r="I70" s="475"/>
      <c r="J70" s="475"/>
      <c r="K70" s="475"/>
      <c r="L70" s="480"/>
      <c r="M70" s="475"/>
      <c r="N70" s="26"/>
      <c r="O70" s="25"/>
      <c r="P70" s="95"/>
    </row>
    <row r="71" spans="1:16" hidden="1" x14ac:dyDescent="0.25">
      <c r="A71" s="303" t="s">
        <v>857</v>
      </c>
      <c r="B71" s="475"/>
      <c r="C71" s="475"/>
      <c r="D71" s="475"/>
      <c r="E71" s="475"/>
      <c r="F71" s="475"/>
      <c r="G71" s="475"/>
      <c r="H71" s="475"/>
      <c r="I71" s="475"/>
      <c r="J71" s="475"/>
      <c r="K71" s="475"/>
      <c r="L71" s="480"/>
      <c r="M71" s="475"/>
      <c r="N71" s="26"/>
      <c r="O71" s="25"/>
      <c r="P71" s="95"/>
    </row>
    <row r="72" spans="1:16" hidden="1" x14ac:dyDescent="0.25">
      <c r="A72" s="284" t="s">
        <v>881</v>
      </c>
      <c r="B72" s="422">
        <f t="shared" ref="B72:L72" si="11">SUM(B73:B78)</f>
        <v>0</v>
      </c>
      <c r="C72" s="422">
        <f t="shared" si="11"/>
        <v>0</v>
      </c>
      <c r="D72" s="422">
        <f t="shared" si="11"/>
        <v>0</v>
      </c>
      <c r="E72" s="422">
        <f t="shared" si="11"/>
        <v>0</v>
      </c>
      <c r="F72" s="422">
        <f t="shared" si="11"/>
        <v>0</v>
      </c>
      <c r="G72" s="422">
        <f t="shared" si="11"/>
        <v>0</v>
      </c>
      <c r="H72" s="422">
        <f t="shared" si="11"/>
        <v>0</v>
      </c>
      <c r="I72" s="422">
        <f t="shared" si="11"/>
        <v>0</v>
      </c>
      <c r="J72" s="422">
        <f t="shared" si="11"/>
        <v>0</v>
      </c>
      <c r="K72" s="422">
        <f t="shared" si="11"/>
        <v>0</v>
      </c>
      <c r="L72" s="423">
        <f t="shared" si="11"/>
        <v>0</v>
      </c>
      <c r="M72" s="58">
        <f t="shared" si="6"/>
        <v>0</v>
      </c>
      <c r="N72" s="26">
        <f>'D3-Capex'!I37</f>
        <v>0</v>
      </c>
      <c r="O72" s="25">
        <f>'D3-Capex'!J37</f>
        <v>0</v>
      </c>
      <c r="P72" s="95">
        <f>'D3-Capex'!K37</f>
        <v>0</v>
      </c>
    </row>
    <row r="73" spans="1:16" hidden="1" x14ac:dyDescent="0.25">
      <c r="A73" s="303" t="s">
        <v>882</v>
      </c>
      <c r="B73" s="475"/>
      <c r="C73" s="475"/>
      <c r="D73" s="475"/>
      <c r="E73" s="475"/>
      <c r="F73" s="475"/>
      <c r="G73" s="475"/>
      <c r="H73" s="475"/>
      <c r="I73" s="475"/>
      <c r="J73" s="475"/>
      <c r="K73" s="475"/>
      <c r="L73" s="480"/>
      <c r="M73" s="58"/>
      <c r="N73" s="26"/>
      <c r="O73" s="25"/>
      <c r="P73" s="95"/>
    </row>
    <row r="74" spans="1:16" hidden="1" x14ac:dyDescent="0.25">
      <c r="A74" s="303" t="s">
        <v>497</v>
      </c>
      <c r="B74" s="475"/>
      <c r="C74" s="475"/>
      <c r="D74" s="475"/>
      <c r="E74" s="475"/>
      <c r="F74" s="475"/>
      <c r="G74" s="475"/>
      <c r="H74" s="475"/>
      <c r="I74" s="475"/>
      <c r="J74" s="475"/>
      <c r="K74" s="475"/>
      <c r="L74" s="480"/>
      <c r="M74" s="58"/>
      <c r="N74" s="26"/>
      <c r="O74" s="25"/>
      <c r="P74" s="95"/>
    </row>
    <row r="75" spans="1:16" hidden="1" x14ac:dyDescent="0.25">
      <c r="A75" s="303" t="s">
        <v>883</v>
      </c>
      <c r="B75" s="475"/>
      <c r="C75" s="475"/>
      <c r="D75" s="475"/>
      <c r="E75" s="475"/>
      <c r="F75" s="475"/>
      <c r="G75" s="475"/>
      <c r="H75" s="475"/>
      <c r="I75" s="475"/>
      <c r="J75" s="475"/>
      <c r="K75" s="475"/>
      <c r="L75" s="480"/>
      <c r="M75" s="58"/>
      <c r="N75" s="26"/>
      <c r="O75" s="25"/>
      <c r="P75" s="95"/>
    </row>
    <row r="76" spans="1:16" hidden="1" x14ac:dyDescent="0.25">
      <c r="A76" s="303" t="s">
        <v>884</v>
      </c>
      <c r="B76" s="475"/>
      <c r="C76" s="475"/>
      <c r="D76" s="475"/>
      <c r="E76" s="475"/>
      <c r="F76" s="475"/>
      <c r="G76" s="475"/>
      <c r="H76" s="475"/>
      <c r="I76" s="475"/>
      <c r="J76" s="475"/>
      <c r="K76" s="475"/>
      <c r="L76" s="480"/>
      <c r="M76" s="58"/>
      <c r="N76" s="26"/>
      <c r="O76" s="25"/>
      <c r="P76" s="95"/>
    </row>
    <row r="77" spans="1:16" hidden="1" x14ac:dyDescent="0.25">
      <c r="A77" s="303" t="s">
        <v>885</v>
      </c>
      <c r="B77" s="475"/>
      <c r="C77" s="475"/>
      <c r="D77" s="475"/>
      <c r="E77" s="475"/>
      <c r="F77" s="475"/>
      <c r="G77" s="475"/>
      <c r="H77" s="475"/>
      <c r="I77" s="475"/>
      <c r="J77" s="475"/>
      <c r="K77" s="475"/>
      <c r="L77" s="480"/>
      <c r="M77" s="58"/>
      <c r="N77" s="26"/>
      <c r="O77" s="25"/>
      <c r="P77" s="95"/>
    </row>
    <row r="78" spans="1:16" hidden="1" x14ac:dyDescent="0.25">
      <c r="A78" s="303" t="s">
        <v>857</v>
      </c>
      <c r="B78" s="475"/>
      <c r="C78" s="475"/>
      <c r="D78" s="475"/>
      <c r="E78" s="475"/>
      <c r="F78" s="475"/>
      <c r="G78" s="475"/>
      <c r="H78" s="475"/>
      <c r="I78" s="475"/>
      <c r="J78" s="475"/>
      <c r="K78" s="475"/>
      <c r="L78" s="480"/>
      <c r="M78" s="58"/>
      <c r="N78" s="26"/>
      <c r="O78" s="25"/>
      <c r="P78" s="95"/>
    </row>
    <row r="79" spans="1:16" hidden="1" x14ac:dyDescent="0.25">
      <c r="A79" s="284" t="s">
        <v>886</v>
      </c>
      <c r="B79" s="422">
        <f t="shared" ref="B79:L79" si="12">SUM(B80:B86)</f>
        <v>0</v>
      </c>
      <c r="C79" s="422">
        <f t="shared" si="12"/>
        <v>0</v>
      </c>
      <c r="D79" s="422">
        <f t="shared" si="12"/>
        <v>0</v>
      </c>
      <c r="E79" s="422">
        <f t="shared" si="12"/>
        <v>0</v>
      </c>
      <c r="F79" s="422">
        <f t="shared" si="12"/>
        <v>0</v>
      </c>
      <c r="G79" s="422">
        <f t="shared" si="12"/>
        <v>0</v>
      </c>
      <c r="H79" s="422">
        <f t="shared" si="12"/>
        <v>0</v>
      </c>
      <c r="I79" s="422">
        <f t="shared" si="12"/>
        <v>0</v>
      </c>
      <c r="J79" s="422">
        <f t="shared" si="12"/>
        <v>0</v>
      </c>
      <c r="K79" s="422">
        <f t="shared" si="12"/>
        <v>0</v>
      </c>
      <c r="L79" s="423">
        <f t="shared" si="12"/>
        <v>0</v>
      </c>
      <c r="M79" s="58">
        <f t="shared" si="6"/>
        <v>0</v>
      </c>
      <c r="N79" s="26">
        <f>'D3-Capex'!I44</f>
        <v>0</v>
      </c>
      <c r="O79" s="25">
        <f>'D3-Capex'!J44</f>
        <v>0</v>
      </c>
      <c r="P79" s="95">
        <f>'D3-Capex'!K44</f>
        <v>0</v>
      </c>
    </row>
    <row r="80" spans="1:16" hidden="1" x14ac:dyDescent="0.25">
      <c r="A80" s="303" t="s">
        <v>887</v>
      </c>
      <c r="B80" s="475"/>
      <c r="C80" s="475"/>
      <c r="D80" s="475"/>
      <c r="E80" s="475"/>
      <c r="F80" s="475"/>
      <c r="G80" s="475"/>
      <c r="H80" s="475"/>
      <c r="I80" s="475"/>
      <c r="J80" s="475"/>
      <c r="K80" s="475"/>
      <c r="L80" s="480"/>
      <c r="M80" s="58"/>
      <c r="N80" s="26"/>
      <c r="O80" s="25"/>
      <c r="P80" s="95"/>
    </row>
    <row r="81" spans="1:16" hidden="1" x14ac:dyDescent="0.25">
      <c r="A81" s="303" t="s">
        <v>888</v>
      </c>
      <c r="B81" s="475"/>
      <c r="C81" s="475"/>
      <c r="D81" s="475"/>
      <c r="E81" s="475"/>
      <c r="F81" s="475"/>
      <c r="G81" s="475"/>
      <c r="H81" s="475"/>
      <c r="I81" s="475"/>
      <c r="J81" s="475"/>
      <c r="K81" s="475"/>
      <c r="L81" s="480"/>
      <c r="M81" s="58"/>
      <c r="N81" s="26"/>
      <c r="O81" s="25"/>
      <c r="P81" s="95"/>
    </row>
    <row r="82" spans="1:16" hidden="1" x14ac:dyDescent="0.25">
      <c r="A82" s="303" t="s">
        <v>889</v>
      </c>
      <c r="B82" s="475"/>
      <c r="C82" s="475"/>
      <c r="D82" s="475"/>
      <c r="E82" s="475"/>
      <c r="F82" s="475"/>
      <c r="G82" s="475"/>
      <c r="H82" s="475"/>
      <c r="I82" s="475"/>
      <c r="J82" s="475"/>
      <c r="K82" s="475"/>
      <c r="L82" s="480"/>
      <c r="M82" s="58"/>
      <c r="N82" s="26"/>
      <c r="O82" s="25"/>
      <c r="P82" s="95"/>
    </row>
    <row r="83" spans="1:16" hidden="1" x14ac:dyDescent="0.25">
      <c r="A83" s="303" t="s">
        <v>890</v>
      </c>
      <c r="B83" s="475"/>
      <c r="C83" s="475"/>
      <c r="D83" s="475"/>
      <c r="E83" s="475"/>
      <c r="F83" s="475"/>
      <c r="G83" s="475"/>
      <c r="H83" s="475"/>
      <c r="I83" s="475"/>
      <c r="J83" s="475"/>
      <c r="K83" s="475"/>
      <c r="L83" s="480"/>
      <c r="M83" s="58"/>
      <c r="N83" s="26"/>
      <c r="O83" s="25"/>
      <c r="P83" s="95"/>
    </row>
    <row r="84" spans="1:16" hidden="1" x14ac:dyDescent="0.25">
      <c r="A84" s="303" t="s">
        <v>891</v>
      </c>
      <c r="B84" s="475"/>
      <c r="C84" s="475"/>
      <c r="D84" s="475"/>
      <c r="E84" s="475"/>
      <c r="F84" s="475"/>
      <c r="G84" s="475"/>
      <c r="H84" s="475"/>
      <c r="I84" s="475"/>
      <c r="J84" s="475"/>
      <c r="K84" s="475"/>
      <c r="L84" s="480"/>
      <c r="M84" s="58"/>
      <c r="N84" s="26"/>
      <c r="O84" s="25"/>
      <c r="P84" s="95"/>
    </row>
    <row r="85" spans="1:16" hidden="1" x14ac:dyDescent="0.25">
      <c r="A85" s="303" t="s">
        <v>892</v>
      </c>
      <c r="B85" s="475"/>
      <c r="C85" s="475"/>
      <c r="D85" s="475"/>
      <c r="E85" s="475"/>
      <c r="F85" s="475"/>
      <c r="G85" s="475"/>
      <c r="H85" s="475"/>
      <c r="I85" s="475"/>
      <c r="J85" s="475"/>
      <c r="K85" s="475"/>
      <c r="L85" s="480"/>
      <c r="M85" s="58"/>
      <c r="N85" s="26"/>
      <c r="O85" s="25"/>
      <c r="P85" s="95"/>
    </row>
    <row r="86" spans="1:16" hidden="1" x14ac:dyDescent="0.25">
      <c r="A86" s="303" t="s">
        <v>857</v>
      </c>
      <c r="B86" s="475"/>
      <c r="C86" s="475"/>
      <c r="D86" s="475"/>
      <c r="E86" s="475"/>
      <c r="F86" s="475"/>
      <c r="G86" s="475"/>
      <c r="H86" s="475"/>
      <c r="I86" s="475"/>
      <c r="J86" s="475"/>
      <c r="K86" s="475"/>
      <c r="L86" s="480"/>
      <c r="M86" s="58"/>
      <c r="N86" s="26"/>
      <c r="O86" s="25"/>
      <c r="P86" s="95"/>
    </row>
    <row r="87" spans="1:16" hidden="1" x14ac:dyDescent="0.25">
      <c r="A87" s="285" t="s">
        <v>893</v>
      </c>
      <c r="B87" s="422">
        <f t="shared" ref="B87:K87" si="13">SUM(B88:B96)</f>
        <v>0</v>
      </c>
      <c r="C87" s="422">
        <f t="shared" si="13"/>
        <v>0</v>
      </c>
      <c r="D87" s="422">
        <f t="shared" si="13"/>
        <v>0</v>
      </c>
      <c r="E87" s="422">
        <f t="shared" si="13"/>
        <v>0</v>
      </c>
      <c r="F87" s="422">
        <f t="shared" si="13"/>
        <v>0</v>
      </c>
      <c r="G87" s="422">
        <f t="shared" si="13"/>
        <v>0</v>
      </c>
      <c r="H87" s="422">
        <f t="shared" si="13"/>
        <v>0</v>
      </c>
      <c r="I87" s="422">
        <f t="shared" si="13"/>
        <v>0</v>
      </c>
      <c r="J87" s="422">
        <f t="shared" si="13"/>
        <v>0</v>
      </c>
      <c r="K87" s="422">
        <f t="shared" si="13"/>
        <v>0</v>
      </c>
      <c r="L87" s="423">
        <f>SUM(L88:L96)</f>
        <v>0</v>
      </c>
      <c r="M87" s="58">
        <f t="shared" si="6"/>
        <v>0</v>
      </c>
      <c r="N87" s="26">
        <f>'D3-Capex'!I52</f>
        <v>0</v>
      </c>
      <c r="O87" s="25">
        <f>'D3-Capex'!J52</f>
        <v>0</v>
      </c>
      <c r="P87" s="95">
        <f>'D3-Capex'!K52</f>
        <v>0</v>
      </c>
    </row>
    <row r="88" spans="1:16" hidden="1" x14ac:dyDescent="0.25">
      <c r="A88" s="303" t="s">
        <v>894</v>
      </c>
      <c r="B88" s="475"/>
      <c r="C88" s="475"/>
      <c r="D88" s="475"/>
      <c r="E88" s="475"/>
      <c r="F88" s="475"/>
      <c r="G88" s="475"/>
      <c r="H88" s="475"/>
      <c r="I88" s="475"/>
      <c r="J88" s="475"/>
      <c r="K88" s="475"/>
      <c r="L88" s="480"/>
      <c r="M88" s="58"/>
      <c r="N88" s="26"/>
      <c r="O88" s="25"/>
      <c r="P88" s="95"/>
    </row>
    <row r="89" spans="1:16" hidden="1" x14ac:dyDescent="0.25">
      <c r="A89" s="303" t="s">
        <v>895</v>
      </c>
      <c r="B89" s="475"/>
      <c r="C89" s="475"/>
      <c r="D89" s="475"/>
      <c r="E89" s="475"/>
      <c r="F89" s="475"/>
      <c r="G89" s="475"/>
      <c r="H89" s="475"/>
      <c r="I89" s="475"/>
      <c r="J89" s="475"/>
      <c r="K89" s="475"/>
      <c r="L89" s="480"/>
      <c r="M89" s="58"/>
      <c r="N89" s="26"/>
      <c r="O89" s="25"/>
      <c r="P89" s="95"/>
    </row>
    <row r="90" spans="1:16" hidden="1" x14ac:dyDescent="0.25">
      <c r="A90" s="303" t="s">
        <v>896</v>
      </c>
      <c r="B90" s="475"/>
      <c r="C90" s="475"/>
      <c r="D90" s="475"/>
      <c r="E90" s="475"/>
      <c r="F90" s="475"/>
      <c r="G90" s="475"/>
      <c r="H90" s="475"/>
      <c r="I90" s="475"/>
      <c r="J90" s="475"/>
      <c r="K90" s="475"/>
      <c r="L90" s="480"/>
      <c r="M90" s="58"/>
      <c r="N90" s="26"/>
      <c r="O90" s="25"/>
      <c r="P90" s="95"/>
    </row>
    <row r="91" spans="1:16" hidden="1" x14ac:dyDescent="0.25">
      <c r="A91" s="303" t="s">
        <v>859</v>
      </c>
      <c r="B91" s="475"/>
      <c r="C91" s="475"/>
      <c r="D91" s="475"/>
      <c r="E91" s="475"/>
      <c r="F91" s="475"/>
      <c r="G91" s="475"/>
      <c r="H91" s="475"/>
      <c r="I91" s="475"/>
      <c r="J91" s="475"/>
      <c r="K91" s="475"/>
      <c r="L91" s="480"/>
      <c r="M91" s="58"/>
      <c r="N91" s="26"/>
      <c r="O91" s="25"/>
      <c r="P91" s="95"/>
    </row>
    <row r="92" spans="1:16" hidden="1" x14ac:dyDescent="0.25">
      <c r="A92" s="303" t="s">
        <v>860</v>
      </c>
      <c r="B92" s="475"/>
      <c r="C92" s="475"/>
      <c r="D92" s="475"/>
      <c r="E92" s="475"/>
      <c r="F92" s="475"/>
      <c r="G92" s="475"/>
      <c r="H92" s="475"/>
      <c r="I92" s="475"/>
      <c r="J92" s="475"/>
      <c r="K92" s="475"/>
      <c r="L92" s="480"/>
      <c r="M92" s="58"/>
      <c r="N92" s="26"/>
      <c r="O92" s="25"/>
      <c r="P92" s="95"/>
    </row>
    <row r="93" spans="1:16" hidden="1" x14ac:dyDescent="0.25">
      <c r="A93" s="303" t="s">
        <v>861</v>
      </c>
      <c r="B93" s="475"/>
      <c r="C93" s="475"/>
      <c r="D93" s="475"/>
      <c r="E93" s="475"/>
      <c r="F93" s="475"/>
      <c r="G93" s="475"/>
      <c r="H93" s="475"/>
      <c r="I93" s="475"/>
      <c r="J93" s="475"/>
      <c r="K93" s="475"/>
      <c r="L93" s="480"/>
      <c r="M93" s="58"/>
      <c r="N93" s="26"/>
      <c r="O93" s="25"/>
      <c r="P93" s="95"/>
    </row>
    <row r="94" spans="1:16" hidden="1" x14ac:dyDescent="0.25">
      <c r="A94" s="303" t="s">
        <v>867</v>
      </c>
      <c r="B94" s="475"/>
      <c r="C94" s="475"/>
      <c r="D94" s="475"/>
      <c r="E94" s="475"/>
      <c r="F94" s="475"/>
      <c r="G94" s="475"/>
      <c r="H94" s="475"/>
      <c r="I94" s="475"/>
      <c r="J94" s="475"/>
      <c r="K94" s="475"/>
      <c r="L94" s="480"/>
      <c r="M94" s="58"/>
      <c r="N94" s="26"/>
      <c r="O94" s="25"/>
      <c r="P94" s="95"/>
    </row>
    <row r="95" spans="1:16" hidden="1" x14ac:dyDescent="0.25">
      <c r="A95" s="303" t="s">
        <v>870</v>
      </c>
      <c r="B95" s="475"/>
      <c r="C95" s="475"/>
      <c r="D95" s="475"/>
      <c r="E95" s="475"/>
      <c r="F95" s="475"/>
      <c r="G95" s="475"/>
      <c r="H95" s="475"/>
      <c r="I95" s="475"/>
      <c r="J95" s="475"/>
      <c r="K95" s="475"/>
      <c r="L95" s="480"/>
      <c r="M95" s="58"/>
      <c r="N95" s="26"/>
      <c r="O95" s="25"/>
      <c r="P95" s="95"/>
    </row>
    <row r="96" spans="1:16" hidden="1" x14ac:dyDescent="0.25">
      <c r="A96" s="303" t="s">
        <v>857</v>
      </c>
      <c r="B96" s="475"/>
      <c r="C96" s="475"/>
      <c r="D96" s="475"/>
      <c r="E96" s="475"/>
      <c r="F96" s="475"/>
      <c r="G96" s="475"/>
      <c r="H96" s="475"/>
      <c r="I96" s="475"/>
      <c r="J96" s="475"/>
      <c r="K96" s="475"/>
      <c r="L96" s="480"/>
      <c r="M96" s="58"/>
      <c r="N96" s="26"/>
      <c r="O96" s="25"/>
      <c r="P96" s="95"/>
    </row>
    <row r="97" spans="1:17" hidden="1" x14ac:dyDescent="0.25">
      <c r="A97" s="284" t="s">
        <v>897</v>
      </c>
      <c r="B97" s="422">
        <f t="shared" ref="B97:L97" si="14">SUM(B98:B102)</f>
        <v>0</v>
      </c>
      <c r="C97" s="422">
        <f t="shared" si="14"/>
        <v>0</v>
      </c>
      <c r="D97" s="422">
        <f t="shared" si="14"/>
        <v>0</v>
      </c>
      <c r="E97" s="422">
        <f t="shared" si="14"/>
        <v>0</v>
      </c>
      <c r="F97" s="422">
        <f t="shared" si="14"/>
        <v>0</v>
      </c>
      <c r="G97" s="422">
        <f t="shared" si="14"/>
        <v>0</v>
      </c>
      <c r="H97" s="422">
        <f t="shared" si="14"/>
        <v>0</v>
      </c>
      <c r="I97" s="422">
        <f t="shared" si="14"/>
        <v>0</v>
      </c>
      <c r="J97" s="422">
        <f t="shared" si="14"/>
        <v>0</v>
      </c>
      <c r="K97" s="422">
        <f t="shared" si="14"/>
        <v>0</v>
      </c>
      <c r="L97" s="423">
        <f t="shared" si="14"/>
        <v>0</v>
      </c>
      <c r="M97" s="58">
        <f t="shared" si="6"/>
        <v>0</v>
      </c>
      <c r="N97" s="26">
        <f>'D3-Capex'!I62</f>
        <v>0</v>
      </c>
      <c r="O97" s="25">
        <f>'D3-Capex'!J62</f>
        <v>0</v>
      </c>
      <c r="P97" s="95">
        <f>'D3-Capex'!K62</f>
        <v>0</v>
      </c>
    </row>
    <row r="98" spans="1:17" hidden="1" x14ac:dyDescent="0.25">
      <c r="A98" s="303" t="s">
        <v>898</v>
      </c>
      <c r="B98" s="475"/>
      <c r="C98" s="475"/>
      <c r="D98" s="475"/>
      <c r="E98" s="475"/>
      <c r="F98" s="475"/>
      <c r="G98" s="475"/>
      <c r="H98" s="475"/>
      <c r="I98" s="475"/>
      <c r="J98" s="475"/>
      <c r="K98" s="475"/>
      <c r="L98" s="480"/>
      <c r="M98" s="58"/>
      <c r="N98" s="26"/>
      <c r="O98" s="25"/>
      <c r="P98" s="95"/>
    </row>
    <row r="99" spans="1:17" hidden="1" x14ac:dyDescent="0.25">
      <c r="A99" s="303" t="s">
        <v>899</v>
      </c>
      <c r="B99" s="475"/>
      <c r="C99" s="475"/>
      <c r="D99" s="475"/>
      <c r="E99" s="475"/>
      <c r="F99" s="475"/>
      <c r="G99" s="475"/>
      <c r="H99" s="475"/>
      <c r="I99" s="475"/>
      <c r="J99" s="475"/>
      <c r="K99" s="475"/>
      <c r="L99" s="480"/>
      <c r="M99" s="58"/>
      <c r="N99" s="26"/>
      <c r="O99" s="25"/>
      <c r="P99" s="95"/>
    </row>
    <row r="100" spans="1:17" hidden="1" x14ac:dyDescent="0.25">
      <c r="A100" s="303" t="s">
        <v>900</v>
      </c>
      <c r="B100" s="475"/>
      <c r="C100" s="475"/>
      <c r="D100" s="475"/>
      <c r="E100" s="475"/>
      <c r="F100" s="475"/>
      <c r="G100" s="475"/>
      <c r="H100" s="475"/>
      <c r="I100" s="475"/>
      <c r="J100" s="475"/>
      <c r="K100" s="475"/>
      <c r="L100" s="480"/>
      <c r="M100" s="58"/>
      <c r="N100" s="26"/>
      <c r="O100" s="25"/>
      <c r="P100" s="95"/>
    </row>
    <row r="101" spans="1:17" hidden="1" x14ac:dyDescent="0.25">
      <c r="A101" s="303" t="s">
        <v>901</v>
      </c>
      <c r="B101" s="475"/>
      <c r="C101" s="475"/>
      <c r="D101" s="475"/>
      <c r="E101" s="475"/>
      <c r="F101" s="475"/>
      <c r="G101" s="475"/>
      <c r="H101" s="475"/>
      <c r="I101" s="475"/>
      <c r="J101" s="475"/>
      <c r="K101" s="475"/>
      <c r="L101" s="480"/>
      <c r="M101" s="58"/>
      <c r="N101" s="26"/>
      <c r="O101" s="25"/>
      <c r="P101" s="95"/>
    </row>
    <row r="102" spans="1:17" hidden="1" x14ac:dyDescent="0.25">
      <c r="A102" s="303" t="s">
        <v>857</v>
      </c>
      <c r="B102" s="475"/>
      <c r="C102" s="475"/>
      <c r="D102" s="475"/>
      <c r="E102" s="475"/>
      <c r="F102" s="475"/>
      <c r="G102" s="475"/>
      <c r="H102" s="475"/>
      <c r="I102" s="475"/>
      <c r="J102" s="475"/>
      <c r="K102" s="475"/>
      <c r="L102" s="480"/>
      <c r="M102" s="58"/>
      <c r="N102" s="26"/>
      <c r="O102" s="25"/>
      <c r="P102" s="95"/>
    </row>
    <row r="103" spans="1:17" hidden="1" x14ac:dyDescent="0.25">
      <c r="A103" s="285" t="s">
        <v>902</v>
      </c>
      <c r="B103" s="422">
        <f t="shared" ref="B103:L103" si="15">SUM(B104:B107)</f>
        <v>0</v>
      </c>
      <c r="C103" s="422">
        <f t="shared" si="15"/>
        <v>0</v>
      </c>
      <c r="D103" s="422">
        <f t="shared" si="15"/>
        <v>0</v>
      </c>
      <c r="E103" s="422">
        <f t="shared" si="15"/>
        <v>0</v>
      </c>
      <c r="F103" s="422">
        <f t="shared" si="15"/>
        <v>0</v>
      </c>
      <c r="G103" s="422">
        <f t="shared" si="15"/>
        <v>0</v>
      </c>
      <c r="H103" s="422">
        <f t="shared" si="15"/>
        <v>0</v>
      </c>
      <c r="I103" s="422">
        <f t="shared" si="15"/>
        <v>0</v>
      </c>
      <c r="J103" s="422">
        <f t="shared" si="15"/>
        <v>0</v>
      </c>
      <c r="K103" s="422">
        <f t="shared" si="15"/>
        <v>0</v>
      </c>
      <c r="L103" s="423">
        <f t="shared" si="15"/>
        <v>0</v>
      </c>
      <c r="M103" s="58">
        <f t="shared" si="6"/>
        <v>0</v>
      </c>
      <c r="N103" s="26">
        <f>'D3-Capex'!I68</f>
        <v>0</v>
      </c>
      <c r="O103" s="25">
        <f>'D3-Capex'!J68</f>
        <v>0</v>
      </c>
      <c r="P103" s="95">
        <f>'D3-Capex'!K68</f>
        <v>0</v>
      </c>
    </row>
    <row r="104" spans="1:17" hidden="1" x14ac:dyDescent="0.25">
      <c r="A104" s="303" t="s">
        <v>903</v>
      </c>
      <c r="B104" s="475"/>
      <c r="C104" s="475"/>
      <c r="D104" s="475"/>
      <c r="E104" s="475"/>
      <c r="F104" s="475"/>
      <c r="G104" s="475"/>
      <c r="H104" s="475"/>
      <c r="I104" s="475"/>
      <c r="J104" s="475"/>
      <c r="K104" s="475"/>
      <c r="L104" s="480"/>
      <c r="M104" s="58"/>
      <c r="N104" s="26"/>
      <c r="O104" s="25"/>
      <c r="P104" s="95"/>
    </row>
    <row r="105" spans="1:17" hidden="1" x14ac:dyDescent="0.25">
      <c r="A105" s="303" t="s">
        <v>904</v>
      </c>
      <c r="B105" s="475"/>
      <c r="C105" s="475"/>
      <c r="D105" s="475"/>
      <c r="E105" s="475"/>
      <c r="F105" s="475"/>
      <c r="G105" s="475"/>
      <c r="H105" s="475"/>
      <c r="I105" s="475"/>
      <c r="J105" s="475"/>
      <c r="K105" s="475"/>
      <c r="L105" s="480"/>
      <c r="M105" s="58"/>
      <c r="N105" s="26"/>
      <c r="O105" s="25"/>
      <c r="P105" s="95"/>
    </row>
    <row r="106" spans="1:17" hidden="1" x14ac:dyDescent="0.25">
      <c r="A106" s="303" t="s">
        <v>905</v>
      </c>
      <c r="B106" s="475"/>
      <c r="C106" s="475"/>
      <c r="D106" s="475"/>
      <c r="E106" s="475"/>
      <c r="F106" s="475"/>
      <c r="G106" s="475"/>
      <c r="H106" s="475"/>
      <c r="I106" s="475"/>
      <c r="J106" s="475"/>
      <c r="K106" s="475"/>
      <c r="L106" s="480"/>
      <c r="M106" s="58"/>
      <c r="N106" s="26"/>
      <c r="O106" s="25"/>
      <c r="P106" s="95"/>
    </row>
    <row r="107" spans="1:17" hidden="1" x14ac:dyDescent="0.25">
      <c r="A107" s="303" t="s">
        <v>857</v>
      </c>
      <c r="B107" s="475"/>
      <c r="C107" s="475"/>
      <c r="D107" s="475"/>
      <c r="E107" s="475"/>
      <c r="F107" s="475"/>
      <c r="G107" s="475"/>
      <c r="H107" s="475"/>
      <c r="I107" s="475"/>
      <c r="J107" s="475"/>
      <c r="K107" s="475"/>
      <c r="L107" s="480"/>
      <c r="M107" s="58"/>
      <c r="N107" s="26"/>
      <c r="O107" s="25"/>
      <c r="P107" s="95"/>
    </row>
    <row r="108" spans="1:17" hidden="1" x14ac:dyDescent="0.25">
      <c r="A108" s="305"/>
      <c r="B108" s="25"/>
      <c r="C108" s="25"/>
      <c r="D108" s="25"/>
      <c r="E108" s="25"/>
      <c r="F108" s="25"/>
      <c r="G108" s="25"/>
      <c r="H108" s="25"/>
      <c r="I108" s="25"/>
      <c r="J108" s="25"/>
      <c r="K108" s="25"/>
      <c r="L108" s="58"/>
      <c r="M108" s="58"/>
      <c r="N108" s="26"/>
      <c r="O108" s="25"/>
      <c r="P108" s="95"/>
    </row>
    <row r="109" spans="1:17" x14ac:dyDescent="0.25">
      <c r="A109" s="301" t="s">
        <v>906</v>
      </c>
      <c r="B109" s="293">
        <f t="shared" ref="B109:L109" si="16">B110+B133</f>
        <v>1047803.2245</v>
      </c>
      <c r="C109" s="293">
        <f t="shared" si="16"/>
        <v>1047803.2245</v>
      </c>
      <c r="D109" s="293">
        <f t="shared" si="16"/>
        <v>1047803.2245</v>
      </c>
      <c r="E109" s="293">
        <f t="shared" si="16"/>
        <v>1047803.2245</v>
      </c>
      <c r="F109" s="293">
        <f t="shared" si="16"/>
        <v>1047803.2245</v>
      </c>
      <c r="G109" s="293">
        <f t="shared" si="16"/>
        <v>1047803.2245</v>
      </c>
      <c r="H109" s="293">
        <f t="shared" si="16"/>
        <v>1047803.2245</v>
      </c>
      <c r="I109" s="293">
        <f t="shared" si="16"/>
        <v>1047803.2245</v>
      </c>
      <c r="J109" s="293">
        <f t="shared" si="16"/>
        <v>1047803.2245</v>
      </c>
      <c r="K109" s="293">
        <f t="shared" si="16"/>
        <v>1047803.2245</v>
      </c>
      <c r="L109" s="747">
        <f t="shared" si="16"/>
        <v>1047803.2245</v>
      </c>
      <c r="M109" s="749">
        <f t="shared" ref="M109:M166" si="17">N109-SUM(B109:L109)</f>
        <v>1047803.2244999968</v>
      </c>
      <c r="N109" s="750">
        <f>'D3-Capex'!I74</f>
        <v>12573638.694</v>
      </c>
      <c r="O109" s="461">
        <f>'D3-Capex'!J74</f>
        <v>5221172.9513119999</v>
      </c>
      <c r="P109" s="751">
        <f>'D3-Capex'!K74</f>
        <v>3375789.5403784961</v>
      </c>
    </row>
    <row r="110" spans="1:17" x14ac:dyDescent="0.25">
      <c r="A110" s="285" t="s">
        <v>907</v>
      </c>
      <c r="B110" s="417">
        <f t="shared" ref="B110:L110" si="18">SUM(B111:B132)</f>
        <v>976222.91666666663</v>
      </c>
      <c r="C110" s="417">
        <f t="shared" si="18"/>
        <v>976222.91666666663</v>
      </c>
      <c r="D110" s="417">
        <f t="shared" si="18"/>
        <v>976222.91666666663</v>
      </c>
      <c r="E110" s="417">
        <f t="shared" si="18"/>
        <v>976222.91666666663</v>
      </c>
      <c r="F110" s="417">
        <f t="shared" si="18"/>
        <v>976222.91666666663</v>
      </c>
      <c r="G110" s="417">
        <f t="shared" si="18"/>
        <v>976222.91666666663</v>
      </c>
      <c r="H110" s="417">
        <f t="shared" si="18"/>
        <v>976222.91666666663</v>
      </c>
      <c r="I110" s="417">
        <f t="shared" si="18"/>
        <v>976222.91666666663</v>
      </c>
      <c r="J110" s="417">
        <f t="shared" si="18"/>
        <v>976222.91666666663</v>
      </c>
      <c r="K110" s="417">
        <f t="shared" si="18"/>
        <v>976222.91666666663</v>
      </c>
      <c r="L110" s="417">
        <f t="shared" si="18"/>
        <v>976222.91666666663</v>
      </c>
      <c r="M110" s="580">
        <f t="shared" si="17"/>
        <v>976222.91666666791</v>
      </c>
      <c r="N110" s="26">
        <f>'D3-Capex'!I75</f>
        <v>11714675</v>
      </c>
      <c r="O110" s="25">
        <f>'D3-Capex'!J75</f>
        <v>4320979</v>
      </c>
      <c r="P110" s="95">
        <f>'D3-Capex'!K75</f>
        <v>2432386.2794035198</v>
      </c>
    </row>
    <row r="111" spans="1:17" x14ac:dyDescent="0.25">
      <c r="A111" s="303" t="s">
        <v>908</v>
      </c>
      <c r="B111" s="475"/>
      <c r="C111" s="475"/>
      <c r="D111" s="475"/>
      <c r="E111" s="475"/>
      <c r="F111" s="475"/>
      <c r="G111" s="475"/>
      <c r="H111" s="475"/>
      <c r="I111" s="475"/>
      <c r="J111" s="475"/>
      <c r="K111" s="475"/>
      <c r="L111" s="475"/>
      <c r="M111" s="475"/>
      <c r="N111" s="26"/>
      <c r="O111" s="25"/>
      <c r="P111" s="95"/>
    </row>
    <row r="112" spans="1:17" x14ac:dyDescent="0.25">
      <c r="A112" s="303" t="s">
        <v>909</v>
      </c>
      <c r="B112" s="475">
        <v>976222.91666666663</v>
      </c>
      <c r="C112" s="475">
        <v>976222.91666666663</v>
      </c>
      <c r="D112" s="475">
        <v>976222.91666666663</v>
      </c>
      <c r="E112" s="475">
        <v>976222.91666666663</v>
      </c>
      <c r="F112" s="475">
        <v>976222.91666666663</v>
      </c>
      <c r="G112" s="475">
        <v>976222.91666666663</v>
      </c>
      <c r="H112" s="475">
        <v>976222.91666666663</v>
      </c>
      <c r="I112" s="475">
        <v>976222.91666666663</v>
      </c>
      <c r="J112" s="475">
        <v>976222.91666666663</v>
      </c>
      <c r="K112" s="475">
        <v>976222.91666666663</v>
      </c>
      <c r="L112" s="475">
        <v>976222.91666666663</v>
      </c>
      <c r="M112" s="475">
        <v>976222.91666666663</v>
      </c>
      <c r="N112" s="26">
        <f>'D3-Capex'!I77</f>
        <v>11714675</v>
      </c>
      <c r="O112" s="25">
        <f>'D3-Capex'!J77</f>
        <v>4320979</v>
      </c>
      <c r="P112" s="95">
        <f>'D3-Capex'!K77</f>
        <v>2432386.2794035198</v>
      </c>
      <c r="Q112" s="670"/>
    </row>
    <row r="113" spans="1:16" hidden="1" x14ac:dyDescent="0.25">
      <c r="A113" s="303" t="s">
        <v>910</v>
      </c>
      <c r="B113" s="475"/>
      <c r="C113" s="475"/>
      <c r="D113" s="475"/>
      <c r="E113" s="475"/>
      <c r="F113" s="475"/>
      <c r="G113" s="475"/>
      <c r="H113" s="475"/>
      <c r="I113" s="475"/>
      <c r="J113" s="475"/>
      <c r="K113" s="475"/>
      <c r="L113" s="475"/>
      <c r="M113" s="475"/>
      <c r="N113" s="26"/>
      <c r="O113" s="25"/>
      <c r="P113" s="95"/>
    </row>
    <row r="114" spans="1:16" hidden="1" x14ac:dyDescent="0.25">
      <c r="A114" s="303" t="s">
        <v>911</v>
      </c>
      <c r="B114" s="475"/>
      <c r="C114" s="475"/>
      <c r="D114" s="475"/>
      <c r="E114" s="475"/>
      <c r="F114" s="475"/>
      <c r="G114" s="475"/>
      <c r="H114" s="475"/>
      <c r="I114" s="475"/>
      <c r="J114" s="475"/>
      <c r="K114" s="475"/>
      <c r="L114" s="475"/>
      <c r="M114" s="475"/>
      <c r="N114" s="26"/>
      <c r="O114" s="25"/>
      <c r="P114" s="95"/>
    </row>
    <row r="115" spans="1:16" hidden="1" x14ac:dyDescent="0.25">
      <c r="A115" s="303" t="s">
        <v>912</v>
      </c>
      <c r="B115" s="475"/>
      <c r="C115" s="475"/>
      <c r="D115" s="475"/>
      <c r="E115" s="475"/>
      <c r="F115" s="475"/>
      <c r="G115" s="475"/>
      <c r="H115" s="475"/>
      <c r="I115" s="475"/>
      <c r="J115" s="475"/>
      <c r="K115" s="475"/>
      <c r="L115" s="475"/>
      <c r="M115" s="475"/>
      <c r="N115" s="26"/>
      <c r="O115" s="25"/>
      <c r="P115" s="95"/>
    </row>
    <row r="116" spans="1:16" hidden="1" x14ac:dyDescent="0.25">
      <c r="A116" s="303" t="s">
        <v>913</v>
      </c>
      <c r="B116" s="475"/>
      <c r="C116" s="475"/>
      <c r="D116" s="475"/>
      <c r="E116" s="475"/>
      <c r="F116" s="475"/>
      <c r="G116" s="475"/>
      <c r="H116" s="475"/>
      <c r="I116" s="475"/>
      <c r="J116" s="475"/>
      <c r="K116" s="475"/>
      <c r="L116" s="475"/>
      <c r="M116" s="475"/>
      <c r="N116" s="26"/>
      <c r="O116" s="25"/>
      <c r="P116" s="95"/>
    </row>
    <row r="117" spans="1:16" hidden="1" x14ac:dyDescent="0.25">
      <c r="A117" s="303" t="s">
        <v>914</v>
      </c>
      <c r="B117" s="475"/>
      <c r="C117" s="475"/>
      <c r="D117" s="475"/>
      <c r="E117" s="475"/>
      <c r="F117" s="475"/>
      <c r="G117" s="475"/>
      <c r="H117" s="475"/>
      <c r="I117" s="475"/>
      <c r="J117" s="475"/>
      <c r="K117" s="475"/>
      <c r="L117" s="475"/>
      <c r="M117" s="475"/>
      <c r="N117" s="26"/>
      <c r="O117" s="25"/>
      <c r="P117" s="95"/>
    </row>
    <row r="118" spans="1:16" hidden="1" x14ac:dyDescent="0.25">
      <c r="A118" s="303" t="s">
        <v>915</v>
      </c>
      <c r="B118" s="475"/>
      <c r="C118" s="475"/>
      <c r="D118" s="475"/>
      <c r="E118" s="475"/>
      <c r="F118" s="475"/>
      <c r="G118" s="475"/>
      <c r="H118" s="475"/>
      <c r="I118" s="475"/>
      <c r="J118" s="475"/>
      <c r="K118" s="475"/>
      <c r="L118" s="475"/>
      <c r="M118" s="475"/>
      <c r="N118" s="26"/>
      <c r="O118" s="25"/>
      <c r="P118" s="95"/>
    </row>
    <row r="119" spans="1:16" hidden="1" x14ac:dyDescent="0.25">
      <c r="A119" s="303" t="s">
        <v>916</v>
      </c>
      <c r="B119" s="475"/>
      <c r="C119" s="475"/>
      <c r="D119" s="475"/>
      <c r="E119" s="475"/>
      <c r="F119" s="475"/>
      <c r="G119" s="475"/>
      <c r="H119" s="475"/>
      <c r="I119" s="475"/>
      <c r="J119" s="475"/>
      <c r="K119" s="475"/>
      <c r="L119" s="475"/>
      <c r="M119" s="475"/>
      <c r="N119" s="26"/>
      <c r="O119" s="25"/>
      <c r="P119" s="95"/>
    </row>
    <row r="120" spans="1:16" hidden="1" x14ac:dyDescent="0.25">
      <c r="A120" s="303" t="s">
        <v>89</v>
      </c>
      <c r="B120" s="475"/>
      <c r="C120" s="475"/>
      <c r="D120" s="475"/>
      <c r="E120" s="475"/>
      <c r="F120" s="475"/>
      <c r="G120" s="475"/>
      <c r="H120" s="475"/>
      <c r="I120" s="475"/>
      <c r="J120" s="475"/>
      <c r="K120" s="475"/>
      <c r="L120" s="475"/>
      <c r="M120" s="475"/>
      <c r="N120" s="26"/>
      <c r="O120" s="25"/>
      <c r="P120" s="95"/>
    </row>
    <row r="121" spans="1:16" hidden="1" x14ac:dyDescent="0.25">
      <c r="A121" s="303" t="s">
        <v>917</v>
      </c>
      <c r="B121" s="475"/>
      <c r="C121" s="475"/>
      <c r="D121" s="475"/>
      <c r="E121" s="475"/>
      <c r="F121" s="475"/>
      <c r="G121" s="475"/>
      <c r="H121" s="475"/>
      <c r="I121" s="475"/>
      <c r="J121" s="475"/>
      <c r="K121" s="475"/>
      <c r="L121" s="475"/>
      <c r="M121" s="475"/>
      <c r="N121" s="26"/>
      <c r="O121" s="25"/>
      <c r="P121" s="95"/>
    </row>
    <row r="122" spans="1:16" hidden="1" x14ac:dyDescent="0.25">
      <c r="A122" s="303" t="s">
        <v>918</v>
      </c>
      <c r="B122" s="475"/>
      <c r="C122" s="475"/>
      <c r="D122" s="475"/>
      <c r="E122" s="475"/>
      <c r="F122" s="475"/>
      <c r="G122" s="475"/>
      <c r="H122" s="475"/>
      <c r="I122" s="475"/>
      <c r="J122" s="475"/>
      <c r="K122" s="475"/>
      <c r="L122" s="475"/>
      <c r="M122" s="475"/>
      <c r="N122" s="26"/>
      <c r="O122" s="25"/>
      <c r="P122" s="95"/>
    </row>
    <row r="123" spans="1:16" hidden="1" x14ac:dyDescent="0.25">
      <c r="A123" s="303" t="s">
        <v>1021</v>
      </c>
      <c r="B123" s="475"/>
      <c r="C123" s="475"/>
      <c r="D123" s="475"/>
      <c r="E123" s="475"/>
      <c r="F123" s="475"/>
      <c r="G123" s="475"/>
      <c r="H123" s="475"/>
      <c r="I123" s="475"/>
      <c r="J123" s="475"/>
      <c r="K123" s="475"/>
      <c r="L123" s="475"/>
      <c r="M123" s="475"/>
      <c r="N123" s="26"/>
      <c r="O123" s="25"/>
      <c r="P123" s="95"/>
    </row>
    <row r="124" spans="1:16" hidden="1" x14ac:dyDescent="0.25">
      <c r="A124" s="303" t="s">
        <v>919</v>
      </c>
      <c r="B124" s="475"/>
      <c r="C124" s="475"/>
      <c r="D124" s="475"/>
      <c r="E124" s="475"/>
      <c r="F124" s="475"/>
      <c r="G124" s="475"/>
      <c r="H124" s="475"/>
      <c r="I124" s="475"/>
      <c r="J124" s="475"/>
      <c r="K124" s="475"/>
      <c r="L124" s="475"/>
      <c r="M124" s="475"/>
      <c r="N124" s="26"/>
      <c r="O124" s="25"/>
      <c r="P124" s="95"/>
    </row>
    <row r="125" spans="1:16" hidden="1" x14ac:dyDescent="0.25">
      <c r="A125" s="303" t="s">
        <v>920</v>
      </c>
      <c r="B125" s="475"/>
      <c r="C125" s="475"/>
      <c r="D125" s="475"/>
      <c r="E125" s="475"/>
      <c r="F125" s="475"/>
      <c r="G125" s="475"/>
      <c r="H125" s="475"/>
      <c r="I125" s="475"/>
      <c r="J125" s="475"/>
      <c r="K125" s="475"/>
      <c r="L125" s="475"/>
      <c r="M125" s="475"/>
      <c r="N125" s="26"/>
      <c r="O125" s="25"/>
      <c r="P125" s="95"/>
    </row>
    <row r="126" spans="1:16" hidden="1" x14ac:dyDescent="0.25">
      <c r="A126" s="303" t="s">
        <v>921</v>
      </c>
      <c r="B126" s="475"/>
      <c r="C126" s="475"/>
      <c r="D126" s="475"/>
      <c r="E126" s="475"/>
      <c r="F126" s="475"/>
      <c r="G126" s="475"/>
      <c r="H126" s="475"/>
      <c r="I126" s="475"/>
      <c r="J126" s="475"/>
      <c r="K126" s="475"/>
      <c r="L126" s="475"/>
      <c r="M126" s="475"/>
      <c r="N126" s="26"/>
      <c r="O126" s="25"/>
      <c r="P126" s="95"/>
    </row>
    <row r="127" spans="1:16" hidden="1" x14ac:dyDescent="0.25">
      <c r="A127" s="303" t="s">
        <v>11</v>
      </c>
      <c r="B127" s="475"/>
      <c r="C127" s="475"/>
      <c r="D127" s="475"/>
      <c r="E127" s="475"/>
      <c r="F127" s="475"/>
      <c r="G127" s="475"/>
      <c r="H127" s="475"/>
      <c r="I127" s="475"/>
      <c r="J127" s="475"/>
      <c r="K127" s="475"/>
      <c r="L127" s="475"/>
      <c r="M127" s="475"/>
      <c r="N127" s="26"/>
      <c r="O127" s="25"/>
      <c r="P127" s="95"/>
    </row>
    <row r="128" spans="1:16" hidden="1" x14ac:dyDescent="0.25">
      <c r="A128" s="303" t="s">
        <v>922</v>
      </c>
      <c r="B128" s="475"/>
      <c r="C128" s="475"/>
      <c r="D128" s="475"/>
      <c r="E128" s="475"/>
      <c r="F128" s="475"/>
      <c r="G128" s="475"/>
      <c r="H128" s="475"/>
      <c r="I128" s="475"/>
      <c r="J128" s="475"/>
      <c r="K128" s="475"/>
      <c r="L128" s="475"/>
      <c r="M128" s="475"/>
      <c r="N128" s="26"/>
      <c r="O128" s="25"/>
      <c r="P128" s="95"/>
    </row>
    <row r="129" spans="1:16" hidden="1" x14ac:dyDescent="0.25">
      <c r="A129" s="303" t="s">
        <v>10</v>
      </c>
      <c r="B129" s="475"/>
      <c r="C129" s="475"/>
      <c r="D129" s="475"/>
      <c r="E129" s="475"/>
      <c r="F129" s="475"/>
      <c r="G129" s="475"/>
      <c r="H129" s="475"/>
      <c r="I129" s="475"/>
      <c r="J129" s="475"/>
      <c r="K129" s="475"/>
      <c r="L129" s="475"/>
      <c r="M129" s="475"/>
      <c r="N129" s="26"/>
      <c r="O129" s="25"/>
      <c r="P129" s="95"/>
    </row>
    <row r="130" spans="1:16" hidden="1" x14ac:dyDescent="0.25">
      <c r="A130" s="303" t="s">
        <v>923</v>
      </c>
      <c r="B130" s="475"/>
      <c r="C130" s="475"/>
      <c r="D130" s="475"/>
      <c r="E130" s="475"/>
      <c r="F130" s="475"/>
      <c r="G130" s="475"/>
      <c r="H130" s="475"/>
      <c r="I130" s="475"/>
      <c r="J130" s="475"/>
      <c r="K130" s="475"/>
      <c r="L130" s="475"/>
      <c r="M130" s="475"/>
      <c r="N130" s="26"/>
      <c r="O130" s="25"/>
      <c r="P130" s="95"/>
    </row>
    <row r="131" spans="1:16" hidden="1" x14ac:dyDescent="0.25">
      <c r="A131" s="303" t="s">
        <v>924</v>
      </c>
      <c r="B131" s="475"/>
      <c r="C131" s="475"/>
      <c r="D131" s="475"/>
      <c r="E131" s="475"/>
      <c r="F131" s="475"/>
      <c r="G131" s="475"/>
      <c r="H131" s="475"/>
      <c r="I131" s="475"/>
      <c r="J131" s="475"/>
      <c r="K131" s="475"/>
      <c r="L131" s="475"/>
      <c r="M131" s="475"/>
      <c r="N131" s="26"/>
      <c r="O131" s="25"/>
      <c r="P131" s="95"/>
    </row>
    <row r="132" spans="1:16" hidden="1" x14ac:dyDescent="0.25">
      <c r="A132" s="303" t="s">
        <v>857</v>
      </c>
      <c r="B132" s="475"/>
      <c r="C132" s="475"/>
      <c r="D132" s="475"/>
      <c r="E132" s="475"/>
      <c r="F132" s="475"/>
      <c r="G132" s="475"/>
      <c r="H132" s="475"/>
      <c r="I132" s="475"/>
      <c r="J132" s="475"/>
      <c r="K132" s="475"/>
      <c r="L132" s="475"/>
      <c r="M132" s="475"/>
      <c r="N132" s="26"/>
      <c r="O132" s="25"/>
      <c r="P132" s="95"/>
    </row>
    <row r="133" spans="1:16" x14ac:dyDescent="0.25">
      <c r="A133" s="285" t="s">
        <v>925</v>
      </c>
      <c r="B133" s="422">
        <f t="shared" ref="B133:L133" si="19">SUM(B134:B136)</f>
        <v>71580.30783333334</v>
      </c>
      <c r="C133" s="422">
        <f t="shared" si="19"/>
        <v>71580.30783333334</v>
      </c>
      <c r="D133" s="422">
        <f t="shared" si="19"/>
        <v>71580.30783333334</v>
      </c>
      <c r="E133" s="422">
        <f t="shared" si="19"/>
        <v>71580.30783333334</v>
      </c>
      <c r="F133" s="422">
        <f t="shared" si="19"/>
        <v>71580.30783333334</v>
      </c>
      <c r="G133" s="422">
        <f t="shared" si="19"/>
        <v>71580.30783333334</v>
      </c>
      <c r="H133" s="422">
        <f t="shared" si="19"/>
        <v>71580.30783333334</v>
      </c>
      <c r="I133" s="422">
        <f t="shared" si="19"/>
        <v>71580.30783333334</v>
      </c>
      <c r="J133" s="422">
        <f t="shared" si="19"/>
        <v>71580.30783333334</v>
      </c>
      <c r="K133" s="422">
        <f t="shared" si="19"/>
        <v>71580.30783333334</v>
      </c>
      <c r="L133" s="422">
        <f t="shared" si="19"/>
        <v>71580.30783333334</v>
      </c>
      <c r="M133" s="580">
        <f t="shared" si="17"/>
        <v>71580.30783333315</v>
      </c>
      <c r="N133" s="26">
        <f>'D3-Capex'!I98</f>
        <v>858963.69400000002</v>
      </c>
      <c r="O133" s="25">
        <f>'D3-Capex'!J98</f>
        <v>900193.95131200005</v>
      </c>
      <c r="P133" s="95">
        <f>'D3-Capex'!K98</f>
        <v>943403.260974976</v>
      </c>
    </row>
    <row r="134" spans="1:16" x14ac:dyDescent="0.25">
      <c r="A134" s="303" t="s">
        <v>926</v>
      </c>
      <c r="B134" s="475"/>
      <c r="C134" s="475"/>
      <c r="D134" s="475"/>
      <c r="E134" s="475"/>
      <c r="F134" s="475"/>
      <c r="G134" s="475"/>
      <c r="H134" s="475"/>
      <c r="I134" s="475"/>
      <c r="J134" s="475"/>
      <c r="K134" s="475"/>
      <c r="L134" s="475"/>
      <c r="M134" s="475"/>
      <c r="N134" s="26"/>
      <c r="O134" s="25"/>
      <c r="P134" s="95"/>
    </row>
    <row r="135" spans="1:16" x14ac:dyDescent="0.25">
      <c r="A135" s="303" t="s">
        <v>927</v>
      </c>
      <c r="B135" s="475">
        <v>71580.30783333334</v>
      </c>
      <c r="C135" s="475">
        <v>71580.30783333334</v>
      </c>
      <c r="D135" s="475">
        <v>71580.30783333334</v>
      </c>
      <c r="E135" s="475">
        <v>71580.30783333334</v>
      </c>
      <c r="F135" s="475">
        <v>71580.30783333334</v>
      </c>
      <c r="G135" s="475">
        <v>71580.30783333334</v>
      </c>
      <c r="H135" s="475">
        <v>71580.30783333334</v>
      </c>
      <c r="I135" s="475">
        <v>71580.30783333334</v>
      </c>
      <c r="J135" s="475">
        <v>71580.30783333334</v>
      </c>
      <c r="K135" s="475">
        <v>71580.30783333334</v>
      </c>
      <c r="L135" s="475">
        <v>71580.30783333334</v>
      </c>
      <c r="M135" s="475">
        <f t="shared" si="17"/>
        <v>71580.30783333315</v>
      </c>
      <c r="N135" s="26">
        <f>'D3-Capex'!I100</f>
        <v>858963.69400000002</v>
      </c>
      <c r="O135" s="25">
        <f>'D3-Capex'!J100</f>
        <v>900193.95131200005</v>
      </c>
      <c r="P135" s="95">
        <f>'D3-Capex'!K100</f>
        <v>943403.260974976</v>
      </c>
    </row>
    <row r="136" spans="1:16" x14ac:dyDescent="0.25">
      <c r="A136" s="303" t="s">
        <v>857</v>
      </c>
      <c r="B136" s="475"/>
      <c r="C136" s="475"/>
      <c r="D136" s="475"/>
      <c r="E136" s="475"/>
      <c r="F136" s="475"/>
      <c r="G136" s="475"/>
      <c r="H136" s="475"/>
      <c r="I136" s="475"/>
      <c r="J136" s="475"/>
      <c r="K136" s="475"/>
      <c r="L136" s="475"/>
      <c r="M136" s="475"/>
      <c r="N136" s="26"/>
      <c r="O136" s="25"/>
      <c r="P136" s="95"/>
    </row>
    <row r="137" spans="1:16" x14ac:dyDescent="0.25">
      <c r="A137" s="305"/>
      <c r="B137" s="25"/>
      <c r="C137" s="25"/>
      <c r="D137" s="25"/>
      <c r="E137" s="25"/>
      <c r="F137" s="25"/>
      <c r="G137" s="25"/>
      <c r="H137" s="25"/>
      <c r="I137" s="25"/>
      <c r="J137" s="25"/>
      <c r="K137" s="25"/>
      <c r="L137" s="25"/>
      <c r="M137" s="580"/>
      <c r="N137" s="26"/>
      <c r="O137" s="25"/>
      <c r="P137" s="95"/>
    </row>
    <row r="138" spans="1:16" hidden="1" x14ac:dyDescent="0.25">
      <c r="A138" s="301" t="s">
        <v>185</v>
      </c>
      <c r="B138" s="25">
        <f t="shared" ref="B138:L138" si="20">SUM(B139:B143)</f>
        <v>0</v>
      </c>
      <c r="C138" s="25">
        <f t="shared" si="20"/>
        <v>0</v>
      </c>
      <c r="D138" s="25">
        <f t="shared" si="20"/>
        <v>0</v>
      </c>
      <c r="E138" s="25">
        <f t="shared" si="20"/>
        <v>0</v>
      </c>
      <c r="F138" s="25">
        <f t="shared" si="20"/>
        <v>0</v>
      </c>
      <c r="G138" s="25">
        <f t="shared" si="20"/>
        <v>0</v>
      </c>
      <c r="H138" s="25">
        <f t="shared" si="20"/>
        <v>0</v>
      </c>
      <c r="I138" s="25">
        <f t="shared" si="20"/>
        <v>0</v>
      </c>
      <c r="J138" s="25">
        <f t="shared" si="20"/>
        <v>0</v>
      </c>
      <c r="K138" s="25">
        <f t="shared" si="20"/>
        <v>0</v>
      </c>
      <c r="L138" s="25">
        <f t="shared" si="20"/>
        <v>0</v>
      </c>
      <c r="M138" s="751">
        <f t="shared" si="17"/>
        <v>0</v>
      </c>
      <c r="N138" s="26">
        <f>'D3-Capex'!I103</f>
        <v>0</v>
      </c>
      <c r="O138" s="25">
        <f>'D3-Capex'!J103</f>
        <v>0</v>
      </c>
      <c r="P138" s="95">
        <f>'D3-Capex'!K103</f>
        <v>0</v>
      </c>
    </row>
    <row r="139" spans="1:16" hidden="1" x14ac:dyDescent="0.25">
      <c r="A139" s="285" t="s">
        <v>928</v>
      </c>
      <c r="B139" s="485"/>
      <c r="C139" s="485"/>
      <c r="D139" s="485"/>
      <c r="E139" s="485"/>
      <c r="F139" s="485"/>
      <c r="G139" s="485"/>
      <c r="H139" s="485"/>
      <c r="I139" s="485"/>
      <c r="J139" s="485"/>
      <c r="K139" s="485"/>
      <c r="L139" s="485"/>
      <c r="M139" s="489"/>
      <c r="N139" s="26"/>
      <c r="O139" s="25"/>
      <c r="P139" s="95"/>
    </row>
    <row r="140" spans="1:16" hidden="1" x14ac:dyDescent="0.25">
      <c r="A140" s="284" t="s">
        <v>929</v>
      </c>
      <c r="B140" s="489"/>
      <c r="C140" s="489"/>
      <c r="D140" s="489"/>
      <c r="E140" s="489"/>
      <c r="F140" s="489"/>
      <c r="G140" s="489"/>
      <c r="H140" s="489"/>
      <c r="I140" s="489"/>
      <c r="J140" s="489"/>
      <c r="K140" s="489"/>
      <c r="L140" s="489"/>
      <c r="M140" s="489"/>
      <c r="N140" s="26"/>
      <c r="O140" s="25"/>
      <c r="P140" s="95"/>
    </row>
    <row r="141" spans="1:16" hidden="1" x14ac:dyDescent="0.25">
      <c r="A141" s="285" t="s">
        <v>930</v>
      </c>
      <c r="B141" s="489"/>
      <c r="C141" s="489"/>
      <c r="D141" s="489"/>
      <c r="E141" s="489"/>
      <c r="F141" s="489"/>
      <c r="G141" s="489"/>
      <c r="H141" s="489"/>
      <c r="I141" s="489"/>
      <c r="J141" s="489"/>
      <c r="K141" s="489"/>
      <c r="L141" s="489"/>
      <c r="M141" s="489"/>
      <c r="N141" s="26"/>
      <c r="O141" s="25"/>
      <c r="P141" s="95"/>
    </row>
    <row r="142" spans="1:16" hidden="1" x14ac:dyDescent="0.25">
      <c r="A142" s="285" t="s">
        <v>931</v>
      </c>
      <c r="B142" s="489"/>
      <c r="C142" s="489"/>
      <c r="D142" s="489"/>
      <c r="E142" s="489"/>
      <c r="F142" s="489"/>
      <c r="G142" s="489"/>
      <c r="H142" s="489"/>
      <c r="I142" s="489"/>
      <c r="J142" s="489"/>
      <c r="K142" s="489"/>
      <c r="L142" s="489"/>
      <c r="M142" s="489"/>
      <c r="N142" s="26"/>
      <c r="O142" s="25"/>
      <c r="P142" s="95"/>
    </row>
    <row r="143" spans="1:16" hidden="1" x14ac:dyDescent="0.25">
      <c r="A143" s="284" t="s">
        <v>932</v>
      </c>
      <c r="B143" s="489"/>
      <c r="C143" s="489"/>
      <c r="D143" s="489"/>
      <c r="E143" s="489"/>
      <c r="F143" s="489"/>
      <c r="G143" s="489"/>
      <c r="H143" s="489"/>
      <c r="I143" s="489"/>
      <c r="J143" s="489"/>
      <c r="K143" s="489"/>
      <c r="L143" s="489"/>
      <c r="M143" s="489"/>
      <c r="N143" s="26"/>
      <c r="O143" s="25"/>
      <c r="P143" s="95"/>
    </row>
    <row r="144" spans="1:16" hidden="1" x14ac:dyDescent="0.25">
      <c r="A144" s="493"/>
      <c r="B144" s="25"/>
      <c r="C144" s="25"/>
      <c r="D144" s="25"/>
      <c r="E144" s="25"/>
      <c r="F144" s="25"/>
      <c r="G144" s="25"/>
      <c r="H144" s="25"/>
      <c r="I144" s="25"/>
      <c r="J144" s="25"/>
      <c r="K144" s="25"/>
      <c r="L144" s="25"/>
      <c r="M144" s="580"/>
      <c r="N144" s="26"/>
      <c r="O144" s="25"/>
      <c r="P144" s="95"/>
    </row>
    <row r="145" spans="1:16" hidden="1" x14ac:dyDescent="0.25">
      <c r="A145" s="494" t="s">
        <v>186</v>
      </c>
      <c r="B145" s="28">
        <f t="shared" ref="B145:L145" si="21">+B146+B149</f>
        <v>0</v>
      </c>
      <c r="C145" s="28">
        <f t="shared" si="21"/>
        <v>0</v>
      </c>
      <c r="D145" s="28">
        <f t="shared" si="21"/>
        <v>0</v>
      </c>
      <c r="E145" s="28">
        <f t="shared" si="21"/>
        <v>0</v>
      </c>
      <c r="F145" s="28">
        <f t="shared" si="21"/>
        <v>0</v>
      </c>
      <c r="G145" s="28">
        <f t="shared" si="21"/>
        <v>0</v>
      </c>
      <c r="H145" s="28">
        <f t="shared" si="21"/>
        <v>0</v>
      </c>
      <c r="I145" s="28">
        <f t="shared" si="21"/>
        <v>0</v>
      </c>
      <c r="J145" s="28">
        <f t="shared" si="21"/>
        <v>0</v>
      </c>
      <c r="K145" s="28">
        <f t="shared" si="21"/>
        <v>0</v>
      </c>
      <c r="L145" s="28">
        <f t="shared" si="21"/>
        <v>0</v>
      </c>
      <c r="M145" s="580">
        <f t="shared" si="17"/>
        <v>0</v>
      </c>
      <c r="N145" s="26">
        <f>'D3-Capex'!I110</f>
        <v>0</v>
      </c>
      <c r="O145" s="25">
        <f>'D3-Capex'!J110</f>
        <v>0</v>
      </c>
      <c r="P145" s="95">
        <f>'D3-Capex'!K110</f>
        <v>0</v>
      </c>
    </row>
    <row r="146" spans="1:16" hidden="1" x14ac:dyDescent="0.25">
      <c r="A146" s="285" t="s">
        <v>933</v>
      </c>
      <c r="B146" s="417">
        <f t="shared" ref="B146:K146" si="22">SUM(B147:B148)</f>
        <v>0</v>
      </c>
      <c r="C146" s="417">
        <f t="shared" si="22"/>
        <v>0</v>
      </c>
      <c r="D146" s="417">
        <f t="shared" si="22"/>
        <v>0</v>
      </c>
      <c r="E146" s="417">
        <f t="shared" si="22"/>
        <v>0</v>
      </c>
      <c r="F146" s="417">
        <f t="shared" si="22"/>
        <v>0</v>
      </c>
      <c r="G146" s="417">
        <f t="shared" si="22"/>
        <v>0</v>
      </c>
      <c r="H146" s="417">
        <f t="shared" si="22"/>
        <v>0</v>
      </c>
      <c r="I146" s="417">
        <f t="shared" si="22"/>
        <v>0</v>
      </c>
      <c r="J146" s="417">
        <f t="shared" si="22"/>
        <v>0</v>
      </c>
      <c r="K146" s="417">
        <f t="shared" si="22"/>
        <v>0</v>
      </c>
      <c r="L146" s="417">
        <f>SUM(L147:L148)</f>
        <v>0</v>
      </c>
      <c r="M146" s="580">
        <f t="shared" si="17"/>
        <v>0</v>
      </c>
      <c r="N146" s="26">
        <f>'D3-Capex'!I111</f>
        <v>0</v>
      </c>
      <c r="O146" s="25">
        <f>'D3-Capex'!J111</f>
        <v>0</v>
      </c>
      <c r="P146" s="95">
        <f>'D3-Capex'!K111</f>
        <v>0</v>
      </c>
    </row>
    <row r="147" spans="1:16" hidden="1" x14ac:dyDescent="0.25">
      <c r="A147" s="303" t="s">
        <v>934</v>
      </c>
      <c r="B147" s="475"/>
      <c r="C147" s="475"/>
      <c r="D147" s="475"/>
      <c r="E147" s="475"/>
      <c r="F147" s="475"/>
      <c r="G147" s="475"/>
      <c r="H147" s="475"/>
      <c r="I147" s="475"/>
      <c r="J147" s="475"/>
      <c r="K147" s="475"/>
      <c r="L147" s="475"/>
      <c r="M147" s="580"/>
      <c r="N147" s="26"/>
      <c r="O147" s="25"/>
      <c r="P147" s="95"/>
    </row>
    <row r="148" spans="1:16" hidden="1" x14ac:dyDescent="0.25">
      <c r="A148" s="303" t="s">
        <v>935</v>
      </c>
      <c r="B148" s="475"/>
      <c r="C148" s="475"/>
      <c r="D148" s="475"/>
      <c r="E148" s="475"/>
      <c r="F148" s="475"/>
      <c r="G148" s="475"/>
      <c r="H148" s="475"/>
      <c r="I148" s="475"/>
      <c r="J148" s="475"/>
      <c r="K148" s="475"/>
      <c r="L148" s="475"/>
      <c r="M148" s="580"/>
      <c r="N148" s="26"/>
      <c r="O148" s="25"/>
      <c r="P148" s="95"/>
    </row>
    <row r="149" spans="1:16" hidden="1" x14ac:dyDescent="0.25">
      <c r="A149" s="285" t="s">
        <v>936</v>
      </c>
      <c r="B149" s="422">
        <f t="shared" ref="B149:L149" si="23">SUM(B150:B151)</f>
        <v>0</v>
      </c>
      <c r="C149" s="422">
        <f t="shared" si="23"/>
        <v>0</v>
      </c>
      <c r="D149" s="422">
        <f t="shared" si="23"/>
        <v>0</v>
      </c>
      <c r="E149" s="422">
        <f t="shared" si="23"/>
        <v>0</v>
      </c>
      <c r="F149" s="422">
        <f t="shared" si="23"/>
        <v>0</v>
      </c>
      <c r="G149" s="422">
        <f t="shared" si="23"/>
        <v>0</v>
      </c>
      <c r="H149" s="422">
        <f t="shared" si="23"/>
        <v>0</v>
      </c>
      <c r="I149" s="422">
        <f t="shared" si="23"/>
        <v>0</v>
      </c>
      <c r="J149" s="422">
        <f t="shared" si="23"/>
        <v>0</v>
      </c>
      <c r="K149" s="422">
        <f t="shared" si="23"/>
        <v>0</v>
      </c>
      <c r="L149" s="422">
        <f t="shared" si="23"/>
        <v>0</v>
      </c>
      <c r="M149" s="580">
        <f t="shared" si="17"/>
        <v>0</v>
      </c>
      <c r="N149" s="26">
        <f>'D3-Capex'!I114</f>
        <v>0</v>
      </c>
      <c r="O149" s="25">
        <f>'D3-Capex'!J114</f>
        <v>0</v>
      </c>
      <c r="P149" s="95">
        <f>'D3-Capex'!K114</f>
        <v>0</v>
      </c>
    </row>
    <row r="150" spans="1:16" hidden="1" x14ac:dyDescent="0.25">
      <c r="A150" s="303" t="s">
        <v>934</v>
      </c>
      <c r="B150" s="475"/>
      <c r="C150" s="475"/>
      <c r="D150" s="475"/>
      <c r="E150" s="475"/>
      <c r="F150" s="475"/>
      <c r="G150" s="475"/>
      <c r="H150" s="475"/>
      <c r="I150" s="475"/>
      <c r="J150" s="475"/>
      <c r="K150" s="475"/>
      <c r="L150" s="475"/>
      <c r="M150" s="580"/>
      <c r="N150" s="26"/>
      <c r="O150" s="25"/>
      <c r="P150" s="95"/>
    </row>
    <row r="151" spans="1:16" hidden="1" x14ac:dyDescent="0.25">
      <c r="A151" s="303" t="s">
        <v>935</v>
      </c>
      <c r="B151" s="475"/>
      <c r="C151" s="475"/>
      <c r="D151" s="475"/>
      <c r="E151" s="475"/>
      <c r="F151" s="475"/>
      <c r="G151" s="475"/>
      <c r="H151" s="475"/>
      <c r="I151" s="475"/>
      <c r="J151" s="475"/>
      <c r="K151" s="475"/>
      <c r="L151" s="475"/>
      <c r="M151" s="580"/>
      <c r="N151" s="26"/>
      <c r="O151" s="25"/>
      <c r="P151" s="95"/>
    </row>
    <row r="152" spans="1:16" hidden="1" x14ac:dyDescent="0.25">
      <c r="A152" s="493"/>
      <c r="B152" s="25"/>
      <c r="C152" s="25"/>
      <c r="D152" s="25"/>
      <c r="E152" s="25"/>
      <c r="F152" s="25"/>
      <c r="G152" s="25"/>
      <c r="H152" s="25"/>
      <c r="I152" s="25"/>
      <c r="J152" s="25"/>
      <c r="K152" s="25"/>
      <c r="L152" s="25"/>
      <c r="M152" s="580"/>
      <c r="N152" s="26"/>
      <c r="O152" s="25"/>
      <c r="P152" s="95"/>
    </row>
    <row r="153" spans="1:16" hidden="1" x14ac:dyDescent="0.25">
      <c r="A153" s="494" t="s">
        <v>187</v>
      </c>
      <c r="B153" s="28">
        <f t="shared" ref="B153:L153" si="24">+B154+B166</f>
        <v>0</v>
      </c>
      <c r="C153" s="28">
        <f t="shared" si="24"/>
        <v>0</v>
      </c>
      <c r="D153" s="28">
        <f t="shared" si="24"/>
        <v>0</v>
      </c>
      <c r="E153" s="28">
        <f t="shared" si="24"/>
        <v>0</v>
      </c>
      <c r="F153" s="28">
        <f t="shared" si="24"/>
        <v>0</v>
      </c>
      <c r="G153" s="28">
        <f t="shared" si="24"/>
        <v>0</v>
      </c>
      <c r="H153" s="28">
        <f t="shared" si="24"/>
        <v>0</v>
      </c>
      <c r="I153" s="28">
        <f t="shared" si="24"/>
        <v>0</v>
      </c>
      <c r="J153" s="28">
        <f t="shared" si="24"/>
        <v>0</v>
      </c>
      <c r="K153" s="28">
        <f t="shared" si="24"/>
        <v>0</v>
      </c>
      <c r="L153" s="28">
        <f t="shared" si="24"/>
        <v>0</v>
      </c>
      <c r="M153" s="580">
        <f t="shared" si="17"/>
        <v>0</v>
      </c>
      <c r="N153" s="26">
        <f>'D3-Capex'!I118</f>
        <v>0</v>
      </c>
      <c r="O153" s="25">
        <f>'D3-Capex'!J118</f>
        <v>0</v>
      </c>
      <c r="P153" s="95">
        <f>'D3-Capex'!K118</f>
        <v>0</v>
      </c>
    </row>
    <row r="154" spans="1:16" hidden="1" x14ac:dyDescent="0.25">
      <c r="A154" s="285" t="s">
        <v>937</v>
      </c>
      <c r="B154" s="417">
        <f t="shared" ref="B154:L154" si="25">SUM(B155:B165)</f>
        <v>0</v>
      </c>
      <c r="C154" s="417">
        <f t="shared" si="25"/>
        <v>0</v>
      </c>
      <c r="D154" s="417">
        <f t="shared" si="25"/>
        <v>0</v>
      </c>
      <c r="E154" s="417">
        <f t="shared" si="25"/>
        <v>0</v>
      </c>
      <c r="F154" s="417">
        <f t="shared" si="25"/>
        <v>0</v>
      </c>
      <c r="G154" s="417">
        <f t="shared" si="25"/>
        <v>0</v>
      </c>
      <c r="H154" s="417">
        <f t="shared" si="25"/>
        <v>0</v>
      </c>
      <c r="I154" s="417">
        <f t="shared" si="25"/>
        <v>0</v>
      </c>
      <c r="J154" s="417">
        <f t="shared" si="25"/>
        <v>0</v>
      </c>
      <c r="K154" s="417">
        <f t="shared" si="25"/>
        <v>0</v>
      </c>
      <c r="L154" s="417">
        <f t="shared" si="25"/>
        <v>0</v>
      </c>
      <c r="M154" s="580">
        <f t="shared" si="17"/>
        <v>0</v>
      </c>
      <c r="N154" s="26">
        <f>'D3-Capex'!I119</f>
        <v>0</v>
      </c>
      <c r="O154" s="25">
        <f>'D3-Capex'!J119</f>
        <v>0</v>
      </c>
      <c r="P154" s="95">
        <f>'D3-Capex'!K119</f>
        <v>0</v>
      </c>
    </row>
    <row r="155" spans="1:16" hidden="1" x14ac:dyDescent="0.25">
      <c r="A155" s="303" t="s">
        <v>938</v>
      </c>
      <c r="B155" s="475"/>
      <c r="C155" s="475"/>
      <c r="D155" s="475"/>
      <c r="E155" s="475"/>
      <c r="F155" s="475"/>
      <c r="G155" s="475"/>
      <c r="H155" s="475"/>
      <c r="I155" s="475"/>
      <c r="J155" s="475"/>
      <c r="K155" s="475"/>
      <c r="L155" s="475"/>
      <c r="M155" s="580"/>
      <c r="N155" s="26"/>
      <c r="O155" s="25"/>
      <c r="P155" s="95"/>
    </row>
    <row r="156" spans="1:16" hidden="1" x14ac:dyDescent="0.25">
      <c r="A156" s="303" t="s">
        <v>939</v>
      </c>
      <c r="B156" s="475"/>
      <c r="C156" s="475"/>
      <c r="D156" s="475"/>
      <c r="E156" s="475"/>
      <c r="F156" s="475"/>
      <c r="G156" s="475"/>
      <c r="H156" s="475"/>
      <c r="I156" s="475"/>
      <c r="J156" s="475"/>
      <c r="K156" s="475"/>
      <c r="L156" s="475"/>
      <c r="M156" s="580"/>
      <c r="N156" s="26"/>
      <c r="O156" s="25"/>
      <c r="P156" s="95"/>
    </row>
    <row r="157" spans="1:16" hidden="1" x14ac:dyDescent="0.25">
      <c r="A157" s="303" t="s">
        <v>940</v>
      </c>
      <c r="B157" s="475"/>
      <c r="C157" s="475"/>
      <c r="D157" s="475"/>
      <c r="E157" s="475"/>
      <c r="F157" s="475"/>
      <c r="G157" s="475"/>
      <c r="H157" s="475"/>
      <c r="I157" s="475"/>
      <c r="J157" s="475"/>
      <c r="K157" s="475"/>
      <c r="L157" s="475"/>
      <c r="M157" s="580"/>
      <c r="N157" s="26"/>
      <c r="O157" s="25"/>
      <c r="P157" s="95"/>
    </row>
    <row r="158" spans="1:16" hidden="1" x14ac:dyDescent="0.25">
      <c r="A158" s="303" t="s">
        <v>941</v>
      </c>
      <c r="B158" s="475"/>
      <c r="C158" s="475"/>
      <c r="D158" s="475"/>
      <c r="E158" s="475"/>
      <c r="F158" s="475"/>
      <c r="G158" s="475"/>
      <c r="H158" s="475"/>
      <c r="I158" s="475"/>
      <c r="J158" s="475"/>
      <c r="K158" s="475"/>
      <c r="L158" s="475"/>
      <c r="M158" s="580"/>
      <c r="N158" s="26"/>
      <c r="O158" s="25"/>
      <c r="P158" s="95"/>
    </row>
    <row r="159" spans="1:16" hidden="1" x14ac:dyDescent="0.25">
      <c r="A159" s="303" t="s">
        <v>942</v>
      </c>
      <c r="B159" s="475"/>
      <c r="C159" s="475"/>
      <c r="D159" s="475"/>
      <c r="E159" s="475"/>
      <c r="F159" s="475"/>
      <c r="G159" s="475"/>
      <c r="H159" s="475"/>
      <c r="I159" s="475"/>
      <c r="J159" s="475"/>
      <c r="K159" s="475"/>
      <c r="L159" s="475"/>
      <c r="M159" s="580"/>
      <c r="N159" s="26"/>
      <c r="O159" s="25"/>
      <c r="P159" s="95"/>
    </row>
    <row r="160" spans="1:16" hidden="1" x14ac:dyDescent="0.25">
      <c r="A160" s="303" t="s">
        <v>943</v>
      </c>
      <c r="B160" s="475"/>
      <c r="C160" s="475"/>
      <c r="D160" s="475"/>
      <c r="E160" s="475"/>
      <c r="F160" s="475"/>
      <c r="G160" s="475"/>
      <c r="H160" s="475"/>
      <c r="I160" s="475"/>
      <c r="J160" s="475"/>
      <c r="K160" s="475"/>
      <c r="L160" s="475"/>
      <c r="M160" s="580"/>
      <c r="N160" s="26"/>
      <c r="O160" s="25"/>
      <c r="P160" s="95"/>
    </row>
    <row r="161" spans="1:16" hidden="1" x14ac:dyDescent="0.25">
      <c r="A161" s="303" t="s">
        <v>944</v>
      </c>
      <c r="B161" s="475"/>
      <c r="C161" s="475"/>
      <c r="D161" s="475"/>
      <c r="E161" s="475"/>
      <c r="F161" s="475"/>
      <c r="G161" s="475"/>
      <c r="H161" s="475"/>
      <c r="I161" s="475"/>
      <c r="J161" s="475"/>
      <c r="K161" s="475"/>
      <c r="L161" s="475"/>
      <c r="M161" s="580"/>
      <c r="N161" s="26"/>
      <c r="O161" s="25"/>
      <c r="P161" s="95"/>
    </row>
    <row r="162" spans="1:16" hidden="1" x14ac:dyDescent="0.25">
      <c r="A162" s="303" t="s">
        <v>945</v>
      </c>
      <c r="B162" s="475"/>
      <c r="C162" s="475"/>
      <c r="D162" s="475"/>
      <c r="E162" s="475"/>
      <c r="F162" s="475"/>
      <c r="G162" s="475"/>
      <c r="H162" s="475"/>
      <c r="I162" s="475"/>
      <c r="J162" s="475"/>
      <c r="K162" s="475"/>
      <c r="L162" s="475"/>
      <c r="M162" s="580"/>
      <c r="N162" s="26"/>
      <c r="O162" s="25"/>
      <c r="P162" s="95"/>
    </row>
    <row r="163" spans="1:16" hidden="1" x14ac:dyDescent="0.25">
      <c r="A163" s="303" t="s">
        <v>946</v>
      </c>
      <c r="B163" s="475"/>
      <c r="C163" s="475"/>
      <c r="D163" s="475"/>
      <c r="E163" s="475"/>
      <c r="F163" s="475"/>
      <c r="G163" s="475"/>
      <c r="H163" s="475"/>
      <c r="I163" s="475"/>
      <c r="J163" s="475"/>
      <c r="K163" s="475"/>
      <c r="L163" s="475"/>
      <c r="M163" s="580"/>
      <c r="N163" s="26"/>
      <c r="O163" s="25"/>
      <c r="P163" s="95"/>
    </row>
    <row r="164" spans="1:16" hidden="1" x14ac:dyDescent="0.25">
      <c r="A164" s="303" t="s">
        <v>947</v>
      </c>
      <c r="B164" s="475"/>
      <c r="C164" s="475"/>
      <c r="D164" s="475"/>
      <c r="E164" s="475"/>
      <c r="F164" s="475"/>
      <c r="G164" s="475"/>
      <c r="H164" s="475"/>
      <c r="I164" s="475"/>
      <c r="J164" s="475"/>
      <c r="K164" s="475"/>
      <c r="L164" s="475"/>
      <c r="M164" s="580"/>
      <c r="N164" s="26"/>
      <c r="O164" s="25"/>
      <c r="P164" s="95"/>
    </row>
    <row r="165" spans="1:16" hidden="1" x14ac:dyDescent="0.25">
      <c r="A165" s="303" t="s">
        <v>857</v>
      </c>
      <c r="B165" s="475"/>
      <c r="C165" s="475"/>
      <c r="D165" s="475"/>
      <c r="E165" s="475"/>
      <c r="F165" s="475"/>
      <c r="G165" s="475"/>
      <c r="H165" s="475"/>
      <c r="I165" s="475"/>
      <c r="J165" s="475"/>
      <c r="K165" s="475"/>
      <c r="L165" s="475"/>
      <c r="M165" s="580"/>
      <c r="N165" s="26"/>
      <c r="O165" s="25"/>
      <c r="P165" s="95"/>
    </row>
    <row r="166" spans="1:16" hidden="1" x14ac:dyDescent="0.25">
      <c r="A166" s="285" t="s">
        <v>948</v>
      </c>
      <c r="B166" s="422">
        <f t="shared" ref="B166:L166" si="26">SUM(B167:B169)</f>
        <v>0</v>
      </c>
      <c r="C166" s="422">
        <f t="shared" si="26"/>
        <v>0</v>
      </c>
      <c r="D166" s="422">
        <f t="shared" si="26"/>
        <v>0</v>
      </c>
      <c r="E166" s="422">
        <f t="shared" si="26"/>
        <v>0</v>
      </c>
      <c r="F166" s="422">
        <f t="shared" si="26"/>
        <v>0</v>
      </c>
      <c r="G166" s="422">
        <f t="shared" si="26"/>
        <v>0</v>
      </c>
      <c r="H166" s="422">
        <f t="shared" si="26"/>
        <v>0</v>
      </c>
      <c r="I166" s="422">
        <f t="shared" si="26"/>
        <v>0</v>
      </c>
      <c r="J166" s="422">
        <f t="shared" si="26"/>
        <v>0</v>
      </c>
      <c r="K166" s="422">
        <f t="shared" si="26"/>
        <v>0</v>
      </c>
      <c r="L166" s="422">
        <f t="shared" si="26"/>
        <v>0</v>
      </c>
      <c r="M166" s="580">
        <f t="shared" si="17"/>
        <v>0</v>
      </c>
      <c r="N166" s="26">
        <f>'D3-Capex'!I131</f>
        <v>0</v>
      </c>
      <c r="O166" s="25">
        <f>'D3-Capex'!J131</f>
        <v>0</v>
      </c>
      <c r="P166" s="95">
        <f>'D3-Capex'!K131</f>
        <v>0</v>
      </c>
    </row>
    <row r="167" spans="1:16" hidden="1" x14ac:dyDescent="0.25">
      <c r="A167" s="303" t="s">
        <v>949</v>
      </c>
      <c r="B167" s="475"/>
      <c r="C167" s="475"/>
      <c r="D167" s="475"/>
      <c r="E167" s="475"/>
      <c r="F167" s="475"/>
      <c r="G167" s="475"/>
      <c r="H167" s="475"/>
      <c r="I167" s="475"/>
      <c r="J167" s="475"/>
      <c r="K167" s="475"/>
      <c r="L167" s="475"/>
      <c r="M167" s="580"/>
      <c r="N167" s="26"/>
      <c r="O167" s="25"/>
      <c r="P167" s="95"/>
    </row>
    <row r="168" spans="1:16" hidden="1" x14ac:dyDescent="0.25">
      <c r="A168" s="303" t="s">
        <v>950</v>
      </c>
      <c r="B168" s="475"/>
      <c r="C168" s="475"/>
      <c r="D168" s="475"/>
      <c r="E168" s="475"/>
      <c r="F168" s="475"/>
      <c r="G168" s="475"/>
      <c r="H168" s="475"/>
      <c r="I168" s="475"/>
      <c r="J168" s="475"/>
      <c r="K168" s="475"/>
      <c r="L168" s="475"/>
      <c r="M168" s="580"/>
      <c r="N168" s="26"/>
      <c r="O168" s="25"/>
      <c r="P168" s="95"/>
    </row>
    <row r="169" spans="1:16" hidden="1" x14ac:dyDescent="0.25">
      <c r="A169" s="303" t="s">
        <v>857</v>
      </c>
      <c r="B169" s="475"/>
      <c r="C169" s="475"/>
      <c r="D169" s="475"/>
      <c r="E169" s="475"/>
      <c r="F169" s="475"/>
      <c r="G169" s="475"/>
      <c r="H169" s="475"/>
      <c r="I169" s="475"/>
      <c r="J169" s="475"/>
      <c r="K169" s="475"/>
      <c r="L169" s="475"/>
      <c r="M169" s="580"/>
      <c r="N169" s="26"/>
      <c r="O169" s="25"/>
      <c r="P169" s="95"/>
    </row>
    <row r="170" spans="1:16" hidden="1" x14ac:dyDescent="0.25">
      <c r="A170" s="310"/>
      <c r="B170" s="25"/>
      <c r="C170" s="25"/>
      <c r="D170" s="25"/>
      <c r="E170" s="25"/>
      <c r="F170" s="25"/>
      <c r="G170" s="25"/>
      <c r="H170" s="25"/>
      <c r="I170" s="25"/>
      <c r="J170" s="25"/>
      <c r="K170" s="25"/>
      <c r="L170" s="25"/>
      <c r="M170" s="580"/>
      <c r="N170" s="26"/>
      <c r="O170" s="25"/>
      <c r="P170" s="95"/>
    </row>
    <row r="171" spans="1:16" hidden="1" x14ac:dyDescent="0.25">
      <c r="A171" s="301" t="s">
        <v>951</v>
      </c>
      <c r="B171" s="25">
        <f t="shared" ref="B171:L171" si="27">SUM(B172:B172)</f>
        <v>0</v>
      </c>
      <c r="C171" s="25">
        <f t="shared" si="27"/>
        <v>0</v>
      </c>
      <c r="D171" s="25">
        <f t="shared" si="27"/>
        <v>0</v>
      </c>
      <c r="E171" s="25">
        <f t="shared" si="27"/>
        <v>0</v>
      </c>
      <c r="F171" s="25">
        <f t="shared" si="27"/>
        <v>0</v>
      </c>
      <c r="G171" s="25">
        <f t="shared" si="27"/>
        <v>0</v>
      </c>
      <c r="H171" s="25">
        <f t="shared" si="27"/>
        <v>0</v>
      </c>
      <c r="I171" s="25">
        <f t="shared" si="27"/>
        <v>0</v>
      </c>
      <c r="J171" s="25">
        <f t="shared" si="27"/>
        <v>0</v>
      </c>
      <c r="K171" s="25">
        <f t="shared" si="27"/>
        <v>0</v>
      </c>
      <c r="L171" s="25">
        <f t="shared" si="27"/>
        <v>0</v>
      </c>
      <c r="M171" s="580">
        <f t="shared" ref="M171:M199" si="28">N171-SUM(B171:L171)</f>
        <v>0</v>
      </c>
      <c r="N171" s="26">
        <f>'D3-Capex'!I136</f>
        <v>0</v>
      </c>
      <c r="O171" s="25">
        <f>'D3-Capex'!J136</f>
        <v>0</v>
      </c>
      <c r="P171" s="95">
        <f>'D3-Capex'!K136</f>
        <v>0</v>
      </c>
    </row>
    <row r="172" spans="1:16" hidden="1" x14ac:dyDescent="0.25">
      <c r="A172" s="285" t="s">
        <v>951</v>
      </c>
      <c r="B172" s="495"/>
      <c r="C172" s="495"/>
      <c r="D172" s="495"/>
      <c r="E172" s="495"/>
      <c r="F172" s="495"/>
      <c r="G172" s="495"/>
      <c r="H172" s="495"/>
      <c r="I172" s="495"/>
      <c r="J172" s="495"/>
      <c r="K172" s="495"/>
      <c r="L172" s="495"/>
      <c r="M172" s="580"/>
      <c r="N172" s="26"/>
      <c r="O172" s="25"/>
      <c r="P172" s="95"/>
    </row>
    <row r="173" spans="1:16" hidden="1" x14ac:dyDescent="0.25">
      <c r="A173" s="305"/>
      <c r="B173" s="25"/>
      <c r="C173" s="25"/>
      <c r="D173" s="25"/>
      <c r="E173" s="25"/>
      <c r="F173" s="25"/>
      <c r="G173" s="25"/>
      <c r="H173" s="25"/>
      <c r="I173" s="25"/>
      <c r="J173" s="25"/>
      <c r="K173" s="25"/>
      <c r="L173" s="25"/>
      <c r="M173" s="580"/>
      <c r="N173" s="26"/>
      <c r="O173" s="25"/>
      <c r="P173" s="95"/>
    </row>
    <row r="174" spans="1:16" hidden="1" x14ac:dyDescent="0.25">
      <c r="A174" s="301" t="s">
        <v>952</v>
      </c>
      <c r="B174" s="25">
        <f t="shared" ref="B174:L174" si="29">+B175+B176</f>
        <v>0</v>
      </c>
      <c r="C174" s="25">
        <f t="shared" si="29"/>
        <v>0</v>
      </c>
      <c r="D174" s="25">
        <f t="shared" si="29"/>
        <v>0</v>
      </c>
      <c r="E174" s="25">
        <f t="shared" si="29"/>
        <v>0</v>
      </c>
      <c r="F174" s="25">
        <f t="shared" si="29"/>
        <v>0</v>
      </c>
      <c r="G174" s="25">
        <f t="shared" si="29"/>
        <v>0</v>
      </c>
      <c r="H174" s="25">
        <f t="shared" si="29"/>
        <v>0</v>
      </c>
      <c r="I174" s="25">
        <f t="shared" si="29"/>
        <v>0</v>
      </c>
      <c r="J174" s="25">
        <f t="shared" si="29"/>
        <v>0</v>
      </c>
      <c r="K174" s="25">
        <f t="shared" si="29"/>
        <v>0</v>
      </c>
      <c r="L174" s="25">
        <f t="shared" si="29"/>
        <v>0</v>
      </c>
      <c r="M174" s="580">
        <f t="shared" si="28"/>
        <v>0</v>
      </c>
      <c r="N174" s="26">
        <f>'D3-Capex'!I139</f>
        <v>0</v>
      </c>
      <c r="O174" s="25">
        <f>'D3-Capex'!J139</f>
        <v>0</v>
      </c>
      <c r="P174" s="95">
        <f>'D3-Capex'!K139</f>
        <v>0</v>
      </c>
    </row>
    <row r="175" spans="1:16" hidden="1" x14ac:dyDescent="0.25">
      <c r="A175" s="284" t="s">
        <v>953</v>
      </c>
      <c r="B175" s="495"/>
      <c r="C175" s="495"/>
      <c r="D175" s="495"/>
      <c r="E175" s="495"/>
      <c r="F175" s="495"/>
      <c r="G175" s="495"/>
      <c r="H175" s="495"/>
      <c r="I175" s="495"/>
      <c r="J175" s="495"/>
      <c r="K175" s="495"/>
      <c r="L175" s="495"/>
      <c r="M175" s="580"/>
      <c r="N175" s="26"/>
      <c r="O175" s="25"/>
      <c r="P175" s="95"/>
    </row>
    <row r="176" spans="1:16" hidden="1" x14ac:dyDescent="0.25">
      <c r="A176" s="284" t="s">
        <v>954</v>
      </c>
      <c r="B176" s="422">
        <f t="shared" ref="B176:L176" si="30">SUM(B177:B182)</f>
        <v>0</v>
      </c>
      <c r="C176" s="422">
        <f t="shared" si="30"/>
        <v>0</v>
      </c>
      <c r="D176" s="422">
        <f t="shared" si="30"/>
        <v>0</v>
      </c>
      <c r="E176" s="422">
        <f t="shared" si="30"/>
        <v>0</v>
      </c>
      <c r="F176" s="422">
        <f t="shared" si="30"/>
        <v>0</v>
      </c>
      <c r="G176" s="422">
        <f t="shared" si="30"/>
        <v>0</v>
      </c>
      <c r="H176" s="422">
        <f t="shared" si="30"/>
        <v>0</v>
      </c>
      <c r="I176" s="422">
        <f t="shared" si="30"/>
        <v>0</v>
      </c>
      <c r="J176" s="422">
        <f t="shared" si="30"/>
        <v>0</v>
      </c>
      <c r="K176" s="422">
        <f t="shared" si="30"/>
        <v>0</v>
      </c>
      <c r="L176" s="422">
        <f t="shared" si="30"/>
        <v>0</v>
      </c>
      <c r="M176" s="580">
        <f t="shared" si="28"/>
        <v>0</v>
      </c>
      <c r="N176" s="26">
        <f>'D3-Capex'!I141</f>
        <v>0</v>
      </c>
      <c r="O176" s="25">
        <f>'D3-Capex'!J141</f>
        <v>0</v>
      </c>
      <c r="P176" s="95">
        <f>'D3-Capex'!K141</f>
        <v>0</v>
      </c>
    </row>
    <row r="177" spans="1:17" hidden="1" x14ac:dyDescent="0.25">
      <c r="A177" s="303" t="s">
        <v>955</v>
      </c>
      <c r="B177" s="475"/>
      <c r="C177" s="475"/>
      <c r="D177" s="475"/>
      <c r="E177" s="475"/>
      <c r="F177" s="475"/>
      <c r="G177" s="475"/>
      <c r="H177" s="475"/>
      <c r="I177" s="475"/>
      <c r="J177" s="475"/>
      <c r="K177" s="475"/>
      <c r="L177" s="475"/>
      <c r="M177" s="580"/>
      <c r="N177" s="26"/>
      <c r="O177" s="25"/>
      <c r="P177" s="95"/>
    </row>
    <row r="178" spans="1:17" hidden="1" x14ac:dyDescent="0.25">
      <c r="A178" s="303" t="s">
        <v>956</v>
      </c>
      <c r="B178" s="475"/>
      <c r="C178" s="475"/>
      <c r="D178" s="475"/>
      <c r="E178" s="475"/>
      <c r="F178" s="475"/>
      <c r="G178" s="475"/>
      <c r="H178" s="475"/>
      <c r="I178" s="475"/>
      <c r="J178" s="475"/>
      <c r="K178" s="475"/>
      <c r="L178" s="475"/>
      <c r="M178" s="580"/>
      <c r="N178" s="26"/>
      <c r="O178" s="25"/>
      <c r="P178" s="95"/>
    </row>
    <row r="179" spans="1:17" hidden="1" x14ac:dyDescent="0.25">
      <c r="A179" s="303" t="s">
        <v>957</v>
      </c>
      <c r="B179" s="475"/>
      <c r="C179" s="475"/>
      <c r="D179" s="475"/>
      <c r="E179" s="475"/>
      <c r="F179" s="475"/>
      <c r="G179" s="475"/>
      <c r="H179" s="475"/>
      <c r="I179" s="475"/>
      <c r="J179" s="475"/>
      <c r="K179" s="475"/>
      <c r="L179" s="475"/>
      <c r="M179" s="580"/>
      <c r="N179" s="26"/>
      <c r="O179" s="25"/>
      <c r="P179" s="95"/>
    </row>
    <row r="180" spans="1:17" hidden="1" x14ac:dyDescent="0.25">
      <c r="A180" s="303" t="s">
        <v>958</v>
      </c>
      <c r="B180" s="475"/>
      <c r="C180" s="475"/>
      <c r="D180" s="475"/>
      <c r="E180" s="475"/>
      <c r="F180" s="475"/>
      <c r="G180" s="475"/>
      <c r="H180" s="475"/>
      <c r="I180" s="475"/>
      <c r="J180" s="475"/>
      <c r="K180" s="475"/>
      <c r="L180" s="475"/>
      <c r="M180" s="580"/>
      <c r="N180" s="26"/>
      <c r="O180" s="25"/>
      <c r="P180" s="95"/>
    </row>
    <row r="181" spans="1:17" hidden="1" x14ac:dyDescent="0.25">
      <c r="A181" s="303" t="s">
        <v>959</v>
      </c>
      <c r="B181" s="475"/>
      <c r="C181" s="475"/>
      <c r="D181" s="475"/>
      <c r="E181" s="475"/>
      <c r="F181" s="475"/>
      <c r="G181" s="475"/>
      <c r="H181" s="475"/>
      <c r="I181" s="475"/>
      <c r="J181" s="475"/>
      <c r="K181" s="475"/>
      <c r="L181" s="475"/>
      <c r="M181" s="580"/>
      <c r="N181" s="26"/>
      <c r="O181" s="25"/>
      <c r="P181" s="95"/>
    </row>
    <row r="182" spans="1:17" hidden="1" x14ac:dyDescent="0.25">
      <c r="A182" s="303" t="s">
        <v>960</v>
      </c>
      <c r="B182" s="475"/>
      <c r="C182" s="475"/>
      <c r="D182" s="475"/>
      <c r="E182" s="475"/>
      <c r="F182" s="475"/>
      <c r="G182" s="475"/>
      <c r="H182" s="475"/>
      <c r="I182" s="475"/>
      <c r="J182" s="475"/>
      <c r="K182" s="475"/>
      <c r="L182" s="475"/>
      <c r="M182" s="580"/>
      <c r="N182" s="26"/>
      <c r="O182" s="25"/>
      <c r="P182" s="95"/>
    </row>
    <row r="183" spans="1:17" hidden="1" x14ac:dyDescent="0.25">
      <c r="A183" s="305"/>
      <c r="B183" s="28"/>
      <c r="C183" s="28"/>
      <c r="D183" s="28"/>
      <c r="E183" s="28"/>
      <c r="F183" s="28"/>
      <c r="G183" s="28"/>
      <c r="H183" s="28"/>
      <c r="I183" s="28"/>
      <c r="J183" s="28"/>
      <c r="K183" s="28"/>
      <c r="L183" s="28"/>
      <c r="M183" s="580"/>
      <c r="N183" s="26"/>
      <c r="O183" s="25"/>
      <c r="P183" s="95"/>
    </row>
    <row r="184" spans="1:17" x14ac:dyDescent="0.25">
      <c r="A184" s="301" t="s">
        <v>961</v>
      </c>
      <c r="B184" s="25">
        <f t="shared" ref="B184:L184" si="31">SUM(B185:B185)</f>
        <v>847883.33333333337</v>
      </c>
      <c r="C184" s="25">
        <f t="shared" si="31"/>
        <v>847883.33333333337</v>
      </c>
      <c r="D184" s="25">
        <f t="shared" si="31"/>
        <v>847883.33333333337</v>
      </c>
      <c r="E184" s="25">
        <f t="shared" si="31"/>
        <v>847883.33333333337</v>
      </c>
      <c r="F184" s="25">
        <f t="shared" si="31"/>
        <v>847883.33333333337</v>
      </c>
      <c r="G184" s="25">
        <f t="shared" si="31"/>
        <v>847883.33333333337</v>
      </c>
      <c r="H184" s="25">
        <f t="shared" si="31"/>
        <v>847883.33333333337</v>
      </c>
      <c r="I184" s="25">
        <f t="shared" si="31"/>
        <v>847883.33333333337</v>
      </c>
      <c r="J184" s="25">
        <f t="shared" si="31"/>
        <v>847883.33333333337</v>
      </c>
      <c r="K184" s="25">
        <f t="shared" si="31"/>
        <v>847883.33333333337</v>
      </c>
      <c r="L184" s="25">
        <f t="shared" si="31"/>
        <v>847883.33333333337</v>
      </c>
      <c r="M184" s="580">
        <f t="shared" si="28"/>
        <v>847883.33333333395</v>
      </c>
      <c r="N184" s="26">
        <f>'D3-Capex'!I149</f>
        <v>10174600</v>
      </c>
      <c r="O184" s="25">
        <f>'D3-Capex'!J149</f>
        <v>10659981</v>
      </c>
      <c r="P184" s="95">
        <f>'D3-Capex'!K149</f>
        <v>11168522</v>
      </c>
    </row>
    <row r="185" spans="1:17" x14ac:dyDescent="0.25">
      <c r="A185" s="285" t="s">
        <v>961</v>
      </c>
      <c r="B185" s="495">
        <v>847883.33333333337</v>
      </c>
      <c r="C185" s="495">
        <v>847883.33333333337</v>
      </c>
      <c r="D185" s="495">
        <v>847883.33333333337</v>
      </c>
      <c r="E185" s="495">
        <v>847883.33333333337</v>
      </c>
      <c r="F185" s="495">
        <v>847883.33333333337</v>
      </c>
      <c r="G185" s="495">
        <v>847883.33333333337</v>
      </c>
      <c r="H185" s="495">
        <v>847883.33333333337</v>
      </c>
      <c r="I185" s="495">
        <v>847883.33333333337</v>
      </c>
      <c r="J185" s="495">
        <v>847883.33333333337</v>
      </c>
      <c r="K185" s="495">
        <v>847883.33333333337</v>
      </c>
      <c r="L185" s="495">
        <v>847883.33333333337</v>
      </c>
      <c r="M185" s="495">
        <v>847883.33333333337</v>
      </c>
      <c r="N185" s="26">
        <f>'D3-Capex'!I150</f>
        <v>10174600</v>
      </c>
      <c r="O185" s="25">
        <f>'D3-Capex'!J150</f>
        <v>10659981</v>
      </c>
      <c r="P185" s="95">
        <f>'D3-Capex'!K150</f>
        <v>11168522</v>
      </c>
      <c r="Q185" s="670"/>
    </row>
    <row r="186" spans="1:17" x14ac:dyDescent="0.25">
      <c r="A186" s="305"/>
      <c r="B186" s="25"/>
      <c r="C186" s="25"/>
      <c r="D186" s="25"/>
      <c r="E186" s="25"/>
      <c r="F186" s="25"/>
      <c r="G186" s="25"/>
      <c r="H186" s="25"/>
      <c r="I186" s="25"/>
      <c r="J186" s="25"/>
      <c r="K186" s="25"/>
      <c r="L186" s="25"/>
      <c r="M186" s="580"/>
      <c r="N186" s="26"/>
      <c r="O186" s="25"/>
      <c r="P186" s="95"/>
    </row>
    <row r="187" spans="1:17" x14ac:dyDescent="0.25">
      <c r="A187" s="301" t="s">
        <v>962</v>
      </c>
      <c r="B187" s="25">
        <f t="shared" ref="B187:L187" si="32">SUM(B188:B188)</f>
        <v>18249.736333333334</v>
      </c>
      <c r="C187" s="25">
        <f t="shared" si="32"/>
        <v>18249.736333333334</v>
      </c>
      <c r="D187" s="25">
        <f t="shared" si="32"/>
        <v>18249.736333333334</v>
      </c>
      <c r="E187" s="25">
        <f t="shared" si="32"/>
        <v>18249.736333333334</v>
      </c>
      <c r="F187" s="25">
        <f t="shared" si="32"/>
        <v>18249.736333333334</v>
      </c>
      <c r="G187" s="25">
        <f t="shared" si="32"/>
        <v>18249.736333333334</v>
      </c>
      <c r="H187" s="25">
        <f t="shared" si="32"/>
        <v>18249.736333333334</v>
      </c>
      <c r="I187" s="25">
        <f t="shared" si="32"/>
        <v>18249.736333333334</v>
      </c>
      <c r="J187" s="25">
        <f t="shared" si="32"/>
        <v>18249.736333333334</v>
      </c>
      <c r="K187" s="25">
        <f t="shared" si="32"/>
        <v>18249.736333333334</v>
      </c>
      <c r="L187" s="25">
        <f t="shared" si="32"/>
        <v>18249.736333333334</v>
      </c>
      <c r="M187" s="580">
        <f t="shared" si="28"/>
        <v>18249.736333333334</v>
      </c>
      <c r="N187" s="26">
        <f>'D3-Capex'!I152</f>
        <v>218996.83600000001</v>
      </c>
      <c r="O187" s="25">
        <f>'D3-Capex'!J152</f>
        <v>229508.68412800002</v>
      </c>
      <c r="P187" s="95">
        <f>'D3-Capex'!K152</f>
        <v>240525.10096614403</v>
      </c>
    </row>
    <row r="188" spans="1:17" x14ac:dyDescent="0.25">
      <c r="A188" s="285" t="s">
        <v>962</v>
      </c>
      <c r="B188" s="495">
        <v>18249.736333333334</v>
      </c>
      <c r="C188" s="495">
        <v>18249.736333333334</v>
      </c>
      <c r="D188" s="495">
        <v>18249.736333333334</v>
      </c>
      <c r="E188" s="495">
        <v>18249.736333333334</v>
      </c>
      <c r="F188" s="495">
        <v>18249.736333333334</v>
      </c>
      <c r="G188" s="495">
        <v>18249.736333333334</v>
      </c>
      <c r="H188" s="495">
        <v>18249.736333333334</v>
      </c>
      <c r="I188" s="495">
        <v>18249.736333333334</v>
      </c>
      <c r="J188" s="495">
        <v>18249.736333333334</v>
      </c>
      <c r="K188" s="495">
        <v>18249.736333333334</v>
      </c>
      <c r="L188" s="495">
        <v>18249.736333333334</v>
      </c>
      <c r="M188" s="495">
        <f t="shared" si="28"/>
        <v>18249.736333333334</v>
      </c>
      <c r="N188" s="26">
        <f>'D3-Capex'!I153</f>
        <v>218996.83600000001</v>
      </c>
      <c r="O188" s="25">
        <f>'D3-Capex'!J153</f>
        <v>229508.68412800002</v>
      </c>
      <c r="P188" s="95">
        <f>'D3-Capex'!K153</f>
        <v>240525.10096614403</v>
      </c>
      <c r="Q188" s="670"/>
    </row>
    <row r="189" spans="1:17" x14ac:dyDescent="0.25">
      <c r="A189" s="305"/>
      <c r="B189" s="25"/>
      <c r="C189" s="25"/>
      <c r="D189" s="25"/>
      <c r="E189" s="25"/>
      <c r="F189" s="25"/>
      <c r="G189" s="25"/>
      <c r="H189" s="25"/>
      <c r="I189" s="25"/>
      <c r="J189" s="25"/>
      <c r="K189" s="25"/>
      <c r="L189" s="25"/>
      <c r="M189" s="580"/>
      <c r="N189" s="26"/>
      <c r="O189" s="25"/>
      <c r="P189" s="95"/>
    </row>
    <row r="190" spans="1:17" x14ac:dyDescent="0.25">
      <c r="A190" s="301" t="s">
        <v>963</v>
      </c>
      <c r="B190" s="25">
        <f t="shared" ref="B190:L190" si="33">SUM(B191:B191)</f>
        <v>83333.333333333328</v>
      </c>
      <c r="C190" s="25">
        <f t="shared" si="33"/>
        <v>83333.333333333328</v>
      </c>
      <c r="D190" s="25">
        <f t="shared" si="33"/>
        <v>83333.333333333328</v>
      </c>
      <c r="E190" s="25">
        <f t="shared" si="33"/>
        <v>83333.333333333328</v>
      </c>
      <c r="F190" s="25">
        <f t="shared" si="33"/>
        <v>83333.333333333328</v>
      </c>
      <c r="G190" s="25">
        <f t="shared" si="33"/>
        <v>83333.333333333328</v>
      </c>
      <c r="H190" s="25">
        <f t="shared" si="33"/>
        <v>83333.333333333328</v>
      </c>
      <c r="I190" s="25">
        <f t="shared" si="33"/>
        <v>83333.333333333328</v>
      </c>
      <c r="J190" s="25">
        <f t="shared" si="33"/>
        <v>83333.333333333328</v>
      </c>
      <c r="K190" s="25">
        <f t="shared" si="33"/>
        <v>83333.333333333328</v>
      </c>
      <c r="L190" s="25">
        <f t="shared" si="33"/>
        <v>83333.333333333328</v>
      </c>
      <c r="M190" s="580">
        <f t="shared" si="28"/>
        <v>83333.333333333256</v>
      </c>
      <c r="N190" s="26">
        <f>'D3-Capex'!I155</f>
        <v>1000000</v>
      </c>
      <c r="O190" s="25">
        <f>'D3-Capex'!J155</f>
        <v>1048000</v>
      </c>
      <c r="P190" s="95">
        <f>'D3-Capex'!K155</f>
        <v>1098304</v>
      </c>
    </row>
    <row r="191" spans="1:17" x14ac:dyDescent="0.25">
      <c r="A191" s="285" t="s">
        <v>963</v>
      </c>
      <c r="B191" s="495">
        <v>83333.333333333328</v>
      </c>
      <c r="C191" s="495">
        <v>83333.333333333328</v>
      </c>
      <c r="D191" s="495">
        <v>83333.333333333328</v>
      </c>
      <c r="E191" s="495">
        <v>83333.333333333328</v>
      </c>
      <c r="F191" s="495">
        <v>83333.333333333328</v>
      </c>
      <c r="G191" s="495">
        <v>83333.333333333328</v>
      </c>
      <c r="H191" s="495">
        <v>83333.333333333328</v>
      </c>
      <c r="I191" s="495">
        <v>83333.333333333328</v>
      </c>
      <c r="J191" s="495">
        <v>83333.333333333328</v>
      </c>
      <c r="K191" s="495">
        <v>83333.333333333328</v>
      </c>
      <c r="L191" s="495">
        <v>83333.333333333328</v>
      </c>
      <c r="M191" s="495">
        <f t="shared" si="28"/>
        <v>83333.333333333256</v>
      </c>
      <c r="N191" s="26">
        <f>'D3-Capex'!I156</f>
        <v>1000000</v>
      </c>
      <c r="O191" s="25">
        <f>'D3-Capex'!J156</f>
        <v>1048000</v>
      </c>
      <c r="P191" s="95">
        <f>'D3-Capex'!K156</f>
        <v>1098304</v>
      </c>
    </row>
    <row r="192" spans="1:17" x14ac:dyDescent="0.25">
      <c r="A192" s="305"/>
      <c r="B192" s="25"/>
      <c r="C192" s="25"/>
      <c r="D192" s="25"/>
      <c r="E192" s="25"/>
      <c r="F192" s="25"/>
      <c r="G192" s="25"/>
      <c r="H192" s="25"/>
      <c r="I192" s="25"/>
      <c r="J192" s="25"/>
      <c r="K192" s="25"/>
      <c r="L192" s="25"/>
      <c r="M192" s="580"/>
      <c r="N192" s="26"/>
      <c r="O192" s="25"/>
      <c r="P192" s="95"/>
    </row>
    <row r="193" spans="1:17" x14ac:dyDescent="0.25">
      <c r="A193" s="301" t="s">
        <v>964</v>
      </c>
      <c r="B193" s="25">
        <f t="shared" ref="B193:L193" si="34">SUM(B194:B194)</f>
        <v>416666.66666666669</v>
      </c>
      <c r="C193" s="25">
        <f t="shared" si="34"/>
        <v>416666.66666666669</v>
      </c>
      <c r="D193" s="25">
        <f t="shared" si="34"/>
        <v>416666.66666666669</v>
      </c>
      <c r="E193" s="25">
        <f t="shared" si="34"/>
        <v>416666.66666666669</v>
      </c>
      <c r="F193" s="25">
        <f t="shared" si="34"/>
        <v>416666.66666666669</v>
      </c>
      <c r="G193" s="25">
        <f t="shared" si="34"/>
        <v>416666.66666666669</v>
      </c>
      <c r="H193" s="25">
        <f t="shared" si="34"/>
        <v>416666.66666666669</v>
      </c>
      <c r="I193" s="25">
        <f t="shared" si="34"/>
        <v>416666.66666666669</v>
      </c>
      <c r="J193" s="25">
        <f t="shared" si="34"/>
        <v>416666.66666666669</v>
      </c>
      <c r="K193" s="25">
        <f t="shared" si="34"/>
        <v>416666.66666666669</v>
      </c>
      <c r="L193" s="25">
        <f t="shared" si="34"/>
        <v>416666.66666666669</v>
      </c>
      <c r="M193" s="580">
        <f t="shared" si="28"/>
        <v>416666.66666666698</v>
      </c>
      <c r="N193" s="26">
        <f>'D3-Capex'!I158</f>
        <v>5000000</v>
      </c>
      <c r="O193" s="25">
        <f>'D3-Capex'!J158</f>
        <v>5240000</v>
      </c>
      <c r="P193" s="95">
        <f>'D3-Capex'!K158</f>
        <v>5491520</v>
      </c>
    </row>
    <row r="194" spans="1:17" x14ac:dyDescent="0.25">
      <c r="A194" s="285" t="s">
        <v>964</v>
      </c>
      <c r="B194" s="495">
        <v>416666.66666666669</v>
      </c>
      <c r="C194" s="495">
        <v>416666.66666666669</v>
      </c>
      <c r="D194" s="495">
        <v>416666.66666666669</v>
      </c>
      <c r="E194" s="495">
        <v>416666.66666666669</v>
      </c>
      <c r="F194" s="495">
        <v>416666.66666666669</v>
      </c>
      <c r="G194" s="495">
        <v>416666.66666666669</v>
      </c>
      <c r="H194" s="495">
        <v>416666.66666666669</v>
      </c>
      <c r="I194" s="495">
        <v>416666.66666666669</v>
      </c>
      <c r="J194" s="495">
        <v>416666.66666666669</v>
      </c>
      <c r="K194" s="495">
        <v>416666.66666666669</v>
      </c>
      <c r="L194" s="495">
        <v>416666.66666666669</v>
      </c>
      <c r="M194" s="495">
        <v>416666.66666666669</v>
      </c>
      <c r="N194" s="26">
        <f>'D3-Capex'!I159</f>
        <v>5000000</v>
      </c>
      <c r="O194" s="25">
        <f>'D3-Capex'!J159</f>
        <v>5240000</v>
      </c>
      <c r="P194" s="95">
        <f>'D3-Capex'!K159</f>
        <v>5491520</v>
      </c>
      <c r="Q194" s="670"/>
    </row>
    <row r="195" spans="1:17" x14ac:dyDescent="0.25">
      <c r="A195" s="305"/>
      <c r="B195" s="25"/>
      <c r="C195" s="25"/>
      <c r="D195" s="25"/>
      <c r="E195" s="25"/>
      <c r="F195" s="25"/>
      <c r="G195" s="25"/>
      <c r="H195" s="25"/>
      <c r="I195" s="25"/>
      <c r="J195" s="25"/>
      <c r="K195" s="25"/>
      <c r="L195" s="25"/>
      <c r="M195" s="580"/>
      <c r="N195" s="26"/>
      <c r="O195" s="25"/>
      <c r="P195" s="95"/>
    </row>
    <row r="196" spans="1:17" hidden="1" x14ac:dyDescent="0.25">
      <c r="A196" s="301" t="s">
        <v>979</v>
      </c>
      <c r="B196" s="25">
        <f t="shared" ref="B196:L196" si="35">SUM(B197:B197)</f>
        <v>0</v>
      </c>
      <c r="C196" s="25">
        <f t="shared" si="35"/>
        <v>0</v>
      </c>
      <c r="D196" s="25">
        <f t="shared" si="35"/>
        <v>0</v>
      </c>
      <c r="E196" s="25">
        <f t="shared" si="35"/>
        <v>0</v>
      </c>
      <c r="F196" s="25">
        <f t="shared" si="35"/>
        <v>0</v>
      </c>
      <c r="G196" s="25">
        <f t="shared" si="35"/>
        <v>0</v>
      </c>
      <c r="H196" s="25">
        <f t="shared" si="35"/>
        <v>0</v>
      </c>
      <c r="I196" s="25">
        <f t="shared" si="35"/>
        <v>0</v>
      </c>
      <c r="J196" s="25">
        <f t="shared" si="35"/>
        <v>0</v>
      </c>
      <c r="K196" s="25">
        <f t="shared" si="35"/>
        <v>0</v>
      </c>
      <c r="L196" s="25">
        <f t="shared" si="35"/>
        <v>0</v>
      </c>
      <c r="M196" s="580">
        <f t="shared" si="28"/>
        <v>0</v>
      </c>
      <c r="N196" s="26">
        <f>'D3-Capex'!I161</f>
        <v>0</v>
      </c>
      <c r="O196" s="25">
        <f>'D3-Capex'!J161</f>
        <v>0</v>
      </c>
      <c r="P196" s="95">
        <f>'D3-Capex'!K161</f>
        <v>0</v>
      </c>
    </row>
    <row r="197" spans="1:17" hidden="1" x14ac:dyDescent="0.25">
      <c r="A197" s="285" t="s">
        <v>979</v>
      </c>
      <c r="B197" s="495"/>
      <c r="C197" s="495"/>
      <c r="D197" s="495"/>
      <c r="E197" s="495"/>
      <c r="F197" s="495"/>
      <c r="G197" s="495"/>
      <c r="H197" s="495"/>
      <c r="I197" s="495"/>
      <c r="J197" s="495"/>
      <c r="K197" s="495"/>
      <c r="L197" s="495"/>
      <c r="M197" s="495"/>
      <c r="N197" s="26"/>
      <c r="O197" s="25"/>
      <c r="P197" s="95"/>
    </row>
    <row r="198" spans="1:17" hidden="1" x14ac:dyDescent="0.25">
      <c r="A198" s="305"/>
      <c r="B198" s="25"/>
      <c r="C198" s="25"/>
      <c r="D198" s="25"/>
      <c r="E198" s="25"/>
      <c r="F198" s="25"/>
      <c r="G198" s="25"/>
      <c r="H198" s="25"/>
      <c r="I198" s="25"/>
      <c r="J198" s="25"/>
      <c r="K198" s="25"/>
      <c r="L198" s="25"/>
      <c r="M198" s="580"/>
      <c r="N198" s="26"/>
      <c r="O198" s="25"/>
      <c r="P198" s="95"/>
    </row>
    <row r="199" spans="1:17" hidden="1" x14ac:dyDescent="0.25">
      <c r="A199" s="301" t="s">
        <v>965</v>
      </c>
      <c r="B199" s="25">
        <f t="shared" ref="B199:L199" si="36">SUM(B200:B200)</f>
        <v>0</v>
      </c>
      <c r="C199" s="25">
        <f t="shared" si="36"/>
        <v>0</v>
      </c>
      <c r="D199" s="25">
        <f t="shared" si="36"/>
        <v>0</v>
      </c>
      <c r="E199" s="25">
        <f t="shared" si="36"/>
        <v>0</v>
      </c>
      <c r="F199" s="25">
        <f t="shared" si="36"/>
        <v>0</v>
      </c>
      <c r="G199" s="25">
        <f t="shared" si="36"/>
        <v>0</v>
      </c>
      <c r="H199" s="25">
        <f t="shared" si="36"/>
        <v>0</v>
      </c>
      <c r="I199" s="25">
        <f t="shared" si="36"/>
        <v>0</v>
      </c>
      <c r="J199" s="25">
        <f t="shared" si="36"/>
        <v>0</v>
      </c>
      <c r="K199" s="25">
        <f t="shared" si="36"/>
        <v>0</v>
      </c>
      <c r="L199" s="25">
        <f t="shared" si="36"/>
        <v>0</v>
      </c>
      <c r="M199" s="580">
        <f t="shared" si="28"/>
        <v>0</v>
      </c>
      <c r="N199" s="26">
        <f>'D3-Capex'!I164</f>
        <v>0</v>
      </c>
      <c r="O199" s="25">
        <f>'D3-Capex'!J164</f>
        <v>0</v>
      </c>
      <c r="P199" s="95">
        <f>'D3-Capex'!K164</f>
        <v>0</v>
      </c>
    </row>
    <row r="200" spans="1:17" hidden="1" x14ac:dyDescent="0.25">
      <c r="A200" s="285" t="s">
        <v>965</v>
      </c>
      <c r="B200" s="495"/>
      <c r="C200" s="495"/>
      <c r="D200" s="495"/>
      <c r="E200" s="495"/>
      <c r="F200" s="495"/>
      <c r="G200" s="495"/>
      <c r="H200" s="495"/>
      <c r="I200" s="495"/>
      <c r="J200" s="495"/>
      <c r="K200" s="495"/>
      <c r="L200" s="495"/>
      <c r="M200" s="495"/>
      <c r="N200" s="26"/>
      <c r="O200" s="25"/>
      <c r="P200" s="95"/>
    </row>
    <row r="201" spans="1:17" hidden="1" x14ac:dyDescent="0.25">
      <c r="A201" s="305"/>
      <c r="B201" s="25"/>
      <c r="C201" s="25"/>
      <c r="D201" s="25"/>
      <c r="E201" s="25"/>
      <c r="F201" s="25"/>
      <c r="G201" s="25"/>
      <c r="H201" s="25"/>
      <c r="I201" s="25"/>
      <c r="J201" s="25"/>
      <c r="K201" s="25"/>
      <c r="L201" s="25"/>
      <c r="M201" s="580"/>
      <c r="N201" s="26"/>
      <c r="O201" s="25"/>
      <c r="P201" s="95"/>
    </row>
    <row r="202" spans="1:17" x14ac:dyDescent="0.25">
      <c r="A202" s="30" t="s">
        <v>1022</v>
      </c>
      <c r="B202" s="31">
        <v>14143750.038166666</v>
      </c>
      <c r="C202" s="31">
        <v>14143750.038166666</v>
      </c>
      <c r="D202" s="31">
        <v>14143750.038166666</v>
      </c>
      <c r="E202" s="31">
        <v>14143750.038166666</v>
      </c>
      <c r="F202" s="31">
        <v>14143750.038166666</v>
      </c>
      <c r="G202" s="31">
        <v>14143750.038166666</v>
      </c>
      <c r="H202" s="31">
        <v>14143750.038166666</v>
      </c>
      <c r="I202" s="31">
        <v>14143750.038166666</v>
      </c>
      <c r="J202" s="31">
        <v>14143750.038166666</v>
      </c>
      <c r="K202" s="31">
        <v>14143750.038166666</v>
      </c>
      <c r="L202" s="31">
        <v>14143750.038166666</v>
      </c>
      <c r="M202" s="31">
        <v>14143750.038166666</v>
      </c>
      <c r="N202" s="129">
        <f>'D3-Capex'!I167</f>
        <v>169725000.458</v>
      </c>
      <c r="O202" s="130">
        <f>'D3-Capex'!J167</f>
        <v>124041374.831984</v>
      </c>
      <c r="P202" s="131">
        <f>'D3-Capex'!K167</f>
        <v>129048133.50332275</v>
      </c>
      <c r="Q202" s="670"/>
    </row>
    <row r="204" spans="1:17" ht="25.5" x14ac:dyDescent="0.25">
      <c r="A204" s="768"/>
      <c r="B204" s="118" t="str">
        <f>Head9</f>
        <v>Budget Year 2020/21</v>
      </c>
      <c r="C204" s="116"/>
      <c r="D204" s="116"/>
      <c r="E204" s="116"/>
      <c r="F204" s="116"/>
      <c r="G204" s="116"/>
      <c r="H204" s="116"/>
      <c r="I204" s="116"/>
      <c r="J204" s="116"/>
      <c r="K204" s="116"/>
      <c r="L204" s="745"/>
      <c r="M204" s="117"/>
      <c r="N204" s="118" t="str">
        <f>Head3a</f>
        <v>Medium Term Revenue and Expenditure Framework</v>
      </c>
      <c r="O204" s="116"/>
      <c r="P204" s="117"/>
    </row>
    <row r="205" spans="1:17" ht="25.5" x14ac:dyDescent="0.25">
      <c r="A205" s="23"/>
      <c r="B205" s="681" t="s">
        <v>271</v>
      </c>
      <c r="C205" s="682" t="s">
        <v>344</v>
      </c>
      <c r="D205" s="682" t="s">
        <v>345</v>
      </c>
      <c r="E205" s="682" t="s">
        <v>346</v>
      </c>
      <c r="F205" s="682" t="s">
        <v>347</v>
      </c>
      <c r="G205" s="101" t="s">
        <v>348</v>
      </c>
      <c r="H205" s="680" t="s">
        <v>349</v>
      </c>
      <c r="I205" s="135" t="s">
        <v>350</v>
      </c>
      <c r="J205" s="682" t="s">
        <v>351</v>
      </c>
      <c r="K205" s="682" t="s">
        <v>352</v>
      </c>
      <c r="L205" s="135" t="s">
        <v>353</v>
      </c>
      <c r="M205" s="783" t="s">
        <v>354</v>
      </c>
      <c r="N205" s="710" t="str">
        <f>Head9</f>
        <v>Budget Year 2020/21</v>
      </c>
      <c r="O205" s="708" t="str">
        <f>Head10</f>
        <v>Budget Year +1 2021/22</v>
      </c>
      <c r="P205" s="706" t="str">
        <f>Head11</f>
        <v>Budget Year +2 2022/23</v>
      </c>
    </row>
    <row r="206" spans="1:17" x14ac:dyDescent="0.25">
      <c r="A206" s="784" t="s">
        <v>310</v>
      </c>
      <c r="B206" s="785"/>
      <c r="C206" s="586"/>
      <c r="D206" s="586"/>
      <c r="E206" s="586"/>
      <c r="F206" s="586"/>
      <c r="G206" s="786"/>
      <c r="H206" s="586"/>
      <c r="I206" s="786"/>
      <c r="J206" s="586"/>
      <c r="K206" s="586"/>
      <c r="L206" s="786"/>
      <c r="M206" s="787"/>
      <c r="N206" s="711"/>
      <c r="O206" s="709"/>
      <c r="P206" s="707"/>
    </row>
    <row r="207" spans="1:17" x14ac:dyDescent="0.25">
      <c r="A207" s="770" t="s">
        <v>337</v>
      </c>
      <c r="B207" s="771"/>
      <c r="C207" s="772"/>
      <c r="D207" s="772"/>
      <c r="E207" s="772"/>
      <c r="F207" s="772"/>
      <c r="G207" s="772"/>
      <c r="H207" s="772"/>
      <c r="I207" s="772"/>
      <c r="J207" s="772"/>
      <c r="K207" s="772"/>
      <c r="L207" s="772"/>
      <c r="M207" s="773"/>
      <c r="N207" s="774"/>
      <c r="O207" s="772"/>
      <c r="P207" s="773"/>
    </row>
    <row r="208" spans="1:17" hidden="1" x14ac:dyDescent="0.25">
      <c r="A208" s="284" t="s">
        <v>360</v>
      </c>
      <c r="B208" s="229"/>
      <c r="C208" s="227"/>
      <c r="D208" s="227"/>
      <c r="E208" s="227"/>
      <c r="F208" s="227"/>
      <c r="G208" s="227"/>
      <c r="H208" s="227"/>
      <c r="I208" s="227"/>
      <c r="J208" s="227"/>
      <c r="K208" s="227"/>
      <c r="L208" s="227"/>
      <c r="M208" s="227"/>
      <c r="N208" s="26"/>
      <c r="O208" s="25"/>
      <c r="P208" s="95"/>
    </row>
    <row r="209" spans="1:19" x14ac:dyDescent="0.25">
      <c r="A209" s="284" t="s">
        <v>404</v>
      </c>
      <c r="B209" s="229">
        <v>255174345.15746096</v>
      </c>
      <c r="C209" s="227">
        <v>288070213.38081658</v>
      </c>
      <c r="D209" s="227">
        <v>241383026.23527238</v>
      </c>
      <c r="E209" s="227">
        <v>225290824.48625425</v>
      </c>
      <c r="F209" s="227">
        <v>211880656.36207244</v>
      </c>
      <c r="G209" s="227">
        <v>201152521.86272699</v>
      </c>
      <c r="H209" s="227">
        <v>187742353.73854521</v>
      </c>
      <c r="I209" s="227">
        <v>174332185.6143634</v>
      </c>
      <c r="J209" s="227">
        <v>158239983.86534524</v>
      </c>
      <c r="K209" s="227">
        <v>241383026.23527238</v>
      </c>
      <c r="L209" s="227">
        <v>238900345.32043448</v>
      </c>
      <c r="M209" s="227">
        <f t="shared" ref="M208:M243" si="37">N209-SUM(B209:L209)</f>
        <v>244502537.94561577</v>
      </c>
      <c r="N209" s="26">
        <v>2668052020.2041798</v>
      </c>
      <c r="O209" s="25">
        <v>2735978517.6395807</v>
      </c>
      <c r="P209" s="95">
        <v>2867088206.5139647</v>
      </c>
    </row>
    <row r="210" spans="1:19" x14ac:dyDescent="0.25">
      <c r="A210" s="284" t="s">
        <v>20</v>
      </c>
      <c r="B210" s="229">
        <v>1165133.7193483333</v>
      </c>
      <c r="C210" s="227">
        <v>1165133.7193483333</v>
      </c>
      <c r="D210" s="227">
        <v>1165133.7193483333</v>
      </c>
      <c r="E210" s="227">
        <v>1165133.7193483333</v>
      </c>
      <c r="F210" s="227">
        <v>1165133.7193483333</v>
      </c>
      <c r="G210" s="227">
        <v>1165133.7193483333</v>
      </c>
      <c r="H210" s="227">
        <v>1165133.7193483333</v>
      </c>
      <c r="I210" s="227">
        <v>1165133.7193483333</v>
      </c>
      <c r="J210" s="227">
        <v>1165133.7193483333</v>
      </c>
      <c r="K210" s="227">
        <v>1165133.7193483333</v>
      </c>
      <c r="L210" s="227">
        <v>1165133.7193483333</v>
      </c>
      <c r="M210" s="227">
        <f t="shared" si="37"/>
        <v>1165133.7193483301</v>
      </c>
      <c r="N210" s="26">
        <v>13981604.63218</v>
      </c>
      <c r="O210" s="25">
        <v>14652721.654524639</v>
      </c>
      <c r="P210" s="95">
        <v>15356052.293941846</v>
      </c>
    </row>
    <row r="211" spans="1:19" x14ac:dyDescent="0.25">
      <c r="A211" s="22" t="s">
        <v>203</v>
      </c>
      <c r="B211" s="229"/>
      <c r="C211" s="227"/>
      <c r="D211" s="227"/>
      <c r="E211" s="227"/>
      <c r="F211" s="227"/>
      <c r="G211" s="227"/>
      <c r="H211" s="227"/>
      <c r="I211" s="227"/>
      <c r="J211" s="227"/>
      <c r="K211" s="227"/>
      <c r="L211" s="227"/>
      <c r="M211" s="227"/>
      <c r="N211" s="26"/>
      <c r="O211" s="25"/>
      <c r="P211" s="95"/>
    </row>
    <row r="212" spans="1:19" x14ac:dyDescent="0.25">
      <c r="A212" s="22" t="s">
        <v>204</v>
      </c>
      <c r="B212" s="229"/>
      <c r="C212" s="227"/>
      <c r="D212" s="227">
        <v>17358206.658500001</v>
      </c>
      <c r="E212" s="227"/>
      <c r="F212" s="227"/>
      <c r="G212" s="227">
        <v>17358206.658500001</v>
      </c>
      <c r="H212" s="227"/>
      <c r="I212" s="227"/>
      <c r="J212" s="227">
        <v>17358206.658500001</v>
      </c>
      <c r="K212" s="227"/>
      <c r="L212" s="227"/>
      <c r="M212" s="227">
        <v>17358206.658500001</v>
      </c>
      <c r="N212" s="26">
        <v>69432826.634000003</v>
      </c>
      <c r="O212" s="25">
        <v>37374178.464432001</v>
      </c>
      <c r="P212" s="95">
        <v>40320048.582724735</v>
      </c>
      <c r="Q212" s="686"/>
      <c r="R212" s="24"/>
      <c r="S212" s="687"/>
    </row>
    <row r="213" spans="1:19" x14ac:dyDescent="0.25">
      <c r="A213" s="22" t="s">
        <v>326</v>
      </c>
      <c r="B213" s="229">
        <v>1423820.7506799998</v>
      </c>
      <c r="C213" s="227">
        <v>1423820.7506799998</v>
      </c>
      <c r="D213" s="227">
        <v>1423820.7506799998</v>
      </c>
      <c r="E213" s="227">
        <v>1423820.7506799998</v>
      </c>
      <c r="F213" s="227">
        <v>1423820.7506799998</v>
      </c>
      <c r="G213" s="227">
        <v>1423820.7506799998</v>
      </c>
      <c r="H213" s="227">
        <v>1423820.7506799998</v>
      </c>
      <c r="I213" s="227">
        <v>1423820.7506799998</v>
      </c>
      <c r="J213" s="227">
        <v>1423820.7506799998</v>
      </c>
      <c r="K213" s="227">
        <v>1423820.7506799998</v>
      </c>
      <c r="L213" s="227">
        <v>1423820.7506799998</v>
      </c>
      <c r="M213" s="227">
        <v>1423820.7506799998</v>
      </c>
      <c r="N213" s="26">
        <v>17085849.008159999</v>
      </c>
      <c r="O213" s="25">
        <v>17905969.76055168</v>
      </c>
      <c r="P213" s="95">
        <v>18765456.30905813</v>
      </c>
      <c r="Q213" s="686"/>
      <c r="R213" s="686"/>
      <c r="S213" s="686"/>
    </row>
    <row r="214" spans="1:19" x14ac:dyDescent="0.25">
      <c r="A214" s="22" t="s">
        <v>183</v>
      </c>
      <c r="B214" s="229"/>
      <c r="C214" s="227"/>
      <c r="D214" s="227"/>
      <c r="E214" s="227"/>
      <c r="F214" s="227"/>
      <c r="G214" s="227"/>
      <c r="H214" s="227"/>
      <c r="I214" s="227"/>
      <c r="J214" s="227"/>
      <c r="K214" s="227"/>
      <c r="L214" s="227"/>
      <c r="M214" s="227"/>
      <c r="N214" s="26"/>
      <c r="O214" s="25"/>
      <c r="P214" s="95"/>
    </row>
    <row r="215" spans="1:19" x14ac:dyDescent="0.25">
      <c r="A215" s="51" t="s">
        <v>338</v>
      </c>
      <c r="B215" s="235"/>
      <c r="C215" s="233"/>
      <c r="D215" s="233"/>
      <c r="E215" s="233"/>
      <c r="F215" s="233"/>
      <c r="G215" s="233"/>
      <c r="H215" s="233"/>
      <c r="I215" s="233"/>
      <c r="J215" s="233"/>
      <c r="K215" s="233"/>
      <c r="L215" s="233"/>
      <c r="M215" s="24"/>
      <c r="N215" s="26"/>
      <c r="O215" s="25"/>
      <c r="P215" s="95"/>
    </row>
    <row r="216" spans="1:19" x14ac:dyDescent="0.25">
      <c r="A216" s="22" t="s">
        <v>205</v>
      </c>
      <c r="B216" s="229">
        <v>-231430443.66583937</v>
      </c>
      <c r="C216" s="227">
        <v>-261265360.54592913</v>
      </c>
      <c r="D216" s="227">
        <v>-218922403.11446789</v>
      </c>
      <c r="E216" s="227">
        <v>-204327576.24017006</v>
      </c>
      <c r="F216" s="227">
        <v>-192165220.51158848</v>
      </c>
      <c r="G216" s="227">
        <v>-182435335.92872325</v>
      </c>
      <c r="H216" s="227">
        <v>-170272980.20014173</v>
      </c>
      <c r="I216" s="227">
        <v>-158110624.47156015</v>
      </c>
      <c r="J216" s="227">
        <v>-143515797.59726229</v>
      </c>
      <c r="K216" s="227">
        <v>-218922403.11446789</v>
      </c>
      <c r="L216" s="227">
        <v>-216670734.96480694</v>
      </c>
      <c r="M216" s="227">
        <v>-234432265.36135277</v>
      </c>
      <c r="N216" s="26">
        <v>-2432471145.71631</v>
      </c>
      <c r="O216" s="25">
        <v>-2555411212.5617099</v>
      </c>
      <c r="P216" s="95">
        <v>-2685705484.3512301</v>
      </c>
    </row>
    <row r="217" spans="1:19" x14ac:dyDescent="0.25">
      <c r="A217" s="22" t="s">
        <v>19</v>
      </c>
      <c r="B217" s="229">
        <v>-4721.2081666666663</v>
      </c>
      <c r="C217" s="227">
        <v>-4721.2081666666663</v>
      </c>
      <c r="D217" s="227">
        <v>-4721.2081666666663</v>
      </c>
      <c r="E217" s="227">
        <v>-4721.2081666666663</v>
      </c>
      <c r="F217" s="227">
        <v>-4721.2081666666663</v>
      </c>
      <c r="G217" s="227">
        <v>-4721.2081666666663</v>
      </c>
      <c r="H217" s="227">
        <v>-4721.2081666666663</v>
      </c>
      <c r="I217" s="227">
        <v>-4721.2081666666663</v>
      </c>
      <c r="J217" s="227">
        <v>-4721.2081666666663</v>
      </c>
      <c r="K217" s="227">
        <v>-4721.2081666666663</v>
      </c>
      <c r="L217" s="227">
        <v>-4721.2081666666663</v>
      </c>
      <c r="M217" s="227">
        <f t="shared" si="37"/>
        <v>-4721.2081666666782</v>
      </c>
      <c r="N217" s="26">
        <v>-56654.498</v>
      </c>
      <c r="O217" s="25">
        <v>-59373.913904000001</v>
      </c>
      <c r="P217" s="95">
        <v>-62223.861771392003</v>
      </c>
      <c r="Q217" s="679"/>
    </row>
    <row r="218" spans="1:19" x14ac:dyDescent="0.25">
      <c r="A218" s="50" t="s">
        <v>328</v>
      </c>
      <c r="B218" s="229">
        <v>-10000000</v>
      </c>
      <c r="C218" s="227">
        <v>-10000000</v>
      </c>
      <c r="D218" s="227">
        <v>-10000000</v>
      </c>
      <c r="E218" s="227">
        <v>-10000000</v>
      </c>
      <c r="F218" s="227">
        <v>-10000000</v>
      </c>
      <c r="G218" s="227">
        <v>-10000000</v>
      </c>
      <c r="H218" s="227">
        <v>-10000000</v>
      </c>
      <c r="I218" s="227">
        <v>-10000000</v>
      </c>
      <c r="J218" s="227">
        <v>-10000000</v>
      </c>
      <c r="K218" s="227">
        <v>-10000000</v>
      </c>
      <c r="L218" s="227">
        <v>-10000000</v>
      </c>
      <c r="M218" s="227">
        <f t="shared" si="37"/>
        <v>-10000000</v>
      </c>
      <c r="N218" s="26">
        <v>-120000000</v>
      </c>
      <c r="O218" s="25">
        <v>-120000000</v>
      </c>
      <c r="P218" s="95">
        <v>-120000000</v>
      </c>
      <c r="Q218" s="679"/>
    </row>
    <row r="219" spans="1:19" x14ac:dyDescent="0.25">
      <c r="A219" s="50" t="s">
        <v>767</v>
      </c>
      <c r="B219" s="229"/>
      <c r="C219" s="227"/>
      <c r="D219" s="227"/>
      <c r="E219" s="227"/>
      <c r="F219" s="227"/>
      <c r="G219" s="227"/>
      <c r="H219" s="227"/>
      <c r="I219" s="227"/>
      <c r="J219" s="227"/>
      <c r="K219" s="227"/>
      <c r="L219" s="227"/>
      <c r="M219" s="227"/>
      <c r="N219" s="26"/>
      <c r="O219" s="25"/>
      <c r="P219" s="95"/>
    </row>
    <row r="220" spans="1:19" x14ac:dyDescent="0.25">
      <c r="A220" s="55" t="s">
        <v>331</v>
      </c>
      <c r="B220" s="43">
        <f t="shared" ref="B220:L220" si="38">SUM(B208:B214)+SUM(B216:B219)</f>
        <v>16328134.753483266</v>
      </c>
      <c r="C220" s="42">
        <f t="shared" si="38"/>
        <v>19389086.096749127</v>
      </c>
      <c r="D220" s="42">
        <f t="shared" si="38"/>
        <v>32403063.041166186</v>
      </c>
      <c r="E220" s="42">
        <f t="shared" si="38"/>
        <v>13547481.507945865</v>
      </c>
      <c r="F220" s="42">
        <f t="shared" si="38"/>
        <v>12299669.112345636</v>
      </c>
      <c r="G220" s="42">
        <f t="shared" si="38"/>
        <v>28659625.854365408</v>
      </c>
      <c r="H220" s="42">
        <f t="shared" si="38"/>
        <v>10053606.800265163</v>
      </c>
      <c r="I220" s="42">
        <f t="shared" si="38"/>
        <v>8805794.4046649337</v>
      </c>
      <c r="J220" s="42">
        <f t="shared" si="38"/>
        <v>24666626.188444614</v>
      </c>
      <c r="K220" s="42">
        <f t="shared" si="38"/>
        <v>15044856.382666171</v>
      </c>
      <c r="L220" s="42">
        <f t="shared" si="38"/>
        <v>14813843.617489219</v>
      </c>
      <c r="M220" s="175">
        <f t="shared" si="37"/>
        <v>20012766.667624265</v>
      </c>
      <c r="N220" s="134">
        <f>'D5-CFlow'!I18</f>
        <v>216024554.42720985</v>
      </c>
      <c r="O220" s="99">
        <f>'D5-CFlow'!J18</f>
        <v>130440971.00696898</v>
      </c>
      <c r="P220" s="126">
        <f>'D5-CFlow'!K18</f>
        <v>135762352.01633024</v>
      </c>
    </row>
    <row r="221" spans="1:19" ht="10.5" customHeight="1" x14ac:dyDescent="0.25">
      <c r="A221" s="23"/>
      <c r="B221" s="26"/>
      <c r="C221" s="25"/>
      <c r="D221" s="25"/>
      <c r="E221" s="25"/>
      <c r="F221" s="25"/>
      <c r="G221" s="25"/>
      <c r="H221" s="25"/>
      <c r="I221" s="25"/>
      <c r="J221" s="25"/>
      <c r="K221" s="25"/>
      <c r="L221" s="25"/>
      <c r="M221" s="24"/>
      <c r="N221" s="26"/>
      <c r="O221" s="25"/>
      <c r="P221" s="95"/>
    </row>
    <row r="222" spans="1:19" ht="13.5" customHeight="1" x14ac:dyDescent="0.25">
      <c r="A222" s="51" t="s">
        <v>231</v>
      </c>
      <c r="B222" s="26"/>
      <c r="C222" s="25"/>
      <c r="D222" s="25"/>
      <c r="E222" s="25"/>
      <c r="F222" s="25"/>
      <c r="G222" s="25"/>
      <c r="H222" s="25"/>
      <c r="I222" s="25"/>
      <c r="J222" s="25"/>
      <c r="K222" s="25"/>
      <c r="L222" s="25"/>
      <c r="M222" s="24"/>
      <c r="N222" s="26"/>
      <c r="O222" s="25"/>
      <c r="P222" s="95"/>
    </row>
    <row r="223" spans="1:19" x14ac:dyDescent="0.25">
      <c r="A223" s="51" t="s">
        <v>337</v>
      </c>
      <c r="B223" s="26"/>
      <c r="C223" s="25"/>
      <c r="D223" s="25"/>
      <c r="E223" s="25"/>
      <c r="F223" s="25"/>
      <c r="G223" s="25"/>
      <c r="H223" s="25"/>
      <c r="I223" s="25"/>
      <c r="J223" s="25"/>
      <c r="K223" s="25"/>
      <c r="L223" s="25"/>
      <c r="M223" s="24"/>
      <c r="N223" s="26"/>
      <c r="O223" s="25"/>
      <c r="P223" s="95"/>
    </row>
    <row r="224" spans="1:19" x14ac:dyDescent="0.25">
      <c r="A224" s="22" t="s">
        <v>357</v>
      </c>
      <c r="B224" s="229">
        <v>29116.211933333336</v>
      </c>
      <c r="C224" s="227">
        <v>29116.211933333336</v>
      </c>
      <c r="D224" s="227">
        <v>29116.211933333336</v>
      </c>
      <c r="E224" s="227">
        <v>29116.211933333336</v>
      </c>
      <c r="F224" s="227">
        <v>29116.211933333336</v>
      </c>
      <c r="G224" s="227">
        <v>29116.211933333336</v>
      </c>
      <c r="H224" s="227">
        <v>29116.211933333336</v>
      </c>
      <c r="I224" s="227">
        <v>29116.211933333336</v>
      </c>
      <c r="J224" s="227">
        <v>29116.211933333336</v>
      </c>
      <c r="K224" s="227">
        <v>29116.211933333336</v>
      </c>
      <c r="L224" s="227">
        <v>29116.211933333336</v>
      </c>
      <c r="M224" s="227">
        <f t="shared" si="37"/>
        <v>29116.211933333369</v>
      </c>
      <c r="N224" s="26">
        <f>'D5-CFlow'!I22</f>
        <v>349394.54320000001</v>
      </c>
      <c r="O224" s="25">
        <f>'D5-CFlow'!J22</f>
        <v>366165.48127359996</v>
      </c>
      <c r="P224" s="95">
        <f>'D5-CFlow'!K22</f>
        <v>383741.42437473283</v>
      </c>
    </row>
    <row r="225" spans="1:16" hidden="1" x14ac:dyDescent="0.25">
      <c r="A225" s="22" t="s">
        <v>9</v>
      </c>
      <c r="B225" s="229"/>
      <c r="C225" s="227"/>
      <c r="D225" s="227"/>
      <c r="E225" s="227"/>
      <c r="F225" s="227"/>
      <c r="G225" s="227"/>
      <c r="H225" s="227"/>
      <c r="I225" s="227"/>
      <c r="J225" s="227"/>
      <c r="K225" s="227"/>
      <c r="L225" s="227"/>
      <c r="M225" s="227"/>
      <c r="N225" s="26"/>
      <c r="O225" s="25"/>
      <c r="P225" s="95"/>
    </row>
    <row r="226" spans="1:16" hidden="1" x14ac:dyDescent="0.25">
      <c r="A226" s="22" t="s">
        <v>329</v>
      </c>
      <c r="B226" s="229"/>
      <c r="C226" s="227"/>
      <c r="D226" s="227"/>
      <c r="E226" s="227"/>
      <c r="F226" s="227"/>
      <c r="G226" s="227"/>
      <c r="H226" s="227"/>
      <c r="I226" s="227"/>
      <c r="J226" s="227"/>
      <c r="K226" s="227"/>
      <c r="L226" s="227"/>
      <c r="M226" s="227"/>
      <c r="N226" s="26"/>
      <c r="O226" s="25"/>
      <c r="P226" s="95"/>
    </row>
    <row r="227" spans="1:16" hidden="1" x14ac:dyDescent="0.25">
      <c r="A227" s="22" t="s">
        <v>330</v>
      </c>
      <c r="B227" s="229"/>
      <c r="C227" s="227"/>
      <c r="D227" s="227"/>
      <c r="E227" s="227"/>
      <c r="F227" s="227"/>
      <c r="G227" s="227"/>
      <c r="H227" s="227"/>
      <c r="I227" s="227"/>
      <c r="J227" s="227"/>
      <c r="K227" s="227"/>
      <c r="L227" s="227"/>
      <c r="M227" s="227"/>
      <c r="N227" s="26"/>
      <c r="O227" s="25"/>
      <c r="P227" s="95"/>
    </row>
    <row r="228" spans="1:16" x14ac:dyDescent="0.25">
      <c r="A228" s="51" t="s">
        <v>338</v>
      </c>
      <c r="B228" s="26"/>
      <c r="C228" s="25"/>
      <c r="D228" s="25"/>
      <c r="E228" s="25"/>
      <c r="F228" s="25"/>
      <c r="G228" s="25"/>
      <c r="H228" s="25"/>
      <c r="I228" s="25"/>
      <c r="J228" s="25"/>
      <c r="K228" s="25"/>
      <c r="L228" s="25"/>
      <c r="M228" s="24"/>
      <c r="N228" s="26"/>
      <c r="O228" s="25"/>
      <c r="P228" s="95"/>
    </row>
    <row r="229" spans="1:16" x14ac:dyDescent="0.25">
      <c r="A229" s="22" t="s">
        <v>206</v>
      </c>
      <c r="B229" s="229">
        <v>-16941289.421866667</v>
      </c>
      <c r="C229" s="227">
        <v>-16941289.421866667</v>
      </c>
      <c r="D229" s="227">
        <v>-16941289.421866667</v>
      </c>
      <c r="E229" s="227">
        <v>-16941289.421866667</v>
      </c>
      <c r="F229" s="227">
        <v>-16941289.421866667</v>
      </c>
      <c r="G229" s="227">
        <v>-16941289.421866667</v>
      </c>
      <c r="H229" s="227">
        <v>-16941289.421866667</v>
      </c>
      <c r="I229" s="227">
        <v>-16941289.421866667</v>
      </c>
      <c r="J229" s="227">
        <v>-16941289.421866667</v>
      </c>
      <c r="K229" s="227">
        <v>-16941289.421866667</v>
      </c>
      <c r="L229" s="227">
        <v>-16941289.421866667</v>
      </c>
      <c r="M229" s="227">
        <f t="shared" si="37"/>
        <v>21720934.195373297</v>
      </c>
      <c r="N229" s="26">
        <f>'D5-CFlow'!I27</f>
        <v>-164633249.44516</v>
      </c>
      <c r="O229" s="25">
        <f>'D5-CFlow'!J27</f>
        <v>-120320134.28596768</v>
      </c>
      <c r="P229" s="95">
        <f>'D5-CFlow'!K27</f>
        <v>-125176689.13713402</v>
      </c>
    </row>
    <row r="230" spans="1:16" x14ac:dyDescent="0.25">
      <c r="A230" s="55" t="s">
        <v>332</v>
      </c>
      <c r="B230" s="43">
        <f t="shared" ref="B230:L230" si="39">SUM(B224:B227)+B229</f>
        <v>-16912173.209933333</v>
      </c>
      <c r="C230" s="42">
        <f t="shared" si="39"/>
        <v>-16912173.209933333</v>
      </c>
      <c r="D230" s="42">
        <f t="shared" si="39"/>
        <v>-16912173.209933333</v>
      </c>
      <c r="E230" s="42">
        <f t="shared" si="39"/>
        <v>-16912173.209933333</v>
      </c>
      <c r="F230" s="42">
        <f t="shared" si="39"/>
        <v>-16912173.209933333</v>
      </c>
      <c r="G230" s="42">
        <f t="shared" si="39"/>
        <v>-16912173.209933333</v>
      </c>
      <c r="H230" s="42">
        <f t="shared" si="39"/>
        <v>-16912173.209933333</v>
      </c>
      <c r="I230" s="42">
        <f t="shared" si="39"/>
        <v>-16912173.209933333</v>
      </c>
      <c r="J230" s="42">
        <f t="shared" si="39"/>
        <v>-16912173.209933333</v>
      </c>
      <c r="K230" s="42">
        <f t="shared" si="39"/>
        <v>-16912173.209933333</v>
      </c>
      <c r="L230" s="42">
        <f t="shared" si="39"/>
        <v>-16912173.209933333</v>
      </c>
      <c r="M230" s="175">
        <f t="shared" si="37"/>
        <v>21750050.407306701</v>
      </c>
      <c r="N230" s="134">
        <f>'D5-CFlow'!I28</f>
        <v>-164283854.90196002</v>
      </c>
      <c r="O230" s="99">
        <f>'D5-CFlow'!J28</f>
        <v>-119953968.80469407</v>
      </c>
      <c r="P230" s="126">
        <f>'D5-CFlow'!K28</f>
        <v>-124792947.71275929</v>
      </c>
    </row>
    <row r="231" spans="1:16" ht="7.5" customHeight="1" x14ac:dyDescent="0.25">
      <c r="A231" s="23"/>
      <c r="B231" s="26"/>
      <c r="C231" s="25"/>
      <c r="D231" s="25"/>
      <c r="E231" s="25"/>
      <c r="F231" s="25"/>
      <c r="G231" s="25"/>
      <c r="H231" s="25"/>
      <c r="I231" s="25"/>
      <c r="J231" s="25"/>
      <c r="K231" s="25"/>
      <c r="L231" s="25"/>
      <c r="M231" s="24"/>
      <c r="N231" s="26"/>
      <c r="O231" s="25"/>
      <c r="P231" s="95"/>
    </row>
    <row r="232" spans="1:16" ht="12" customHeight="1" x14ac:dyDescent="0.25">
      <c r="A232" s="51" t="s">
        <v>240</v>
      </c>
      <c r="B232" s="26"/>
      <c r="C232" s="25"/>
      <c r="D232" s="25"/>
      <c r="E232" s="25"/>
      <c r="F232" s="25"/>
      <c r="G232" s="25"/>
      <c r="H232" s="25"/>
      <c r="I232" s="25"/>
      <c r="J232" s="25"/>
      <c r="K232" s="25"/>
      <c r="L232" s="25"/>
      <c r="M232" s="24"/>
      <c r="N232" s="26"/>
      <c r="O232" s="25"/>
      <c r="P232" s="95"/>
    </row>
    <row r="233" spans="1:16" x14ac:dyDescent="0.25">
      <c r="A233" s="51" t="s">
        <v>337</v>
      </c>
      <c r="B233" s="26"/>
      <c r="C233" s="25"/>
      <c r="D233" s="25"/>
      <c r="E233" s="25"/>
      <c r="F233" s="25"/>
      <c r="G233" s="25"/>
      <c r="H233" s="25"/>
      <c r="I233" s="25"/>
      <c r="J233" s="25"/>
      <c r="K233" s="25"/>
      <c r="L233" s="25"/>
      <c r="M233" s="24"/>
      <c r="N233" s="26"/>
      <c r="O233" s="25"/>
      <c r="P233" s="95"/>
    </row>
    <row r="234" spans="1:16" hidden="1" x14ac:dyDescent="0.25">
      <c r="A234" s="22" t="s">
        <v>340</v>
      </c>
      <c r="B234" s="229"/>
      <c r="C234" s="227"/>
      <c r="D234" s="227"/>
      <c r="E234" s="227"/>
      <c r="F234" s="227"/>
      <c r="G234" s="227"/>
      <c r="H234" s="227"/>
      <c r="I234" s="227"/>
      <c r="J234" s="227"/>
      <c r="K234" s="227"/>
      <c r="L234" s="227"/>
      <c r="M234" s="227"/>
      <c r="N234" s="26"/>
      <c r="O234" s="25"/>
      <c r="P234" s="95"/>
    </row>
    <row r="235" spans="1:16" hidden="1" x14ac:dyDescent="0.25">
      <c r="A235" s="22" t="s">
        <v>385</v>
      </c>
      <c r="B235" s="229"/>
      <c r="C235" s="227"/>
      <c r="D235" s="227"/>
      <c r="E235" s="227"/>
      <c r="F235" s="227"/>
      <c r="G235" s="227"/>
      <c r="H235" s="227"/>
      <c r="I235" s="227"/>
      <c r="J235" s="227"/>
      <c r="K235" s="227"/>
      <c r="L235" s="227"/>
      <c r="M235" s="227"/>
      <c r="N235" s="26"/>
      <c r="O235" s="25"/>
      <c r="P235" s="95"/>
    </row>
    <row r="236" spans="1:16" x14ac:dyDescent="0.25">
      <c r="A236" s="22" t="s">
        <v>768</v>
      </c>
      <c r="B236" s="229">
        <v>393198.8013333343</v>
      </c>
      <c r="C236" s="227">
        <v>393198.8013333343</v>
      </c>
      <c r="D236" s="227">
        <v>393198.8013333343</v>
      </c>
      <c r="E236" s="227">
        <v>393198.8013333343</v>
      </c>
      <c r="F236" s="227">
        <v>393198.8013333343</v>
      </c>
      <c r="G236" s="227">
        <v>393198.8013333343</v>
      </c>
      <c r="H236" s="227">
        <v>393198.8013333343</v>
      </c>
      <c r="I236" s="227">
        <v>393198.8013333343</v>
      </c>
      <c r="J236" s="227">
        <v>393198.8013333343</v>
      </c>
      <c r="K236" s="227">
        <v>393198.8013333343</v>
      </c>
      <c r="L236" s="227">
        <v>393198.8013333343</v>
      </c>
      <c r="M236" s="227">
        <v>393198.8013333343</v>
      </c>
      <c r="N236" s="26">
        <f>'D5-CFlow'!I34</f>
        <v>-4333211.27999999</v>
      </c>
      <c r="O236" s="25">
        <f>'D5-CFlow'!J34</f>
        <v>-4628832.5828800099</v>
      </c>
      <c r="P236" s="95">
        <f>'D5-CFlow'!K34</f>
        <v>-4841758.8816924803</v>
      </c>
    </row>
    <row r="237" spans="1:16" x14ac:dyDescent="0.25">
      <c r="A237" s="51" t="s">
        <v>338</v>
      </c>
      <c r="B237" s="26"/>
      <c r="C237" s="25"/>
      <c r="D237" s="25"/>
      <c r="E237" s="25"/>
      <c r="F237" s="25"/>
      <c r="G237" s="25"/>
      <c r="H237" s="25"/>
      <c r="I237" s="25"/>
      <c r="J237" s="25"/>
      <c r="K237" s="25"/>
      <c r="L237" s="25"/>
      <c r="M237" s="24"/>
      <c r="N237" s="26"/>
      <c r="O237" s="25"/>
      <c r="P237" s="95"/>
    </row>
    <row r="238" spans="1:16" x14ac:dyDescent="0.25">
      <c r="A238" s="22" t="s">
        <v>339</v>
      </c>
      <c r="B238" s="229"/>
      <c r="C238" s="227"/>
      <c r="D238" s="227"/>
      <c r="E238" s="227"/>
      <c r="F238" s="227"/>
      <c r="G238" s="227"/>
      <c r="H238" s="227"/>
      <c r="I238" s="227"/>
      <c r="J238" s="227"/>
      <c r="K238" s="227"/>
      <c r="L238" s="227"/>
      <c r="M238" s="227"/>
      <c r="N238" s="26"/>
      <c r="O238" s="25"/>
      <c r="P238" s="95"/>
    </row>
    <row r="239" spans="1:16" x14ac:dyDescent="0.25">
      <c r="A239" s="55" t="s">
        <v>333</v>
      </c>
      <c r="B239" s="43">
        <f t="shared" ref="B239:M239" si="40">SUM(B233:B236)+B238</f>
        <v>393198.8013333343</v>
      </c>
      <c r="C239" s="42">
        <f t="shared" si="40"/>
        <v>393198.8013333343</v>
      </c>
      <c r="D239" s="42">
        <f t="shared" si="40"/>
        <v>393198.8013333343</v>
      </c>
      <c r="E239" s="42">
        <f t="shared" si="40"/>
        <v>393198.8013333343</v>
      </c>
      <c r="F239" s="42">
        <f t="shared" si="40"/>
        <v>393198.8013333343</v>
      </c>
      <c r="G239" s="42">
        <f t="shared" si="40"/>
        <v>393198.8013333343</v>
      </c>
      <c r="H239" s="42">
        <f t="shared" si="40"/>
        <v>393198.8013333343</v>
      </c>
      <c r="I239" s="42">
        <f t="shared" si="40"/>
        <v>393198.8013333343</v>
      </c>
      <c r="J239" s="42">
        <f t="shared" si="40"/>
        <v>393198.8013333343</v>
      </c>
      <c r="K239" s="42">
        <f t="shared" si="40"/>
        <v>393198.8013333343</v>
      </c>
      <c r="L239" s="42">
        <f t="shared" si="40"/>
        <v>393198.8013333343</v>
      </c>
      <c r="M239" s="175">
        <v>393198.8013333343</v>
      </c>
      <c r="N239" s="134">
        <f>'D5-CFlow'!I37</f>
        <v>-4333211.27999999</v>
      </c>
      <c r="O239" s="99">
        <f>'D5-CFlow'!J37</f>
        <v>-4628832.5828800099</v>
      </c>
      <c r="P239" s="126">
        <f>'D5-CFlow'!K37</f>
        <v>-4841758.8816924803</v>
      </c>
    </row>
    <row r="240" spans="1:16" ht="5.25" customHeight="1" x14ac:dyDescent="0.25">
      <c r="A240" s="23"/>
      <c r="B240" s="26"/>
      <c r="C240" s="25"/>
      <c r="D240" s="25"/>
      <c r="E240" s="25"/>
      <c r="F240" s="25"/>
      <c r="G240" s="25"/>
      <c r="H240" s="25"/>
      <c r="I240" s="25"/>
      <c r="J240" s="25"/>
      <c r="K240" s="25"/>
      <c r="L240" s="25"/>
      <c r="M240" s="24"/>
      <c r="N240" s="26"/>
      <c r="O240" s="25"/>
      <c r="P240" s="95"/>
    </row>
    <row r="241" spans="1:16" x14ac:dyDescent="0.25">
      <c r="A241" s="300" t="s">
        <v>341</v>
      </c>
      <c r="B241" s="398">
        <f t="shared" ref="B241:P241" si="41">B220+B230+B239</f>
        <v>-190839.65511673316</v>
      </c>
      <c r="C241" s="399">
        <f t="shared" si="41"/>
        <v>2870111.6881491281</v>
      </c>
      <c r="D241" s="399">
        <f t="shared" si="41"/>
        <v>15884088.632566188</v>
      </c>
      <c r="E241" s="399">
        <f t="shared" si="41"/>
        <v>-2971492.9006541334</v>
      </c>
      <c r="F241" s="399">
        <f t="shared" si="41"/>
        <v>-4219305.2962543629</v>
      </c>
      <c r="G241" s="399">
        <f t="shared" si="41"/>
        <v>12140651.44576541</v>
      </c>
      <c r="H241" s="399">
        <f t="shared" si="41"/>
        <v>-6465367.6083348356</v>
      </c>
      <c r="I241" s="399">
        <f t="shared" si="41"/>
        <v>-7713180.0039350651</v>
      </c>
      <c r="J241" s="399">
        <f t="shared" si="41"/>
        <v>8147651.7798446156</v>
      </c>
      <c r="K241" s="399">
        <f t="shared" si="41"/>
        <v>-1474118.0259338282</v>
      </c>
      <c r="L241" s="399">
        <f t="shared" si="41"/>
        <v>-1705130.7911107801</v>
      </c>
      <c r="M241" s="124">
        <f>'D5-CFlow'!H39</f>
        <v>6462671.1687495857</v>
      </c>
      <c r="N241" s="29">
        <f>'D5-CFlow'!I39</f>
        <v>47407488.245249853</v>
      </c>
      <c r="O241" s="28">
        <f>'D5-CFlow'!J39</f>
        <v>5858169.6193948938</v>
      </c>
      <c r="P241" s="111">
        <f>'D5-CFlow'!K39</f>
        <v>6127645.4218784757</v>
      </c>
    </row>
    <row r="242" spans="1:16" x14ac:dyDescent="0.25">
      <c r="A242" s="22" t="s">
        <v>311</v>
      </c>
      <c r="B242" s="236">
        <v>115404809.13524649</v>
      </c>
      <c r="C242" s="581">
        <f t="shared" ref="C242:P242" si="42">B243</f>
        <v>115213969.48012975</v>
      </c>
      <c r="D242" s="581">
        <f t="shared" si="42"/>
        <v>118084081.16827887</v>
      </c>
      <c r="E242" s="581">
        <f t="shared" si="42"/>
        <v>133968169.80084506</v>
      </c>
      <c r="F242" s="581">
        <f t="shared" si="42"/>
        <v>130996676.90019092</v>
      </c>
      <c r="G242" s="581">
        <f t="shared" si="42"/>
        <v>126777371.60393655</v>
      </c>
      <c r="H242" s="581">
        <f t="shared" si="42"/>
        <v>138918023.04970196</v>
      </c>
      <c r="I242" s="581">
        <f t="shared" si="42"/>
        <v>132452655.44136712</v>
      </c>
      <c r="J242" s="581">
        <f t="shared" si="42"/>
        <v>124739475.43743205</v>
      </c>
      <c r="K242" s="581">
        <f t="shared" si="42"/>
        <v>132887127.21727666</v>
      </c>
      <c r="L242" s="581">
        <f t="shared" si="42"/>
        <v>131413009.19134283</v>
      </c>
      <c r="M242" s="314">
        <f>'D5-CFlow'!H40</f>
        <v>73481354.050999716</v>
      </c>
      <c r="N242" s="57">
        <f>'D5-CFlow'!I40</f>
        <v>79944025.219749302</v>
      </c>
      <c r="O242" s="56">
        <f>'D5-CFlow'!J40</f>
        <v>127351513.46499915</v>
      </c>
      <c r="P242" s="112">
        <f>'D5-CFlow'!K40</f>
        <v>133209683.08439405</v>
      </c>
    </row>
    <row r="243" spans="1:16" x14ac:dyDescent="0.25">
      <c r="A243" s="269" t="s">
        <v>269</v>
      </c>
      <c r="B243" s="189">
        <f t="shared" ref="B243:P243" si="43">B241+B242</f>
        <v>115213969.48012975</v>
      </c>
      <c r="C243" s="190">
        <f t="shared" si="43"/>
        <v>118084081.16827887</v>
      </c>
      <c r="D243" s="190">
        <f t="shared" si="43"/>
        <v>133968169.80084506</v>
      </c>
      <c r="E243" s="190">
        <f t="shared" si="43"/>
        <v>130996676.90019092</v>
      </c>
      <c r="F243" s="190">
        <f t="shared" si="43"/>
        <v>126777371.60393655</v>
      </c>
      <c r="G243" s="190">
        <f t="shared" si="43"/>
        <v>138918023.04970196</v>
      </c>
      <c r="H243" s="190">
        <f t="shared" si="43"/>
        <v>132452655.44136712</v>
      </c>
      <c r="I243" s="190">
        <f t="shared" si="43"/>
        <v>124739475.43743205</v>
      </c>
      <c r="J243" s="190">
        <f t="shared" si="43"/>
        <v>132887127.21727666</v>
      </c>
      <c r="K243" s="190">
        <f t="shared" si="43"/>
        <v>131413009.19134283</v>
      </c>
      <c r="L243" s="190">
        <f t="shared" si="43"/>
        <v>129707878.40023205</v>
      </c>
      <c r="M243" s="752">
        <f>'D5-CFlow'!H41</f>
        <v>79944025.219749302</v>
      </c>
      <c r="N243" s="189">
        <f>'D5-CFlow'!I41</f>
        <v>127351513.46499915</v>
      </c>
      <c r="O243" s="190">
        <f>'D5-CFlow'!J41</f>
        <v>133209683.08439405</v>
      </c>
      <c r="P243" s="191">
        <f>'D5-CFlow'!K41</f>
        <v>139337328.50627252</v>
      </c>
    </row>
  </sheetData>
  <mergeCells count="10">
    <mergeCell ref="N205:N206"/>
    <mergeCell ref="O205:O206"/>
    <mergeCell ref="P205:P206"/>
    <mergeCell ref="A2:A3"/>
    <mergeCell ref="N3:N4"/>
    <mergeCell ref="O3:O4"/>
    <mergeCell ref="P3:P4"/>
    <mergeCell ref="N39:N40"/>
    <mergeCell ref="O39:O40"/>
    <mergeCell ref="P39:P40"/>
  </mergeCells>
  <phoneticPr fontId="2" type="noConversion"/>
  <printOptions horizontalCentered="1"/>
  <pageMargins left="0.37" right="0.17" top="0.79" bottom="0.62" header="0.51181102362204722" footer="0.41"/>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O205"/>
  <sheetViews>
    <sheetView showGridLines="0" zoomScaleNormal="100" workbookViewId="0">
      <pane xSplit="2" ySplit="3" topLeftCell="C148" activePane="bottomRight" state="frozen"/>
      <selection activeCell="M160" sqref="M158:P160"/>
      <selection pane="topRight" activeCell="M160" sqref="M158:P160"/>
      <selection pane="bottomLeft" activeCell="M160" sqref="M158:P160"/>
      <selection pane="bottomRight" activeCell="M160" sqref="M158:P160"/>
    </sheetView>
  </sheetViews>
  <sheetFormatPr defaultRowHeight="12.75" x14ac:dyDescent="0.25"/>
  <cols>
    <col min="1" max="1" width="35.710937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MEB9a</f>
        <v>Centlec - Supporting Table SD7a Capital expenditure on new assets by asset class</v>
      </c>
    </row>
    <row r="2" spans="1:12" ht="25.5" x14ac:dyDescent="0.25">
      <c r="A2" s="451" t="str">
        <f>desc</f>
        <v>Description</v>
      </c>
      <c r="B2" s="452"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2" ht="38.25" x14ac:dyDescent="0.25">
      <c r="A3" s="392" t="s">
        <v>822</v>
      </c>
      <c r="B3" s="321">
        <v>1</v>
      </c>
      <c r="C3" s="322" t="str">
        <f>Head5</f>
        <v>Audited Outcome</v>
      </c>
      <c r="D3" s="323" t="str">
        <f>Head5</f>
        <v>Audited Outcome</v>
      </c>
      <c r="E3" s="324" t="str">
        <f>Head5</f>
        <v>Audited Outcome</v>
      </c>
      <c r="F3" s="449" t="str">
        <f>Head6</f>
        <v>Original Budget</v>
      </c>
      <c r="G3" s="322" t="str">
        <f>Head7</f>
        <v>Adjusted Budget</v>
      </c>
      <c r="H3" s="450" t="str">
        <f>Head8</f>
        <v>Full Year Forecast</v>
      </c>
      <c r="I3" s="449" t="str">
        <f>Head9</f>
        <v>Budget Year 2020/21</v>
      </c>
      <c r="J3" s="322" t="str">
        <f>Head10</f>
        <v>Budget Year +1 2021/22</v>
      </c>
      <c r="K3" s="324" t="str">
        <f>Head11</f>
        <v>Budget Year +2 2022/23</v>
      </c>
    </row>
    <row r="4" spans="1:12" ht="12.75" customHeight="1" x14ac:dyDescent="0.25">
      <c r="A4" s="21" t="s">
        <v>823</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182355373.14999998</v>
      </c>
      <c r="D6" s="293">
        <f t="shared" ref="D6:K6" si="0">D7+D12+D16+D26+D37+D44+D52+D62+D68</f>
        <v>71329572.799999997</v>
      </c>
      <c r="E6" s="294">
        <f t="shared" si="0"/>
        <v>121904434.13</v>
      </c>
      <c r="F6" s="292">
        <f t="shared" si="0"/>
        <v>68858369</v>
      </c>
      <c r="G6" s="293">
        <f t="shared" si="0"/>
        <v>76658369</v>
      </c>
      <c r="H6" s="291">
        <f t="shared" si="0"/>
        <v>76658369</v>
      </c>
      <c r="I6" s="292">
        <f t="shared" si="0"/>
        <v>109811857.928</v>
      </c>
      <c r="J6" s="293">
        <f t="shared" si="0"/>
        <v>69211403.196543992</v>
      </c>
      <c r="K6" s="294">
        <f t="shared" si="0"/>
        <v>73685459.861978114</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302"/>
      <c r="C8" s="475"/>
      <c r="D8" s="475"/>
      <c r="E8" s="476"/>
      <c r="F8" s="477"/>
      <c r="G8" s="475"/>
      <c r="H8" s="478"/>
      <c r="I8" s="477"/>
      <c r="J8" s="475"/>
      <c r="K8" s="476"/>
      <c r="L8" s="474"/>
    </row>
    <row r="9" spans="1:12" s="472" customFormat="1" ht="13.15" customHeight="1" x14ac:dyDescent="0.25">
      <c r="A9" s="303" t="s">
        <v>855</v>
      </c>
      <c r="B9" s="302"/>
      <c r="C9" s="475"/>
      <c r="D9" s="475"/>
      <c r="E9" s="476"/>
      <c r="F9" s="477"/>
      <c r="G9" s="475"/>
      <c r="H9" s="478"/>
      <c r="I9" s="477"/>
      <c r="J9" s="475"/>
      <c r="K9" s="476"/>
      <c r="L9" s="479"/>
    </row>
    <row r="10" spans="1:12" s="472" customFormat="1" ht="13.15" customHeight="1" x14ac:dyDescent="0.25">
      <c r="A10" s="303" t="s">
        <v>856</v>
      </c>
      <c r="B10" s="302"/>
      <c r="C10" s="475"/>
      <c r="D10" s="475"/>
      <c r="E10" s="476"/>
      <c r="F10" s="477"/>
      <c r="G10" s="475"/>
      <c r="H10" s="478"/>
      <c r="I10" s="477"/>
      <c r="J10" s="475"/>
      <c r="K10" s="476"/>
      <c r="L10" s="479"/>
    </row>
    <row r="11" spans="1:12" s="472" customFormat="1" ht="13.15" customHeight="1" x14ac:dyDescent="0.25">
      <c r="A11" s="303" t="s">
        <v>857</v>
      </c>
      <c r="B11" s="302"/>
      <c r="C11" s="475"/>
      <c r="D11" s="475"/>
      <c r="E11" s="476"/>
      <c r="F11" s="477"/>
      <c r="G11" s="475"/>
      <c r="H11" s="478"/>
      <c r="I11" s="477"/>
      <c r="J11" s="475"/>
      <c r="K11" s="476"/>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475"/>
      <c r="D13" s="475"/>
      <c r="E13" s="480"/>
      <c r="F13" s="481"/>
      <c r="G13" s="475"/>
      <c r="H13" s="482"/>
      <c r="I13" s="483"/>
      <c r="J13" s="475"/>
      <c r="K13" s="482"/>
      <c r="L13" s="479"/>
    </row>
    <row r="14" spans="1:12" s="472" customFormat="1" ht="13.15" customHeight="1" x14ac:dyDescent="0.25">
      <c r="A14" s="303" t="s">
        <v>860</v>
      </c>
      <c r="B14" s="302"/>
      <c r="C14" s="475"/>
      <c r="D14" s="475"/>
      <c r="E14" s="480"/>
      <c r="F14" s="481"/>
      <c r="G14" s="475"/>
      <c r="H14" s="482"/>
      <c r="I14" s="483"/>
      <c r="J14" s="475"/>
      <c r="K14" s="482"/>
      <c r="L14" s="479"/>
    </row>
    <row r="15" spans="1:12" s="472" customFormat="1" ht="13.15" customHeight="1" x14ac:dyDescent="0.25">
      <c r="A15" s="303" t="s">
        <v>861</v>
      </c>
      <c r="B15" s="302"/>
      <c r="C15" s="475"/>
      <c r="D15" s="475"/>
      <c r="E15" s="480"/>
      <c r="F15" s="481"/>
      <c r="G15" s="475"/>
      <c r="H15" s="482"/>
      <c r="I15" s="483"/>
      <c r="J15" s="475"/>
      <c r="K15" s="482"/>
      <c r="L15" s="479"/>
    </row>
    <row r="16" spans="1:12" s="472" customFormat="1" ht="13.15" customHeight="1" x14ac:dyDescent="0.25">
      <c r="A16" s="285" t="s">
        <v>862</v>
      </c>
      <c r="B16" s="302"/>
      <c r="C16" s="422">
        <f t="shared" ref="C16:K16" si="3">SUM(C17:C25)</f>
        <v>182355373.14999998</v>
      </c>
      <c r="D16" s="422">
        <f t="shared" si="3"/>
        <v>71329572.799999997</v>
      </c>
      <c r="E16" s="423">
        <f t="shared" si="3"/>
        <v>121904434.13</v>
      </c>
      <c r="F16" s="424">
        <f t="shared" si="3"/>
        <v>68858369</v>
      </c>
      <c r="G16" s="422">
        <f t="shared" si="3"/>
        <v>76658369</v>
      </c>
      <c r="H16" s="425">
        <f t="shared" si="3"/>
        <v>76658369</v>
      </c>
      <c r="I16" s="426">
        <f t="shared" si="3"/>
        <v>109811857.928</v>
      </c>
      <c r="J16" s="422">
        <f t="shared" si="3"/>
        <v>69211403.196543992</v>
      </c>
      <c r="K16" s="425">
        <f t="shared" si="3"/>
        <v>73685459.861978114</v>
      </c>
      <c r="L16" s="479"/>
    </row>
    <row r="17" spans="1:12" s="472" customFormat="1" ht="13.15" customHeight="1" x14ac:dyDescent="0.25">
      <c r="A17" s="303" t="s">
        <v>863</v>
      </c>
      <c r="B17" s="302"/>
      <c r="C17" s="475"/>
      <c r="D17" s="475">
        <v>58297.42</v>
      </c>
      <c r="E17" s="480">
        <v>591000</v>
      </c>
      <c r="F17" s="481">
        <v>1000000</v>
      </c>
      <c r="G17" s="475">
        <v>1000000</v>
      </c>
      <c r="H17" s="475">
        <v>1000000</v>
      </c>
      <c r="I17" s="483">
        <v>1000000</v>
      </c>
      <c r="J17" s="475">
        <v>1048000</v>
      </c>
      <c r="K17" s="482">
        <v>1098304</v>
      </c>
      <c r="L17" s="479"/>
    </row>
    <row r="18" spans="1:12" s="472" customFormat="1" ht="13.15" customHeight="1" x14ac:dyDescent="0.25">
      <c r="A18" s="303" t="s">
        <v>864</v>
      </c>
      <c r="B18" s="302"/>
      <c r="C18" s="475">
        <v>51346274.049999997</v>
      </c>
      <c r="D18" s="475">
        <v>23087009.789999999</v>
      </c>
      <c r="E18" s="480">
        <v>72955516.819999993</v>
      </c>
      <c r="F18" s="481">
        <v>311868</v>
      </c>
      <c r="G18" s="475">
        <v>311868</v>
      </c>
      <c r="H18" s="475">
        <v>311868</v>
      </c>
      <c r="I18" s="483">
        <v>2026213.9280000001</v>
      </c>
      <c r="J18" s="475">
        <v>2123472.1965439999</v>
      </c>
      <c r="K18" s="482">
        <v>2225398.8619781118</v>
      </c>
      <c r="L18" s="479"/>
    </row>
    <row r="19" spans="1:12" s="472" customFormat="1" ht="13.15" customHeight="1" x14ac:dyDescent="0.25">
      <c r="A19" s="303" t="s">
        <v>865</v>
      </c>
      <c r="B19" s="302"/>
      <c r="C19" s="475"/>
      <c r="D19" s="475"/>
      <c r="E19" s="480"/>
      <c r="F19" s="481"/>
      <c r="G19" s="475"/>
      <c r="H19" s="475"/>
      <c r="I19" s="483"/>
      <c r="J19" s="475"/>
      <c r="K19" s="482"/>
      <c r="L19" s="479"/>
    </row>
    <row r="20" spans="1:12" s="472" customFormat="1" ht="13.15" customHeight="1" x14ac:dyDescent="0.25">
      <c r="A20" s="303" t="s">
        <v>866</v>
      </c>
      <c r="B20" s="302"/>
      <c r="C20" s="475"/>
      <c r="D20" s="475"/>
      <c r="E20" s="480"/>
      <c r="F20" s="481"/>
      <c r="G20" s="475"/>
      <c r="H20" s="475"/>
      <c r="I20" s="483">
        <v>10000000</v>
      </c>
      <c r="J20" s="475">
        <v>0</v>
      </c>
      <c r="K20" s="482">
        <v>0</v>
      </c>
      <c r="L20" s="479"/>
    </row>
    <row r="21" spans="1:12" s="472" customFormat="1" ht="13.15" customHeight="1" x14ac:dyDescent="0.25">
      <c r="A21" s="303" t="s">
        <v>867</v>
      </c>
      <c r="B21" s="302"/>
      <c r="C21" s="475"/>
      <c r="D21" s="475"/>
      <c r="E21" s="480"/>
      <c r="F21" s="481"/>
      <c r="G21" s="475"/>
      <c r="H21" s="475"/>
      <c r="I21" s="483"/>
      <c r="J21" s="475"/>
      <c r="K21" s="482"/>
      <c r="L21" s="479"/>
    </row>
    <row r="22" spans="1:12" s="472" customFormat="1" ht="13.15" customHeight="1" x14ac:dyDescent="0.25">
      <c r="A22" s="303" t="s">
        <v>868</v>
      </c>
      <c r="B22" s="302"/>
      <c r="C22" s="475"/>
      <c r="D22" s="475"/>
      <c r="E22" s="480"/>
      <c r="F22" s="481"/>
      <c r="G22" s="475"/>
      <c r="H22" s="475"/>
      <c r="I22" s="483"/>
      <c r="J22" s="475"/>
      <c r="K22" s="482"/>
      <c r="L22" s="474"/>
    </row>
    <row r="23" spans="1:12" s="472" customFormat="1" ht="13.15" customHeight="1" x14ac:dyDescent="0.25">
      <c r="A23" s="303" t="s">
        <v>869</v>
      </c>
      <c r="B23" s="302"/>
      <c r="C23" s="475">
        <v>19821502.439999998</v>
      </c>
      <c r="D23" s="475">
        <v>39325437.079999998</v>
      </c>
      <c r="E23" s="480">
        <v>17103633.550000001</v>
      </c>
      <c r="F23" s="481">
        <v>6000000</v>
      </c>
      <c r="G23" s="475">
        <v>14000000</v>
      </c>
      <c r="H23" s="475">
        <v>14000000</v>
      </c>
      <c r="I23" s="483">
        <v>7000000</v>
      </c>
      <c r="J23" s="475">
        <v>7336000</v>
      </c>
      <c r="K23" s="482">
        <v>7688128</v>
      </c>
      <c r="L23" s="479"/>
    </row>
    <row r="24" spans="1:12" s="472" customFormat="1" ht="13.15" customHeight="1" x14ac:dyDescent="0.25">
      <c r="A24" s="303" t="s">
        <v>870</v>
      </c>
      <c r="B24" s="302"/>
      <c r="C24" s="475">
        <v>111187596.66</v>
      </c>
      <c r="D24" s="475">
        <v>8858828.5099999998</v>
      </c>
      <c r="E24" s="480">
        <v>31254283.760000002</v>
      </c>
      <c r="F24" s="481">
        <v>61546501</v>
      </c>
      <c r="G24" s="475">
        <v>61346501</v>
      </c>
      <c r="H24" s="475">
        <v>61346501</v>
      </c>
      <c r="I24" s="483">
        <v>89785644</v>
      </c>
      <c r="J24" s="475">
        <v>58703931</v>
      </c>
      <c r="K24" s="482">
        <v>62673629</v>
      </c>
      <c r="L24" s="479"/>
    </row>
    <row r="25" spans="1:12" s="472" customFormat="1" ht="13.15" customHeight="1" x14ac:dyDescent="0.25">
      <c r="A25" s="303" t="s">
        <v>857</v>
      </c>
      <c r="B25" s="302"/>
      <c r="C25" s="475"/>
      <c r="D25" s="475"/>
      <c r="E25" s="480"/>
      <c r="F25" s="481"/>
      <c r="G25" s="475"/>
      <c r="H25" s="482"/>
      <c r="I25" s="483"/>
      <c r="J25" s="475"/>
      <c r="K25" s="482"/>
      <c r="L25" s="479"/>
    </row>
    <row r="26" spans="1:12" ht="13.15" customHeight="1" x14ac:dyDescent="0.25">
      <c r="A26" s="284" t="s">
        <v>871</v>
      </c>
      <c r="B26" s="454"/>
      <c r="C26" s="422">
        <f>SUM(C27:C36)</f>
        <v>0</v>
      </c>
      <c r="D26" s="422">
        <f t="shared" ref="D26:K26" si="4">SUM(D27:D36)</f>
        <v>0</v>
      </c>
      <c r="E26" s="423">
        <f t="shared" si="4"/>
        <v>0</v>
      </c>
      <c r="F26" s="424">
        <f t="shared" si="4"/>
        <v>0</v>
      </c>
      <c r="G26" s="422">
        <f t="shared" si="4"/>
        <v>0</v>
      </c>
      <c r="H26" s="425">
        <f t="shared" si="4"/>
        <v>0</v>
      </c>
      <c r="I26" s="426">
        <f t="shared" si="4"/>
        <v>0</v>
      </c>
      <c r="J26" s="422">
        <f t="shared" si="4"/>
        <v>0</v>
      </c>
      <c r="K26" s="425">
        <f t="shared" si="4"/>
        <v>0</v>
      </c>
      <c r="L26" s="438"/>
    </row>
    <row r="27" spans="1:12" ht="13.15" customHeight="1" x14ac:dyDescent="0.25">
      <c r="A27" s="303" t="s">
        <v>872</v>
      </c>
      <c r="B27" s="302"/>
      <c r="C27" s="475"/>
      <c r="D27" s="475"/>
      <c r="E27" s="480"/>
      <c r="F27" s="481"/>
      <c r="G27" s="475"/>
      <c r="H27" s="482"/>
      <c r="I27" s="483"/>
      <c r="J27" s="475"/>
      <c r="K27" s="482"/>
      <c r="L27" s="438"/>
    </row>
    <row r="28" spans="1:12" ht="13.15" customHeight="1" x14ac:dyDescent="0.25">
      <c r="A28" s="303" t="s">
        <v>873</v>
      </c>
      <c r="B28" s="302"/>
      <c r="C28" s="475"/>
      <c r="D28" s="475"/>
      <c r="E28" s="480"/>
      <c r="F28" s="481"/>
      <c r="G28" s="475"/>
      <c r="H28" s="482"/>
      <c r="I28" s="483"/>
      <c r="J28" s="475"/>
      <c r="K28" s="482"/>
      <c r="L28" s="479"/>
    </row>
    <row r="29" spans="1:12" ht="13.15" customHeight="1" x14ac:dyDescent="0.25">
      <c r="A29" s="303" t="s">
        <v>874</v>
      </c>
      <c r="B29" s="302"/>
      <c r="C29" s="475"/>
      <c r="D29" s="475"/>
      <c r="E29" s="480"/>
      <c r="F29" s="481"/>
      <c r="G29" s="475"/>
      <c r="H29" s="482"/>
      <c r="I29" s="483"/>
      <c r="J29" s="475"/>
      <c r="K29" s="482"/>
      <c r="L29" s="479"/>
    </row>
    <row r="30" spans="1:12" ht="13.15" customHeight="1" x14ac:dyDescent="0.25">
      <c r="A30" s="303" t="s">
        <v>875</v>
      </c>
      <c r="B30" s="302"/>
      <c r="C30" s="475"/>
      <c r="D30" s="475"/>
      <c r="E30" s="480"/>
      <c r="F30" s="481"/>
      <c r="G30" s="475"/>
      <c r="H30" s="482"/>
      <c r="I30" s="483"/>
      <c r="J30" s="475"/>
      <c r="K30" s="482"/>
      <c r="L30" s="479"/>
    </row>
    <row r="31" spans="1:12" ht="13.15" customHeight="1" x14ac:dyDescent="0.25">
      <c r="A31" s="303" t="s">
        <v>876</v>
      </c>
      <c r="B31" s="302"/>
      <c r="C31" s="475"/>
      <c r="D31" s="475"/>
      <c r="E31" s="480"/>
      <c r="F31" s="481"/>
      <c r="G31" s="475"/>
      <c r="H31" s="482"/>
      <c r="I31" s="483"/>
      <c r="J31" s="475"/>
      <c r="K31" s="482"/>
      <c r="L31" s="479"/>
    </row>
    <row r="32" spans="1:12" ht="13.15" customHeight="1" x14ac:dyDescent="0.25">
      <c r="A32" s="303" t="s">
        <v>877</v>
      </c>
      <c r="B32" s="302"/>
      <c r="C32" s="475"/>
      <c r="D32" s="475"/>
      <c r="E32" s="480"/>
      <c r="F32" s="481"/>
      <c r="G32" s="475"/>
      <c r="H32" s="482"/>
      <c r="I32" s="483"/>
      <c r="J32" s="475"/>
      <c r="K32" s="482"/>
      <c r="L32" s="479"/>
    </row>
    <row r="33" spans="1:15" ht="13.15" customHeight="1" x14ac:dyDescent="0.25">
      <c r="A33" s="303" t="s">
        <v>878</v>
      </c>
      <c r="B33" s="302"/>
      <c r="C33" s="475"/>
      <c r="D33" s="475"/>
      <c r="E33" s="480"/>
      <c r="F33" s="481"/>
      <c r="G33" s="475"/>
      <c r="H33" s="482"/>
      <c r="I33" s="483"/>
      <c r="J33" s="475"/>
      <c r="K33" s="482"/>
      <c r="L33" s="479"/>
    </row>
    <row r="34" spans="1:15" ht="13.15" customHeight="1" x14ac:dyDescent="0.25">
      <c r="A34" s="303" t="s">
        <v>879</v>
      </c>
      <c r="B34" s="302"/>
      <c r="C34" s="475"/>
      <c r="D34" s="475"/>
      <c r="E34" s="480"/>
      <c r="F34" s="481"/>
      <c r="G34" s="475"/>
      <c r="H34" s="482"/>
      <c r="I34" s="483"/>
      <c r="J34" s="475"/>
      <c r="K34" s="482"/>
      <c r="L34" s="479"/>
    </row>
    <row r="35" spans="1:15" ht="13.15" customHeight="1" x14ac:dyDescent="0.25">
      <c r="A35" s="303" t="s">
        <v>880</v>
      </c>
      <c r="B35" s="302"/>
      <c r="C35" s="475"/>
      <c r="D35" s="475"/>
      <c r="E35" s="480"/>
      <c r="F35" s="481"/>
      <c r="G35" s="475"/>
      <c r="H35" s="482"/>
      <c r="I35" s="483"/>
      <c r="J35" s="475"/>
      <c r="K35" s="482"/>
      <c r="L35" s="479"/>
    </row>
    <row r="36" spans="1:15" ht="13.15" customHeight="1" x14ac:dyDescent="0.25">
      <c r="A36" s="303" t="s">
        <v>857</v>
      </c>
      <c r="B36" s="302"/>
      <c r="C36" s="475"/>
      <c r="D36" s="475"/>
      <c r="E36" s="480"/>
      <c r="F36" s="481"/>
      <c r="G36" s="475"/>
      <c r="H36" s="482"/>
      <c r="I36" s="483"/>
      <c r="J36" s="475"/>
      <c r="K36" s="482"/>
      <c r="L36" s="479"/>
    </row>
    <row r="37" spans="1:15" ht="13.15" customHeight="1" x14ac:dyDescent="0.25">
      <c r="A37" s="284" t="s">
        <v>881</v>
      </c>
      <c r="B37" s="302"/>
      <c r="C37" s="422">
        <f>SUM(C38:C43)</f>
        <v>0</v>
      </c>
      <c r="D37" s="422">
        <f t="shared" ref="D37:K37" si="5">SUM(D38:D43)</f>
        <v>0</v>
      </c>
      <c r="E37" s="423">
        <f t="shared" si="5"/>
        <v>0</v>
      </c>
      <c r="F37" s="424">
        <f t="shared" si="5"/>
        <v>0</v>
      </c>
      <c r="G37" s="422">
        <f t="shared" si="5"/>
        <v>0</v>
      </c>
      <c r="H37" s="425">
        <f t="shared" si="5"/>
        <v>0</v>
      </c>
      <c r="I37" s="426">
        <f t="shared" si="5"/>
        <v>0</v>
      </c>
      <c r="J37" s="422">
        <f t="shared" si="5"/>
        <v>0</v>
      </c>
      <c r="K37" s="425">
        <f t="shared" si="5"/>
        <v>0</v>
      </c>
      <c r="L37" s="479"/>
      <c r="O37" s="438"/>
    </row>
    <row r="38" spans="1:15" ht="13.15" customHeight="1" x14ac:dyDescent="0.25">
      <c r="A38" s="303" t="s">
        <v>882</v>
      </c>
      <c r="B38" s="302"/>
      <c r="C38" s="475"/>
      <c r="D38" s="475"/>
      <c r="E38" s="480"/>
      <c r="F38" s="481"/>
      <c r="G38" s="475"/>
      <c r="H38" s="482"/>
      <c r="I38" s="483"/>
      <c r="J38" s="475"/>
      <c r="K38" s="482"/>
      <c r="L38" s="479"/>
    </row>
    <row r="39" spans="1:15" ht="13.15" customHeight="1" x14ac:dyDescent="0.25">
      <c r="A39" s="303" t="s">
        <v>497</v>
      </c>
      <c r="B39" s="302"/>
      <c r="C39" s="475"/>
      <c r="D39" s="475"/>
      <c r="E39" s="480"/>
      <c r="F39" s="481"/>
      <c r="G39" s="475"/>
      <c r="H39" s="482"/>
      <c r="I39" s="483"/>
      <c r="J39" s="475"/>
      <c r="K39" s="482"/>
      <c r="L39" s="479"/>
    </row>
    <row r="40" spans="1:15" ht="13.15" customHeight="1" x14ac:dyDescent="0.25">
      <c r="A40" s="303" t="s">
        <v>883</v>
      </c>
      <c r="B40" s="302"/>
      <c r="C40" s="475"/>
      <c r="D40" s="475"/>
      <c r="E40" s="480"/>
      <c r="F40" s="481"/>
      <c r="G40" s="475"/>
      <c r="H40" s="482"/>
      <c r="I40" s="483"/>
      <c r="J40" s="475"/>
      <c r="K40" s="482"/>
      <c r="L40" s="438"/>
    </row>
    <row r="41" spans="1:15" ht="13.15" customHeight="1" x14ac:dyDescent="0.25">
      <c r="A41" s="303" t="s">
        <v>884</v>
      </c>
      <c r="B41" s="302"/>
      <c r="C41" s="475"/>
      <c r="D41" s="475"/>
      <c r="E41" s="480"/>
      <c r="F41" s="481"/>
      <c r="G41" s="475"/>
      <c r="H41" s="482"/>
      <c r="I41" s="483"/>
      <c r="J41" s="475"/>
      <c r="K41" s="482"/>
      <c r="L41" s="479"/>
    </row>
    <row r="42" spans="1:15" ht="13.15" customHeight="1" x14ac:dyDescent="0.25">
      <c r="A42" s="303" t="s">
        <v>885</v>
      </c>
      <c r="B42" s="302"/>
      <c r="C42" s="475"/>
      <c r="D42" s="475"/>
      <c r="E42" s="480"/>
      <c r="F42" s="481"/>
      <c r="G42" s="475"/>
      <c r="H42" s="482"/>
      <c r="I42" s="483"/>
      <c r="J42" s="475"/>
      <c r="K42" s="482"/>
      <c r="L42" s="438"/>
    </row>
    <row r="43" spans="1:15" ht="13.15" customHeight="1" x14ac:dyDescent="0.25">
      <c r="A43" s="303" t="s">
        <v>857</v>
      </c>
      <c r="B43" s="302"/>
      <c r="C43" s="475"/>
      <c r="D43" s="475"/>
      <c r="E43" s="480"/>
      <c r="F43" s="481"/>
      <c r="G43" s="475"/>
      <c r="H43" s="482"/>
      <c r="I43" s="483"/>
      <c r="J43" s="475"/>
      <c r="K43" s="482"/>
      <c r="L43" s="438"/>
    </row>
    <row r="44" spans="1:15" ht="13.15" customHeight="1" x14ac:dyDescent="0.25">
      <c r="A44" s="284" t="s">
        <v>886</v>
      </c>
      <c r="B44" s="302"/>
      <c r="C44" s="422">
        <f>SUM(C45:C51)</f>
        <v>0</v>
      </c>
      <c r="D44" s="422">
        <f t="shared" ref="D44:K44" si="6">SUM(D45:D51)</f>
        <v>0</v>
      </c>
      <c r="E44" s="423">
        <f t="shared" si="6"/>
        <v>0</v>
      </c>
      <c r="F44" s="424">
        <f t="shared" si="6"/>
        <v>0</v>
      </c>
      <c r="G44" s="422">
        <f t="shared" si="6"/>
        <v>0</v>
      </c>
      <c r="H44" s="425">
        <f t="shared" si="6"/>
        <v>0</v>
      </c>
      <c r="I44" s="426">
        <f t="shared" si="6"/>
        <v>0</v>
      </c>
      <c r="J44" s="422">
        <f t="shared" si="6"/>
        <v>0</v>
      </c>
      <c r="K44" s="425">
        <f t="shared" si="6"/>
        <v>0</v>
      </c>
      <c r="L44" s="438"/>
    </row>
    <row r="45" spans="1:15" ht="13.15" customHeight="1" x14ac:dyDescent="0.25">
      <c r="A45" s="303" t="s">
        <v>887</v>
      </c>
      <c r="B45" s="302"/>
      <c r="C45" s="475"/>
      <c r="D45" s="475"/>
      <c r="E45" s="480"/>
      <c r="F45" s="481"/>
      <c r="G45" s="475"/>
      <c r="H45" s="482"/>
      <c r="I45" s="483"/>
      <c r="J45" s="475"/>
      <c r="K45" s="482"/>
      <c r="L45" s="438"/>
    </row>
    <row r="46" spans="1:15" ht="13.15" customHeight="1" x14ac:dyDescent="0.25">
      <c r="A46" s="303" t="s">
        <v>888</v>
      </c>
      <c r="B46" s="302"/>
      <c r="C46" s="475"/>
      <c r="D46" s="475"/>
      <c r="E46" s="480"/>
      <c r="F46" s="481"/>
      <c r="G46" s="475"/>
      <c r="H46" s="482"/>
      <c r="I46" s="483"/>
      <c r="J46" s="475"/>
      <c r="K46" s="482"/>
      <c r="L46" s="438"/>
    </row>
    <row r="47" spans="1:15" ht="13.15" customHeight="1" x14ac:dyDescent="0.25">
      <c r="A47" s="303" t="s">
        <v>889</v>
      </c>
      <c r="B47" s="302"/>
      <c r="C47" s="475"/>
      <c r="D47" s="475"/>
      <c r="E47" s="480"/>
      <c r="F47" s="481"/>
      <c r="G47" s="475"/>
      <c r="H47" s="482"/>
      <c r="I47" s="483"/>
      <c r="J47" s="475"/>
      <c r="K47" s="482"/>
      <c r="L47" s="438"/>
    </row>
    <row r="48" spans="1:15" ht="13.15" customHeight="1" x14ac:dyDescent="0.25">
      <c r="A48" s="303" t="s">
        <v>890</v>
      </c>
      <c r="B48" s="302"/>
      <c r="C48" s="475"/>
      <c r="D48" s="475"/>
      <c r="E48" s="480"/>
      <c r="F48" s="481"/>
      <c r="G48" s="475"/>
      <c r="H48" s="482"/>
      <c r="I48" s="483"/>
      <c r="J48" s="475"/>
      <c r="K48" s="482"/>
      <c r="L48" s="479"/>
    </row>
    <row r="49" spans="1:12" ht="13.15" customHeight="1" x14ac:dyDescent="0.25">
      <c r="A49" s="303" t="s">
        <v>891</v>
      </c>
      <c r="B49" s="302"/>
      <c r="C49" s="475"/>
      <c r="D49" s="475"/>
      <c r="E49" s="480"/>
      <c r="F49" s="481"/>
      <c r="G49" s="475"/>
      <c r="H49" s="482"/>
      <c r="I49" s="483"/>
      <c r="J49" s="475"/>
      <c r="K49" s="482"/>
      <c r="L49" s="438"/>
    </row>
    <row r="50" spans="1:12" ht="13.15" customHeight="1" x14ac:dyDescent="0.25">
      <c r="A50" s="303" t="s">
        <v>892</v>
      </c>
      <c r="B50" s="302"/>
      <c r="C50" s="475"/>
      <c r="D50" s="475"/>
      <c r="E50" s="480"/>
      <c r="F50" s="481"/>
      <c r="G50" s="475"/>
      <c r="H50" s="482"/>
      <c r="I50" s="483"/>
      <c r="J50" s="475"/>
      <c r="K50" s="482"/>
      <c r="L50" s="438"/>
    </row>
    <row r="51" spans="1:12" ht="13.15" customHeight="1" x14ac:dyDescent="0.25">
      <c r="A51" s="303" t="s">
        <v>857</v>
      </c>
      <c r="B51" s="302"/>
      <c r="C51" s="475"/>
      <c r="D51" s="475"/>
      <c r="E51" s="480"/>
      <c r="F51" s="481"/>
      <c r="G51" s="475"/>
      <c r="H51" s="482"/>
      <c r="I51" s="483"/>
      <c r="J51" s="475"/>
      <c r="K51" s="482"/>
      <c r="L51" s="438"/>
    </row>
    <row r="52" spans="1:12" ht="13.15" customHeight="1" x14ac:dyDescent="0.25">
      <c r="A52" s="285" t="s">
        <v>893</v>
      </c>
      <c r="B52" s="302"/>
      <c r="C52" s="422">
        <f t="shared" ref="C52:K52" si="7">SUM(C53:C61)</f>
        <v>0</v>
      </c>
      <c r="D52" s="422">
        <f t="shared" si="7"/>
        <v>0</v>
      </c>
      <c r="E52" s="423">
        <f t="shared" si="7"/>
        <v>0</v>
      </c>
      <c r="F52" s="424">
        <f t="shared" si="7"/>
        <v>0</v>
      </c>
      <c r="G52" s="422">
        <f t="shared" si="7"/>
        <v>0</v>
      </c>
      <c r="H52" s="425">
        <f t="shared" si="7"/>
        <v>0</v>
      </c>
      <c r="I52" s="426">
        <f t="shared" si="7"/>
        <v>0</v>
      </c>
      <c r="J52" s="422">
        <f t="shared" si="7"/>
        <v>0</v>
      </c>
      <c r="K52" s="425">
        <f t="shared" si="7"/>
        <v>0</v>
      </c>
      <c r="L52" s="479"/>
    </row>
    <row r="53" spans="1:12" ht="13.15" customHeight="1" x14ac:dyDescent="0.25">
      <c r="A53" s="303" t="s">
        <v>894</v>
      </c>
      <c r="B53" s="302"/>
      <c r="C53" s="475"/>
      <c r="D53" s="475"/>
      <c r="E53" s="480"/>
      <c r="F53" s="481"/>
      <c r="G53" s="475"/>
      <c r="H53" s="482"/>
      <c r="I53" s="483"/>
      <c r="J53" s="475"/>
      <c r="K53" s="482"/>
      <c r="L53" s="438"/>
    </row>
    <row r="54" spans="1:12" ht="13.15" customHeight="1" x14ac:dyDescent="0.25">
      <c r="A54" s="303" t="s">
        <v>895</v>
      </c>
      <c r="B54" s="302"/>
      <c r="C54" s="475"/>
      <c r="D54" s="475"/>
      <c r="E54" s="480"/>
      <c r="F54" s="481"/>
      <c r="G54" s="475"/>
      <c r="H54" s="482"/>
      <c r="I54" s="483"/>
      <c r="J54" s="475"/>
      <c r="K54" s="482"/>
      <c r="L54" s="479"/>
    </row>
    <row r="55" spans="1:12" ht="13.15" customHeight="1" x14ac:dyDescent="0.25">
      <c r="A55" s="303" t="s">
        <v>896</v>
      </c>
      <c r="B55" s="302"/>
      <c r="C55" s="475"/>
      <c r="D55" s="475"/>
      <c r="E55" s="480"/>
      <c r="F55" s="481"/>
      <c r="G55" s="475"/>
      <c r="H55" s="482"/>
      <c r="I55" s="483"/>
      <c r="J55" s="475"/>
      <c r="K55" s="482"/>
      <c r="L55" s="479"/>
    </row>
    <row r="56" spans="1:12" ht="13.15" customHeight="1" x14ac:dyDescent="0.25">
      <c r="A56" s="303" t="s">
        <v>859</v>
      </c>
      <c r="B56" s="302"/>
      <c r="C56" s="475"/>
      <c r="D56" s="475"/>
      <c r="E56" s="480"/>
      <c r="F56" s="481"/>
      <c r="G56" s="475"/>
      <c r="H56" s="482"/>
      <c r="I56" s="483"/>
      <c r="J56" s="475"/>
      <c r="K56" s="482"/>
      <c r="L56" s="479"/>
    </row>
    <row r="57" spans="1:12" ht="13.15" customHeight="1" x14ac:dyDescent="0.25">
      <c r="A57" s="303" t="s">
        <v>860</v>
      </c>
      <c r="B57" s="302"/>
      <c r="C57" s="475"/>
      <c r="D57" s="475"/>
      <c r="E57" s="480"/>
      <c r="F57" s="481"/>
      <c r="G57" s="475"/>
      <c r="H57" s="482"/>
      <c r="I57" s="483"/>
      <c r="J57" s="475"/>
      <c r="K57" s="482"/>
      <c r="L57" s="479"/>
    </row>
    <row r="58" spans="1:12" ht="13.15" customHeight="1" x14ac:dyDescent="0.25">
      <c r="A58" s="303" t="s">
        <v>861</v>
      </c>
      <c r="B58" s="302"/>
      <c r="C58" s="475"/>
      <c r="D58" s="475"/>
      <c r="E58" s="480"/>
      <c r="F58" s="481"/>
      <c r="G58" s="475"/>
      <c r="H58" s="482"/>
      <c r="I58" s="483"/>
      <c r="J58" s="475"/>
      <c r="K58" s="482"/>
      <c r="L58" s="474"/>
    </row>
    <row r="59" spans="1:12" ht="13.15" customHeight="1" x14ac:dyDescent="0.25">
      <c r="A59" s="303" t="s">
        <v>867</v>
      </c>
      <c r="B59" s="302"/>
      <c r="C59" s="475"/>
      <c r="D59" s="475"/>
      <c r="E59" s="480"/>
      <c r="F59" s="481"/>
      <c r="G59" s="475"/>
      <c r="H59" s="482"/>
      <c r="I59" s="483"/>
      <c r="J59" s="475"/>
      <c r="K59" s="482"/>
      <c r="L59" s="479"/>
    </row>
    <row r="60" spans="1:12" ht="13.15" customHeight="1" x14ac:dyDescent="0.25">
      <c r="A60" s="303" t="s">
        <v>870</v>
      </c>
      <c r="B60" s="302"/>
      <c r="C60" s="475"/>
      <c r="D60" s="475"/>
      <c r="E60" s="480"/>
      <c r="F60" s="481"/>
      <c r="G60" s="475"/>
      <c r="H60" s="482"/>
      <c r="I60" s="483"/>
      <c r="J60" s="475"/>
      <c r="K60" s="482"/>
      <c r="L60" s="479"/>
    </row>
    <row r="61" spans="1:12" ht="13.15" customHeight="1" x14ac:dyDescent="0.25">
      <c r="A61" s="303" t="s">
        <v>857</v>
      </c>
      <c r="B61" s="302"/>
      <c r="C61" s="475"/>
      <c r="D61" s="475"/>
      <c r="E61" s="480"/>
      <c r="F61" s="481"/>
      <c r="G61" s="475"/>
      <c r="H61" s="482"/>
      <c r="I61" s="483"/>
      <c r="J61" s="475"/>
      <c r="K61" s="482"/>
      <c r="L61" s="479"/>
    </row>
    <row r="62" spans="1:12" ht="13.15" customHeight="1" x14ac:dyDescent="0.25">
      <c r="A62" s="284" t="s">
        <v>897</v>
      </c>
      <c r="B62" s="302"/>
      <c r="C62" s="422">
        <f>SUM(C63:C67)</f>
        <v>0</v>
      </c>
      <c r="D62" s="422">
        <f t="shared" ref="D62:K62" si="8">SUM(D63:D67)</f>
        <v>0</v>
      </c>
      <c r="E62" s="423">
        <f t="shared" si="8"/>
        <v>0</v>
      </c>
      <c r="F62" s="424">
        <f t="shared" si="8"/>
        <v>0</v>
      </c>
      <c r="G62" s="422">
        <f t="shared" si="8"/>
        <v>0</v>
      </c>
      <c r="H62" s="425">
        <f t="shared" si="8"/>
        <v>0</v>
      </c>
      <c r="I62" s="426">
        <f t="shared" si="8"/>
        <v>0</v>
      </c>
      <c r="J62" s="422">
        <f t="shared" si="8"/>
        <v>0</v>
      </c>
      <c r="K62" s="425">
        <f t="shared" si="8"/>
        <v>0</v>
      </c>
      <c r="L62" s="479"/>
    </row>
    <row r="63" spans="1:12" ht="13.15" customHeight="1" x14ac:dyDescent="0.25">
      <c r="A63" s="303" t="s">
        <v>898</v>
      </c>
      <c r="B63" s="302"/>
      <c r="C63" s="475"/>
      <c r="D63" s="475"/>
      <c r="E63" s="480"/>
      <c r="F63" s="481"/>
      <c r="G63" s="475"/>
      <c r="H63" s="482"/>
      <c r="I63" s="483"/>
      <c r="J63" s="475"/>
      <c r="K63" s="482"/>
      <c r="L63" s="479"/>
    </row>
    <row r="64" spans="1:12" ht="13.15" customHeight="1" x14ac:dyDescent="0.25">
      <c r="A64" s="303" t="s">
        <v>899</v>
      </c>
      <c r="B64" s="302"/>
      <c r="C64" s="475"/>
      <c r="D64" s="475"/>
      <c r="E64" s="480"/>
      <c r="F64" s="481"/>
      <c r="G64" s="475"/>
      <c r="H64" s="482"/>
      <c r="I64" s="483"/>
      <c r="J64" s="475"/>
      <c r="K64" s="482"/>
      <c r="L64" s="438"/>
    </row>
    <row r="65" spans="1:12" ht="13.15" customHeight="1" x14ac:dyDescent="0.25">
      <c r="A65" s="303" t="s">
        <v>900</v>
      </c>
      <c r="B65" s="302"/>
      <c r="C65" s="475"/>
      <c r="D65" s="475"/>
      <c r="E65" s="480"/>
      <c r="F65" s="481"/>
      <c r="G65" s="475"/>
      <c r="H65" s="482"/>
      <c r="I65" s="483"/>
      <c r="J65" s="475"/>
      <c r="K65" s="482"/>
      <c r="L65" s="438"/>
    </row>
    <row r="66" spans="1:12" ht="13.15" customHeight="1" x14ac:dyDescent="0.25">
      <c r="A66" s="303" t="s">
        <v>901</v>
      </c>
      <c r="B66" s="302"/>
      <c r="C66" s="475"/>
      <c r="D66" s="475"/>
      <c r="E66" s="480"/>
      <c r="F66" s="481"/>
      <c r="G66" s="475"/>
      <c r="H66" s="482"/>
      <c r="I66" s="483"/>
      <c r="J66" s="475"/>
      <c r="K66" s="482"/>
      <c r="L66" s="438"/>
    </row>
    <row r="67" spans="1:12" ht="13.15" customHeight="1" x14ac:dyDescent="0.25">
      <c r="A67" s="303" t="s">
        <v>857</v>
      </c>
      <c r="B67" s="302"/>
      <c r="C67" s="475"/>
      <c r="D67" s="475"/>
      <c r="E67" s="480"/>
      <c r="F67" s="481"/>
      <c r="G67" s="475"/>
      <c r="H67" s="482"/>
      <c r="I67" s="483"/>
      <c r="J67" s="475"/>
      <c r="K67" s="482"/>
      <c r="L67" s="438"/>
    </row>
    <row r="68" spans="1:12" ht="13.15" customHeight="1" x14ac:dyDescent="0.25">
      <c r="A68" s="285" t="s">
        <v>902</v>
      </c>
      <c r="B68" s="302"/>
      <c r="C68" s="422">
        <f>SUM(C69:C72)</f>
        <v>0</v>
      </c>
      <c r="D68" s="422">
        <f t="shared" ref="D68:K68" si="9">SUM(D69:D72)</f>
        <v>0</v>
      </c>
      <c r="E68" s="422">
        <f t="shared" si="9"/>
        <v>0</v>
      </c>
      <c r="F68" s="424">
        <f t="shared" si="9"/>
        <v>0</v>
      </c>
      <c r="G68" s="422">
        <f t="shared" si="9"/>
        <v>0</v>
      </c>
      <c r="H68" s="425">
        <f t="shared" si="9"/>
        <v>0</v>
      </c>
      <c r="I68" s="426">
        <f t="shared" si="9"/>
        <v>0</v>
      </c>
      <c r="J68" s="422">
        <f t="shared" si="9"/>
        <v>0</v>
      </c>
      <c r="K68" s="425">
        <f t="shared" si="9"/>
        <v>0</v>
      </c>
      <c r="L68" s="438"/>
    </row>
    <row r="69" spans="1:12" ht="13.15" customHeight="1" x14ac:dyDescent="0.25">
      <c r="A69" s="303" t="s">
        <v>903</v>
      </c>
      <c r="B69" s="302"/>
      <c r="C69" s="475"/>
      <c r="D69" s="475"/>
      <c r="E69" s="478"/>
      <c r="F69" s="477"/>
      <c r="G69" s="475"/>
      <c r="H69" s="478"/>
      <c r="I69" s="477"/>
      <c r="J69" s="475"/>
      <c r="K69" s="482"/>
      <c r="L69" s="438"/>
    </row>
    <row r="70" spans="1:12" ht="13.15" customHeight="1" x14ac:dyDescent="0.25">
      <c r="A70" s="303" t="s">
        <v>904</v>
      </c>
      <c r="B70" s="302"/>
      <c r="C70" s="475"/>
      <c r="D70" s="475"/>
      <c r="E70" s="476"/>
      <c r="F70" s="477"/>
      <c r="G70" s="475"/>
      <c r="H70" s="478"/>
      <c r="I70" s="477"/>
      <c r="J70" s="475"/>
      <c r="K70" s="482"/>
      <c r="L70" s="438"/>
    </row>
    <row r="71" spans="1:12" ht="13.15" customHeight="1" x14ac:dyDescent="0.25">
      <c r="A71" s="303" t="s">
        <v>905</v>
      </c>
      <c r="B71" s="302"/>
      <c r="C71" s="475"/>
      <c r="D71" s="475"/>
      <c r="E71" s="476"/>
      <c r="F71" s="477"/>
      <c r="G71" s="475"/>
      <c r="H71" s="478"/>
      <c r="I71" s="477"/>
      <c r="J71" s="475"/>
      <c r="K71" s="476"/>
      <c r="L71" s="438"/>
    </row>
    <row r="72" spans="1:12" ht="13.15" customHeight="1" x14ac:dyDescent="0.25">
      <c r="A72" s="303" t="s">
        <v>857</v>
      </c>
      <c r="B72" s="302"/>
      <c r="C72" s="475"/>
      <c r="D72" s="475"/>
      <c r="E72" s="476"/>
      <c r="F72" s="477"/>
      <c r="G72" s="475"/>
      <c r="H72" s="478"/>
      <c r="I72" s="477"/>
      <c r="J72" s="475"/>
      <c r="K72" s="476"/>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f t="shared" si="10"/>
        <v>0</v>
      </c>
      <c r="F74" s="292">
        <f t="shared" si="10"/>
        <v>27938469</v>
      </c>
      <c r="G74" s="293">
        <f t="shared" si="10"/>
        <v>9438469</v>
      </c>
      <c r="H74" s="291">
        <f t="shared" si="10"/>
        <v>9438469</v>
      </c>
      <c r="I74" s="292">
        <f t="shared" si="10"/>
        <v>12573638.694</v>
      </c>
      <c r="J74" s="293">
        <f t="shared" si="10"/>
        <v>5221172.9513119999</v>
      </c>
      <c r="K74" s="294">
        <f t="shared" si="10"/>
        <v>3375789.5403784961</v>
      </c>
      <c r="L74" s="438"/>
    </row>
    <row r="75" spans="1:12" ht="13.15" customHeight="1" x14ac:dyDescent="0.25">
      <c r="A75" s="285" t="s">
        <v>907</v>
      </c>
      <c r="B75" s="302"/>
      <c r="C75" s="417">
        <f>SUM(C76:C97)</f>
        <v>0</v>
      </c>
      <c r="D75" s="417">
        <f t="shared" ref="D75:K75" si="11">SUM(D76:D97)</f>
        <v>0</v>
      </c>
      <c r="E75" s="418">
        <f t="shared" si="11"/>
        <v>0</v>
      </c>
      <c r="F75" s="419">
        <f t="shared" si="11"/>
        <v>27117280</v>
      </c>
      <c r="G75" s="417">
        <f t="shared" si="11"/>
        <v>8617280</v>
      </c>
      <c r="H75" s="420">
        <f t="shared" si="11"/>
        <v>8617280</v>
      </c>
      <c r="I75" s="419">
        <f t="shared" si="11"/>
        <v>11714675</v>
      </c>
      <c r="J75" s="417">
        <f t="shared" si="11"/>
        <v>4320979</v>
      </c>
      <c r="K75" s="420">
        <f t="shared" si="11"/>
        <v>2432386.2794035198</v>
      </c>
      <c r="L75" s="438"/>
    </row>
    <row r="76" spans="1:12" ht="13.15" customHeight="1" x14ac:dyDescent="0.25">
      <c r="A76" s="303" t="s">
        <v>908</v>
      </c>
      <c r="B76" s="302"/>
      <c r="C76" s="475"/>
      <c r="D76" s="475"/>
      <c r="E76" s="476"/>
      <c r="F76" s="477"/>
      <c r="G76" s="475"/>
      <c r="H76" s="478"/>
      <c r="I76" s="477"/>
      <c r="J76" s="475"/>
      <c r="K76" s="476"/>
      <c r="L76" s="438"/>
    </row>
    <row r="77" spans="1:12" ht="13.15" customHeight="1" x14ac:dyDescent="0.25">
      <c r="A77" s="303" t="s">
        <v>909</v>
      </c>
      <c r="B77" s="302"/>
      <c r="C77" s="475"/>
      <c r="D77" s="475"/>
      <c r="E77" s="476">
        <v>0</v>
      </c>
      <c r="F77" s="477">
        <v>27117280</v>
      </c>
      <c r="G77" s="475">
        <v>8617280</v>
      </c>
      <c r="H77" s="475">
        <v>8617280</v>
      </c>
      <c r="I77" s="477">
        <v>11714675</v>
      </c>
      <c r="J77" s="475">
        <v>4320979</v>
      </c>
      <c r="K77" s="476">
        <v>2432386.2794035198</v>
      </c>
      <c r="L77" s="438"/>
    </row>
    <row r="78" spans="1:12" ht="13.15" customHeight="1" x14ac:dyDescent="0.25">
      <c r="A78" s="303" t="s">
        <v>910</v>
      </c>
      <c r="B78" s="302"/>
      <c r="C78" s="475"/>
      <c r="D78" s="475"/>
      <c r="E78" s="476"/>
      <c r="F78" s="477"/>
      <c r="G78" s="475"/>
      <c r="H78" s="478"/>
      <c r="I78" s="477"/>
      <c r="J78" s="475"/>
      <c r="K78" s="476"/>
      <c r="L78" s="438"/>
    </row>
    <row r="79" spans="1:12" ht="13.15" customHeight="1" x14ac:dyDescent="0.25">
      <c r="A79" s="303" t="s">
        <v>911</v>
      </c>
      <c r="B79" s="302"/>
      <c r="C79" s="475"/>
      <c r="D79" s="475"/>
      <c r="E79" s="476"/>
      <c r="F79" s="477"/>
      <c r="G79" s="475"/>
      <c r="H79" s="478"/>
      <c r="I79" s="477"/>
      <c r="J79" s="475"/>
      <c r="K79" s="476"/>
      <c r="L79" s="438"/>
    </row>
    <row r="80" spans="1:12" ht="13.15" customHeight="1" x14ac:dyDescent="0.25">
      <c r="A80" s="303" t="s">
        <v>912</v>
      </c>
      <c r="B80" s="302"/>
      <c r="C80" s="475"/>
      <c r="D80" s="475"/>
      <c r="E80" s="476"/>
      <c r="F80" s="477"/>
      <c r="G80" s="475"/>
      <c r="H80" s="478"/>
      <c r="I80" s="477"/>
      <c r="J80" s="475"/>
      <c r="K80" s="476"/>
      <c r="L80" s="438"/>
    </row>
    <row r="81" spans="1:12" ht="13.15" customHeight="1" x14ac:dyDescent="0.25">
      <c r="A81" s="303" t="s">
        <v>913</v>
      </c>
      <c r="B81" s="302"/>
      <c r="C81" s="475"/>
      <c r="D81" s="475"/>
      <c r="E81" s="476"/>
      <c r="F81" s="477"/>
      <c r="G81" s="475"/>
      <c r="H81" s="478"/>
      <c r="I81" s="477"/>
      <c r="J81" s="475"/>
      <c r="K81" s="476"/>
      <c r="L81" s="438"/>
    </row>
    <row r="82" spans="1:12" ht="13.15" customHeight="1" x14ac:dyDescent="0.25">
      <c r="A82" s="303" t="s">
        <v>914</v>
      </c>
      <c r="B82" s="302"/>
      <c r="C82" s="475"/>
      <c r="D82" s="475"/>
      <c r="E82" s="476"/>
      <c r="F82" s="477"/>
      <c r="G82" s="475"/>
      <c r="H82" s="478"/>
      <c r="I82" s="477"/>
      <c r="J82" s="475"/>
      <c r="K82" s="476"/>
      <c r="L82" s="438"/>
    </row>
    <row r="83" spans="1:12" ht="13.15" customHeight="1" x14ac:dyDescent="0.25">
      <c r="A83" s="303" t="s">
        <v>915</v>
      </c>
      <c r="B83" s="302"/>
      <c r="C83" s="475"/>
      <c r="D83" s="475"/>
      <c r="E83" s="476"/>
      <c r="F83" s="477"/>
      <c r="G83" s="475"/>
      <c r="H83" s="478"/>
      <c r="I83" s="477"/>
      <c r="J83" s="475"/>
      <c r="K83" s="476"/>
      <c r="L83" s="438"/>
    </row>
    <row r="84" spans="1:12" s="376" customFormat="1" ht="13.15" customHeight="1" x14ac:dyDescent="0.25">
      <c r="A84" s="303" t="s">
        <v>916</v>
      </c>
      <c r="B84" s="302"/>
      <c r="C84" s="475"/>
      <c r="D84" s="475"/>
      <c r="E84" s="476"/>
      <c r="F84" s="477"/>
      <c r="G84" s="475"/>
      <c r="H84" s="478"/>
      <c r="I84" s="477"/>
      <c r="J84" s="475"/>
      <c r="K84" s="476"/>
      <c r="L84" s="484"/>
    </row>
    <row r="85" spans="1:12" s="376" customFormat="1" ht="13.15" customHeight="1" x14ac:dyDescent="0.25">
      <c r="A85" s="303" t="s">
        <v>89</v>
      </c>
      <c r="B85" s="302"/>
      <c r="C85" s="475"/>
      <c r="D85" s="475"/>
      <c r="E85" s="476"/>
      <c r="F85" s="477"/>
      <c r="G85" s="475"/>
      <c r="H85" s="478"/>
      <c r="I85" s="477"/>
      <c r="J85" s="475"/>
      <c r="K85" s="476"/>
    </row>
    <row r="86" spans="1:12" s="376" customFormat="1" ht="13.15" customHeight="1" x14ac:dyDescent="0.25">
      <c r="A86" s="303" t="s">
        <v>917</v>
      </c>
      <c r="B86" s="302"/>
      <c r="C86" s="475"/>
      <c r="D86" s="475"/>
      <c r="E86" s="476"/>
      <c r="F86" s="477"/>
      <c r="G86" s="475"/>
      <c r="H86" s="478"/>
      <c r="I86" s="477"/>
      <c r="J86" s="475"/>
      <c r="K86" s="476"/>
    </row>
    <row r="87" spans="1:12" ht="13.15" customHeight="1" x14ac:dyDescent="0.25">
      <c r="A87" s="303" t="s">
        <v>918</v>
      </c>
      <c r="B87" s="302"/>
      <c r="C87" s="475"/>
      <c r="D87" s="475"/>
      <c r="E87" s="476"/>
      <c r="F87" s="477"/>
      <c r="G87" s="475"/>
      <c r="H87" s="478"/>
      <c r="I87" s="477"/>
      <c r="J87" s="475"/>
      <c r="K87" s="476"/>
    </row>
    <row r="88" spans="1:12" ht="13.15" customHeight="1" x14ac:dyDescent="0.25">
      <c r="A88" s="303" t="s">
        <v>1021</v>
      </c>
      <c r="B88" s="302"/>
      <c r="C88" s="475"/>
      <c r="D88" s="475"/>
      <c r="E88" s="476"/>
      <c r="F88" s="477"/>
      <c r="G88" s="475"/>
      <c r="H88" s="478"/>
      <c r="I88" s="477"/>
      <c r="J88" s="475"/>
      <c r="K88" s="476"/>
    </row>
    <row r="89" spans="1:12" ht="13.15" customHeight="1" x14ac:dyDescent="0.25">
      <c r="A89" s="303" t="s">
        <v>919</v>
      </c>
      <c r="B89" s="302"/>
      <c r="C89" s="475"/>
      <c r="D89" s="475"/>
      <c r="E89" s="476"/>
      <c r="F89" s="477"/>
      <c r="G89" s="475"/>
      <c r="H89" s="478"/>
      <c r="I89" s="477"/>
      <c r="J89" s="475"/>
      <c r="K89" s="476"/>
    </row>
    <row r="90" spans="1:12" ht="13.15" customHeight="1" x14ac:dyDescent="0.25">
      <c r="A90" s="303" t="s">
        <v>920</v>
      </c>
      <c r="B90" s="302"/>
      <c r="C90" s="475"/>
      <c r="D90" s="475"/>
      <c r="E90" s="476"/>
      <c r="F90" s="477"/>
      <c r="G90" s="475"/>
      <c r="H90" s="478"/>
      <c r="I90" s="477"/>
      <c r="J90" s="475"/>
      <c r="K90" s="476"/>
    </row>
    <row r="91" spans="1:12" ht="13.15" customHeight="1" x14ac:dyDescent="0.25">
      <c r="A91" s="303" t="s">
        <v>921</v>
      </c>
      <c r="B91" s="302"/>
      <c r="C91" s="475"/>
      <c r="D91" s="475"/>
      <c r="E91" s="476"/>
      <c r="F91" s="477"/>
      <c r="G91" s="475"/>
      <c r="H91" s="478"/>
      <c r="I91" s="477"/>
      <c r="J91" s="475"/>
      <c r="K91" s="476"/>
    </row>
    <row r="92" spans="1:12" ht="13.15" customHeight="1" x14ac:dyDescent="0.25">
      <c r="A92" s="303" t="s">
        <v>11</v>
      </c>
      <c r="B92" s="302"/>
      <c r="C92" s="475"/>
      <c r="D92" s="475"/>
      <c r="E92" s="476"/>
      <c r="F92" s="477"/>
      <c r="G92" s="475"/>
      <c r="H92" s="478"/>
      <c r="I92" s="477"/>
      <c r="J92" s="475"/>
      <c r="K92" s="476"/>
    </row>
    <row r="93" spans="1:12" ht="13.15" customHeight="1" x14ac:dyDescent="0.25">
      <c r="A93" s="303" t="s">
        <v>922</v>
      </c>
      <c r="B93" s="302"/>
      <c r="C93" s="475"/>
      <c r="D93" s="475"/>
      <c r="E93" s="476"/>
      <c r="F93" s="477"/>
      <c r="G93" s="475"/>
      <c r="H93" s="478"/>
      <c r="I93" s="477"/>
      <c r="J93" s="475"/>
      <c r="K93" s="476"/>
    </row>
    <row r="94" spans="1:12" ht="13.15" customHeight="1" x14ac:dyDescent="0.25">
      <c r="A94" s="303" t="s">
        <v>10</v>
      </c>
      <c r="B94" s="302"/>
      <c r="C94" s="475"/>
      <c r="D94" s="475"/>
      <c r="E94" s="476"/>
      <c r="F94" s="477"/>
      <c r="G94" s="475"/>
      <c r="H94" s="478"/>
      <c r="I94" s="477"/>
      <c r="J94" s="475"/>
      <c r="K94" s="476"/>
    </row>
    <row r="95" spans="1:12" ht="13.15" customHeight="1" x14ac:dyDescent="0.25">
      <c r="A95" s="303" t="s">
        <v>923</v>
      </c>
      <c r="B95" s="302"/>
      <c r="C95" s="475"/>
      <c r="D95" s="475"/>
      <c r="E95" s="476"/>
      <c r="F95" s="477"/>
      <c r="G95" s="475"/>
      <c r="H95" s="478"/>
      <c r="I95" s="477"/>
      <c r="J95" s="475"/>
      <c r="K95" s="476"/>
    </row>
    <row r="96" spans="1:12" ht="13.15" customHeight="1" x14ac:dyDescent="0.25">
      <c r="A96" s="303" t="s">
        <v>924</v>
      </c>
      <c r="B96" s="302"/>
      <c r="C96" s="475"/>
      <c r="D96" s="475"/>
      <c r="E96" s="476"/>
      <c r="F96" s="477"/>
      <c r="G96" s="475"/>
      <c r="H96" s="478"/>
      <c r="I96" s="477"/>
      <c r="J96" s="475"/>
      <c r="K96" s="476"/>
    </row>
    <row r="97" spans="1:11" ht="13.15" customHeight="1" x14ac:dyDescent="0.25">
      <c r="A97" s="303" t="s">
        <v>857</v>
      </c>
      <c r="B97" s="302"/>
      <c r="C97" s="475"/>
      <c r="D97" s="475"/>
      <c r="E97" s="476"/>
      <c r="F97" s="477"/>
      <c r="G97" s="475"/>
      <c r="H97" s="478"/>
      <c r="I97" s="477"/>
      <c r="J97" s="475"/>
      <c r="K97" s="476"/>
    </row>
    <row r="98" spans="1:11" ht="13.15" customHeight="1" x14ac:dyDescent="0.25">
      <c r="A98" s="285" t="s">
        <v>925</v>
      </c>
      <c r="B98" s="302"/>
      <c r="C98" s="422">
        <f>SUM(C99:C101)</f>
        <v>0</v>
      </c>
      <c r="D98" s="422">
        <f t="shared" ref="D98:K98" si="12">SUM(D99:D101)</f>
        <v>0</v>
      </c>
      <c r="E98" s="422">
        <f t="shared" si="12"/>
        <v>0</v>
      </c>
      <c r="F98" s="424">
        <f t="shared" si="12"/>
        <v>821189</v>
      </c>
      <c r="G98" s="422">
        <f t="shared" si="12"/>
        <v>821189</v>
      </c>
      <c r="H98" s="425">
        <f t="shared" si="12"/>
        <v>821189</v>
      </c>
      <c r="I98" s="426">
        <f t="shared" si="12"/>
        <v>858963.69400000002</v>
      </c>
      <c r="J98" s="422">
        <f t="shared" si="12"/>
        <v>900193.95131200005</v>
      </c>
      <c r="K98" s="425">
        <f t="shared" si="12"/>
        <v>943403.260974976</v>
      </c>
    </row>
    <row r="99" spans="1:11" ht="13.15" customHeight="1" x14ac:dyDescent="0.25">
      <c r="A99" s="303" t="s">
        <v>926</v>
      </c>
      <c r="B99" s="302"/>
      <c r="C99" s="475"/>
      <c r="D99" s="475"/>
      <c r="E99" s="478"/>
      <c r="F99" s="477"/>
      <c r="G99" s="475"/>
      <c r="H99" s="478"/>
      <c r="I99" s="477"/>
      <c r="J99" s="475"/>
      <c r="K99" s="482"/>
    </row>
    <row r="100" spans="1:11" ht="13.15" customHeight="1" x14ac:dyDescent="0.25">
      <c r="A100" s="303" t="s">
        <v>927</v>
      </c>
      <c r="B100" s="302"/>
      <c r="C100" s="475"/>
      <c r="D100" s="475"/>
      <c r="E100" s="476"/>
      <c r="F100" s="477">
        <v>821189</v>
      </c>
      <c r="G100" s="475">
        <v>821189</v>
      </c>
      <c r="H100" s="478">
        <v>821189</v>
      </c>
      <c r="I100" s="477">
        <v>858963.69400000002</v>
      </c>
      <c r="J100" s="475">
        <v>900193.95131200005</v>
      </c>
      <c r="K100" s="482">
        <v>943403.260974976</v>
      </c>
    </row>
    <row r="101" spans="1:11" ht="13.15" customHeight="1" x14ac:dyDescent="0.25">
      <c r="A101" s="303" t="s">
        <v>857</v>
      </c>
      <c r="B101" s="302"/>
      <c r="C101" s="475"/>
      <c r="D101" s="475"/>
      <c r="E101" s="476"/>
      <c r="F101" s="477"/>
      <c r="G101" s="475"/>
      <c r="H101" s="478"/>
      <c r="I101" s="477"/>
      <c r="J101" s="475"/>
      <c r="K101" s="476"/>
    </row>
    <row r="102" spans="1:11" ht="5.0999999999999996" customHeight="1" x14ac:dyDescent="0.25">
      <c r="A102" s="305"/>
      <c r="B102" s="302"/>
      <c r="C102" s="25"/>
      <c r="D102" s="25"/>
      <c r="E102" s="306"/>
      <c r="F102" s="307"/>
      <c r="G102" s="25"/>
      <c r="H102" s="24"/>
      <c r="I102" s="307"/>
      <c r="J102" s="25"/>
      <c r="K102" s="306"/>
    </row>
    <row r="103" spans="1:11" ht="13.15" customHeight="1" x14ac:dyDescent="0.25">
      <c r="A103" s="301" t="s">
        <v>185</v>
      </c>
      <c r="B103" s="302"/>
      <c r="C103" s="25">
        <f>SUM(C104:C108)</f>
        <v>0</v>
      </c>
      <c r="D103" s="25">
        <f t="shared" ref="D103:K103" si="13">SUM(D104:D108)</f>
        <v>0</v>
      </c>
      <c r="E103" s="306">
        <f t="shared" si="13"/>
        <v>0</v>
      </c>
      <c r="F103" s="307">
        <f t="shared" si="13"/>
        <v>0</v>
      </c>
      <c r="G103" s="25">
        <f t="shared" si="13"/>
        <v>0</v>
      </c>
      <c r="H103" s="24">
        <f t="shared" si="13"/>
        <v>0</v>
      </c>
      <c r="I103" s="307">
        <f t="shared" si="13"/>
        <v>0</v>
      </c>
      <c r="J103" s="25">
        <f t="shared" si="13"/>
        <v>0</v>
      </c>
      <c r="K103" s="306">
        <f t="shared" si="13"/>
        <v>0</v>
      </c>
    </row>
    <row r="104" spans="1:11" ht="13.15" customHeight="1" x14ac:dyDescent="0.25">
      <c r="A104" s="285" t="s">
        <v>928</v>
      </c>
      <c r="B104" s="302"/>
      <c r="C104" s="485"/>
      <c r="D104" s="485"/>
      <c r="E104" s="486"/>
      <c r="F104" s="487"/>
      <c r="G104" s="485"/>
      <c r="H104" s="488"/>
      <c r="I104" s="487"/>
      <c r="J104" s="485"/>
      <c r="K104" s="486"/>
    </row>
    <row r="105" spans="1:11" ht="13.15" customHeight="1" x14ac:dyDescent="0.25">
      <c r="A105" s="284" t="s">
        <v>929</v>
      </c>
      <c r="B105" s="302"/>
      <c r="C105" s="489"/>
      <c r="D105" s="489"/>
      <c r="E105" s="490"/>
      <c r="F105" s="491"/>
      <c r="G105" s="489"/>
      <c r="H105" s="492"/>
      <c r="I105" s="491"/>
      <c r="J105" s="489"/>
      <c r="K105" s="490"/>
    </row>
    <row r="106" spans="1:11" ht="13.15" customHeight="1" x14ac:dyDescent="0.25">
      <c r="A106" s="285" t="s">
        <v>930</v>
      </c>
      <c r="B106" s="302"/>
      <c r="C106" s="489"/>
      <c r="D106" s="489"/>
      <c r="E106" s="490"/>
      <c r="F106" s="491"/>
      <c r="G106" s="489"/>
      <c r="H106" s="492"/>
      <c r="I106" s="491"/>
      <c r="J106" s="489"/>
      <c r="K106" s="490"/>
    </row>
    <row r="107" spans="1:11" ht="13.15" customHeight="1" x14ac:dyDescent="0.25">
      <c r="A107" s="285" t="s">
        <v>931</v>
      </c>
      <c r="B107" s="302"/>
      <c r="C107" s="489"/>
      <c r="D107" s="489"/>
      <c r="E107" s="490"/>
      <c r="F107" s="491"/>
      <c r="G107" s="489"/>
      <c r="H107" s="492"/>
      <c r="I107" s="491"/>
      <c r="J107" s="489"/>
      <c r="K107" s="490"/>
    </row>
    <row r="108" spans="1:11" ht="13.15" customHeight="1" x14ac:dyDescent="0.25">
      <c r="A108" s="284" t="s">
        <v>932</v>
      </c>
      <c r="B108" s="302"/>
      <c r="C108" s="489"/>
      <c r="D108" s="489"/>
      <c r="E108" s="490"/>
      <c r="F108" s="491"/>
      <c r="G108" s="489"/>
      <c r="H108" s="492"/>
      <c r="I108" s="491"/>
      <c r="J108" s="489"/>
      <c r="K108" s="490"/>
    </row>
    <row r="109" spans="1:11" ht="5.0999999999999996" customHeight="1" x14ac:dyDescent="0.25">
      <c r="A109" s="493"/>
      <c r="B109" s="302"/>
      <c r="C109" s="25"/>
      <c r="D109" s="25"/>
      <c r="E109" s="306"/>
      <c r="F109" s="307"/>
      <c r="G109" s="25"/>
      <c r="H109" s="24"/>
      <c r="I109" s="307"/>
      <c r="J109" s="25"/>
      <c r="K109" s="306"/>
    </row>
    <row r="110" spans="1:11" ht="13.15" customHeight="1" x14ac:dyDescent="0.25">
      <c r="A110" s="494" t="s">
        <v>186</v>
      </c>
      <c r="B110" s="302"/>
      <c r="C110" s="28">
        <f>+C111+C114</f>
        <v>0</v>
      </c>
      <c r="D110" s="28">
        <f t="shared" ref="D110:K110" si="14">+D111+D114</f>
        <v>0</v>
      </c>
      <c r="E110" s="308">
        <f t="shared" si="14"/>
        <v>0</v>
      </c>
      <c r="F110" s="309">
        <f t="shared" si="14"/>
        <v>0</v>
      </c>
      <c r="G110" s="28">
        <f t="shared" si="14"/>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f t="shared" si="15"/>
        <v>0</v>
      </c>
      <c r="F111" s="419">
        <f t="shared" si="15"/>
        <v>0</v>
      </c>
      <c r="G111" s="417">
        <f t="shared" si="15"/>
        <v>0</v>
      </c>
      <c r="H111" s="420">
        <f t="shared" si="15"/>
        <v>0</v>
      </c>
      <c r="I111" s="421">
        <f t="shared" si="15"/>
        <v>0</v>
      </c>
      <c r="J111" s="417">
        <f t="shared" si="15"/>
        <v>0</v>
      </c>
      <c r="K111" s="420">
        <f t="shared" si="15"/>
        <v>0</v>
      </c>
    </row>
    <row r="112" spans="1:11" ht="13.15" customHeight="1" x14ac:dyDescent="0.25">
      <c r="A112" s="303" t="s">
        <v>934</v>
      </c>
      <c r="B112" s="302"/>
      <c r="C112" s="475"/>
      <c r="D112" s="475"/>
      <c r="E112" s="478"/>
      <c r="F112" s="477"/>
      <c r="G112" s="475"/>
      <c r="H112" s="478"/>
      <c r="I112" s="477"/>
      <c r="J112" s="475"/>
      <c r="K112" s="482"/>
    </row>
    <row r="113" spans="1:11" ht="13.15" customHeight="1" x14ac:dyDescent="0.25">
      <c r="A113" s="303" t="s">
        <v>935</v>
      </c>
      <c r="B113" s="302"/>
      <c r="C113" s="475"/>
      <c r="D113" s="475"/>
      <c r="E113" s="476"/>
      <c r="F113" s="477"/>
      <c r="G113" s="475"/>
      <c r="H113" s="478"/>
      <c r="I113" s="477"/>
      <c r="J113" s="475"/>
      <c r="K113" s="482"/>
    </row>
    <row r="114" spans="1:11" ht="13.15" customHeight="1" x14ac:dyDescent="0.25">
      <c r="A114" s="285" t="s">
        <v>936</v>
      </c>
      <c r="B114" s="302"/>
      <c r="C114" s="422">
        <f>SUM(C115:C116)</f>
        <v>0</v>
      </c>
      <c r="D114" s="422">
        <f t="shared" ref="D114:K114" si="16">SUM(D115:D116)</f>
        <v>0</v>
      </c>
      <c r="E114" s="422">
        <f t="shared" si="16"/>
        <v>0</v>
      </c>
      <c r="F114" s="424">
        <f t="shared" si="16"/>
        <v>0</v>
      </c>
      <c r="G114" s="422">
        <f t="shared" si="16"/>
        <v>0</v>
      </c>
      <c r="H114" s="425">
        <f t="shared" si="16"/>
        <v>0</v>
      </c>
      <c r="I114" s="426">
        <f t="shared" si="16"/>
        <v>0</v>
      </c>
      <c r="J114" s="422">
        <f t="shared" si="16"/>
        <v>0</v>
      </c>
      <c r="K114" s="425">
        <f t="shared" si="16"/>
        <v>0</v>
      </c>
    </row>
    <row r="115" spans="1:11" ht="13.15" customHeight="1" x14ac:dyDescent="0.25">
      <c r="A115" s="303" t="s">
        <v>934</v>
      </c>
      <c r="B115" s="302"/>
      <c r="C115" s="475"/>
      <c r="D115" s="475"/>
      <c r="E115" s="478"/>
      <c r="F115" s="477"/>
      <c r="G115" s="475"/>
      <c r="H115" s="478"/>
      <c r="I115" s="477"/>
      <c r="J115" s="475"/>
      <c r="K115" s="482"/>
    </row>
    <row r="116" spans="1:11" ht="13.15" customHeight="1" x14ac:dyDescent="0.25">
      <c r="A116" s="303" t="s">
        <v>935</v>
      </c>
      <c r="B116" s="302"/>
      <c r="C116" s="475"/>
      <c r="D116" s="475"/>
      <c r="E116" s="476"/>
      <c r="F116" s="477"/>
      <c r="G116" s="475"/>
      <c r="H116" s="478"/>
      <c r="I116" s="477"/>
      <c r="J116" s="475"/>
      <c r="K116" s="482"/>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4085858.99</v>
      </c>
      <c r="D118" s="28">
        <f t="shared" ref="D118:K118" si="17">+D119+D131</f>
        <v>5264505.63</v>
      </c>
      <c r="E118" s="308">
        <f t="shared" si="17"/>
        <v>3455539.72</v>
      </c>
      <c r="F118" s="309">
        <f t="shared" si="17"/>
        <v>0</v>
      </c>
      <c r="G118" s="28">
        <f t="shared" si="17"/>
        <v>0</v>
      </c>
      <c r="H118" s="27">
        <f t="shared" si="17"/>
        <v>0</v>
      </c>
      <c r="I118" s="309">
        <f t="shared" si="17"/>
        <v>0</v>
      </c>
      <c r="J118" s="28">
        <f t="shared" si="17"/>
        <v>0</v>
      </c>
      <c r="K118" s="308">
        <f t="shared" si="17"/>
        <v>0</v>
      </c>
    </row>
    <row r="119" spans="1:11" ht="13.15" customHeight="1" x14ac:dyDescent="0.25">
      <c r="A119" s="285" t="s">
        <v>937</v>
      </c>
      <c r="B119" s="302"/>
      <c r="C119" s="417">
        <f>SUM(C120:C130)</f>
        <v>4085858.99</v>
      </c>
      <c r="D119" s="417">
        <f t="shared" ref="D119:K119" si="18">SUM(D120:D130)</f>
        <v>5264505.63</v>
      </c>
      <c r="E119" s="417">
        <f t="shared" si="18"/>
        <v>3455539.72</v>
      </c>
      <c r="F119" s="419">
        <f t="shared" si="18"/>
        <v>0</v>
      </c>
      <c r="G119" s="417">
        <f t="shared" si="18"/>
        <v>0</v>
      </c>
      <c r="H119" s="420">
        <f t="shared" si="18"/>
        <v>0</v>
      </c>
      <c r="I119" s="421">
        <f t="shared" si="18"/>
        <v>0</v>
      </c>
      <c r="J119" s="417">
        <f t="shared" si="18"/>
        <v>0</v>
      </c>
      <c r="K119" s="420">
        <f t="shared" si="18"/>
        <v>0</v>
      </c>
    </row>
    <row r="120" spans="1:11" ht="13.15" customHeight="1" x14ac:dyDescent="0.25">
      <c r="A120" s="303" t="s">
        <v>938</v>
      </c>
      <c r="B120" s="302"/>
      <c r="C120" s="475">
        <v>3814681.47</v>
      </c>
      <c r="D120" s="475">
        <v>4627982.5</v>
      </c>
      <c r="E120" s="478">
        <v>3455539.72</v>
      </c>
      <c r="F120" s="477"/>
      <c r="G120" s="475"/>
      <c r="H120" s="478"/>
      <c r="I120" s="477"/>
      <c r="J120" s="475"/>
      <c r="K120" s="482"/>
    </row>
    <row r="121" spans="1:11" ht="13.15" customHeight="1" x14ac:dyDescent="0.25">
      <c r="A121" s="303" t="s">
        <v>939</v>
      </c>
      <c r="B121" s="302"/>
      <c r="C121" s="475"/>
      <c r="D121" s="475"/>
      <c r="E121" s="478"/>
      <c r="F121" s="477"/>
      <c r="G121" s="475"/>
      <c r="H121" s="478"/>
      <c r="I121" s="477"/>
      <c r="J121" s="475"/>
      <c r="K121" s="482"/>
    </row>
    <row r="122" spans="1:11" ht="13.15" customHeight="1" x14ac:dyDescent="0.25">
      <c r="A122" s="303" t="s">
        <v>940</v>
      </c>
      <c r="B122" s="302"/>
      <c r="C122" s="475"/>
      <c r="D122" s="475"/>
      <c r="E122" s="478"/>
      <c r="F122" s="477"/>
      <c r="G122" s="475"/>
      <c r="H122" s="478"/>
      <c r="I122" s="477"/>
      <c r="J122" s="475"/>
      <c r="K122" s="482"/>
    </row>
    <row r="123" spans="1:11" ht="13.15" customHeight="1" x14ac:dyDescent="0.25">
      <c r="A123" s="303" t="s">
        <v>941</v>
      </c>
      <c r="B123" s="302"/>
      <c r="C123" s="475"/>
      <c r="D123" s="475"/>
      <c r="E123" s="478"/>
      <c r="F123" s="477"/>
      <c r="G123" s="475"/>
      <c r="H123" s="478"/>
      <c r="I123" s="477"/>
      <c r="J123" s="475"/>
      <c r="K123" s="482"/>
    </row>
    <row r="124" spans="1:11" ht="13.15" customHeight="1" x14ac:dyDescent="0.25">
      <c r="A124" s="303" t="s">
        <v>942</v>
      </c>
      <c r="B124" s="302"/>
      <c r="C124" s="475"/>
      <c r="D124" s="475"/>
      <c r="E124" s="478"/>
      <c r="F124" s="477"/>
      <c r="G124" s="475"/>
      <c r="H124" s="478"/>
      <c r="I124" s="477"/>
      <c r="J124" s="475"/>
      <c r="K124" s="482"/>
    </row>
    <row r="125" spans="1:11" ht="13.15" customHeight="1" x14ac:dyDescent="0.25">
      <c r="A125" s="303" t="s">
        <v>943</v>
      </c>
      <c r="B125" s="302"/>
      <c r="C125" s="475"/>
      <c r="D125" s="475"/>
      <c r="E125" s="478"/>
      <c r="F125" s="477"/>
      <c r="G125" s="475"/>
      <c r="H125" s="478"/>
      <c r="I125" s="477"/>
      <c r="J125" s="475"/>
      <c r="K125" s="482"/>
    </row>
    <row r="126" spans="1:11" ht="13.15" customHeight="1" x14ac:dyDescent="0.25">
      <c r="A126" s="303" t="s">
        <v>944</v>
      </c>
      <c r="B126" s="302"/>
      <c r="C126" s="475"/>
      <c r="D126" s="475"/>
      <c r="E126" s="478"/>
      <c r="F126" s="477"/>
      <c r="G126" s="475"/>
      <c r="H126" s="478"/>
      <c r="I126" s="477"/>
      <c r="J126" s="475"/>
      <c r="K126" s="482"/>
    </row>
    <row r="127" spans="1:11" ht="13.15" customHeight="1" x14ac:dyDescent="0.25">
      <c r="A127" s="303" t="s">
        <v>945</v>
      </c>
      <c r="B127" s="302"/>
      <c r="C127" s="475">
        <v>271177.52</v>
      </c>
      <c r="D127" s="475">
        <v>636523.13</v>
      </c>
      <c r="E127" s="478"/>
      <c r="F127" s="477"/>
      <c r="G127" s="475"/>
      <c r="H127" s="478"/>
      <c r="I127" s="477"/>
      <c r="J127" s="475"/>
      <c r="K127" s="482"/>
    </row>
    <row r="128" spans="1:11" ht="13.15" customHeight="1" x14ac:dyDescent="0.25">
      <c r="A128" s="303" t="s">
        <v>946</v>
      </c>
      <c r="B128" s="302"/>
      <c r="C128" s="475"/>
      <c r="D128" s="475"/>
      <c r="E128" s="478"/>
      <c r="F128" s="477"/>
      <c r="G128" s="475"/>
      <c r="H128" s="478"/>
      <c r="I128" s="477"/>
      <c r="J128" s="475"/>
      <c r="K128" s="482"/>
    </row>
    <row r="129" spans="1:11" ht="13.15" customHeight="1" x14ac:dyDescent="0.25">
      <c r="A129" s="303" t="s">
        <v>947</v>
      </c>
      <c r="B129" s="302"/>
      <c r="C129" s="475"/>
      <c r="D129" s="475"/>
      <c r="E129" s="478"/>
      <c r="F129" s="477"/>
      <c r="G129" s="475"/>
      <c r="H129" s="478"/>
      <c r="I129" s="477"/>
      <c r="J129" s="475"/>
      <c r="K129" s="482"/>
    </row>
    <row r="130" spans="1:11" ht="13.15" customHeight="1" x14ac:dyDescent="0.25">
      <c r="A130" s="303" t="s">
        <v>857</v>
      </c>
      <c r="B130" s="302"/>
      <c r="C130" s="475"/>
      <c r="D130" s="475"/>
      <c r="E130" s="478"/>
      <c r="F130" s="477"/>
      <c r="G130" s="475"/>
      <c r="H130" s="478"/>
      <c r="I130" s="477"/>
      <c r="J130" s="475"/>
      <c r="K130" s="482"/>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475"/>
      <c r="D132" s="475"/>
      <c r="E132" s="478"/>
      <c r="F132" s="477"/>
      <c r="G132" s="475"/>
      <c r="H132" s="478"/>
      <c r="I132" s="477"/>
      <c r="J132" s="475"/>
      <c r="K132" s="482"/>
    </row>
    <row r="133" spans="1:11" ht="13.15" customHeight="1" x14ac:dyDescent="0.25">
      <c r="A133" s="303" t="s">
        <v>950</v>
      </c>
      <c r="B133" s="302"/>
      <c r="C133" s="475"/>
      <c r="D133" s="475"/>
      <c r="E133" s="478"/>
      <c r="F133" s="477"/>
      <c r="G133" s="475"/>
      <c r="H133" s="478"/>
      <c r="I133" s="477"/>
      <c r="J133" s="475"/>
      <c r="K133" s="482"/>
    </row>
    <row r="134" spans="1:11" ht="13.15" customHeight="1" x14ac:dyDescent="0.25">
      <c r="A134" s="303" t="s">
        <v>857</v>
      </c>
      <c r="B134" s="302"/>
      <c r="C134" s="475"/>
      <c r="D134" s="475"/>
      <c r="E134" s="478"/>
      <c r="F134" s="477"/>
      <c r="G134" s="475"/>
      <c r="H134" s="478"/>
      <c r="I134" s="477"/>
      <c r="J134" s="475"/>
      <c r="K134" s="482"/>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25">
        <f t="shared" ref="C136:K136" si="20">SUM(C137:C137)</f>
        <v>0</v>
      </c>
      <c r="D136" s="25">
        <f t="shared" si="20"/>
        <v>0</v>
      </c>
      <c r="E136" s="306">
        <f t="shared" si="20"/>
        <v>0</v>
      </c>
      <c r="F136" s="307">
        <f t="shared" si="20"/>
        <v>0</v>
      </c>
      <c r="G136" s="25">
        <f t="shared" si="20"/>
        <v>0</v>
      </c>
      <c r="H136" s="24">
        <f t="shared" si="20"/>
        <v>0</v>
      </c>
      <c r="I136" s="307">
        <f t="shared" si="20"/>
        <v>0</v>
      </c>
      <c r="J136" s="25">
        <f t="shared" si="20"/>
        <v>0</v>
      </c>
      <c r="K136" s="306">
        <f t="shared" si="20"/>
        <v>0</v>
      </c>
    </row>
    <row r="137" spans="1:11" ht="13.15" customHeight="1" x14ac:dyDescent="0.25">
      <c r="A137" s="285" t="s">
        <v>951</v>
      </c>
      <c r="B137" s="302"/>
      <c r="C137" s="495"/>
      <c r="D137" s="495"/>
      <c r="E137" s="496"/>
      <c r="F137" s="497"/>
      <c r="G137" s="495"/>
      <c r="H137" s="498"/>
      <c r="I137" s="497"/>
      <c r="J137" s="495"/>
      <c r="K137" s="496"/>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25">
        <f>+C140+C141</f>
        <v>0</v>
      </c>
      <c r="D139" s="25">
        <f t="shared" ref="D139:K139" si="21">+D140+D141</f>
        <v>0</v>
      </c>
      <c r="E139" s="306">
        <f t="shared" si="21"/>
        <v>7098773.0700000003</v>
      </c>
      <c r="F139" s="307">
        <f t="shared" si="21"/>
        <v>0</v>
      </c>
      <c r="G139" s="25">
        <f t="shared" si="21"/>
        <v>0</v>
      </c>
      <c r="H139" s="24">
        <f t="shared" si="21"/>
        <v>0</v>
      </c>
      <c r="I139" s="307">
        <f t="shared" si="21"/>
        <v>0</v>
      </c>
      <c r="J139" s="25">
        <f t="shared" si="21"/>
        <v>0</v>
      </c>
      <c r="K139" s="306">
        <f t="shared" si="21"/>
        <v>0</v>
      </c>
    </row>
    <row r="140" spans="1:11" ht="13.15" customHeight="1" x14ac:dyDescent="0.25">
      <c r="A140" s="284" t="s">
        <v>953</v>
      </c>
      <c r="B140" s="302"/>
      <c r="C140" s="495"/>
      <c r="D140" s="495"/>
      <c r="E140" s="496"/>
      <c r="F140" s="497"/>
      <c r="G140" s="495"/>
      <c r="H140" s="498"/>
      <c r="I140" s="497"/>
      <c r="J140" s="495"/>
      <c r="K140" s="496"/>
    </row>
    <row r="141" spans="1:11" ht="13.15" customHeight="1" x14ac:dyDescent="0.25">
      <c r="A141" s="284" t="s">
        <v>954</v>
      </c>
      <c r="B141" s="302"/>
      <c r="C141" s="422">
        <f>SUM(C142:C147)</f>
        <v>0</v>
      </c>
      <c r="D141" s="422">
        <f t="shared" ref="D141:K141" si="22">SUM(D142:D147)</f>
        <v>0</v>
      </c>
      <c r="E141" s="422">
        <f t="shared" si="22"/>
        <v>7098773.0700000003</v>
      </c>
      <c r="F141" s="424">
        <f t="shared" si="22"/>
        <v>0</v>
      </c>
      <c r="G141" s="422">
        <f t="shared" si="22"/>
        <v>0</v>
      </c>
      <c r="H141" s="425">
        <f t="shared" si="22"/>
        <v>0</v>
      </c>
      <c r="I141" s="426">
        <f t="shared" si="22"/>
        <v>0</v>
      </c>
      <c r="J141" s="422">
        <f t="shared" si="22"/>
        <v>0</v>
      </c>
      <c r="K141" s="425">
        <f t="shared" si="22"/>
        <v>0</v>
      </c>
    </row>
    <row r="142" spans="1:11" ht="13.15" customHeight="1" x14ac:dyDescent="0.25">
      <c r="A142" s="303" t="s">
        <v>955</v>
      </c>
      <c r="B142" s="302"/>
      <c r="C142" s="475"/>
      <c r="D142" s="475"/>
      <c r="E142" s="478"/>
      <c r="F142" s="477"/>
      <c r="G142" s="475"/>
      <c r="H142" s="478"/>
      <c r="I142" s="477"/>
      <c r="J142" s="475"/>
      <c r="K142" s="482"/>
    </row>
    <row r="143" spans="1:11" ht="13.15" customHeight="1" x14ac:dyDescent="0.25">
      <c r="A143" s="303" t="s">
        <v>956</v>
      </c>
      <c r="B143" s="302"/>
      <c r="C143" s="475"/>
      <c r="D143" s="475"/>
      <c r="E143" s="478"/>
      <c r="F143" s="477"/>
      <c r="G143" s="475"/>
      <c r="H143" s="478"/>
      <c r="I143" s="477"/>
      <c r="J143" s="475"/>
      <c r="K143" s="482"/>
    </row>
    <row r="144" spans="1:11" ht="13.15" customHeight="1" x14ac:dyDescent="0.25">
      <c r="A144" s="303" t="s">
        <v>957</v>
      </c>
      <c r="B144" s="302"/>
      <c r="C144" s="475"/>
      <c r="D144" s="475"/>
      <c r="E144" s="478"/>
      <c r="F144" s="477"/>
      <c r="G144" s="475"/>
      <c r="H144" s="478"/>
      <c r="I144" s="477"/>
      <c r="J144" s="475"/>
      <c r="K144" s="482"/>
    </row>
    <row r="145" spans="1:11" ht="13.15" customHeight="1" x14ac:dyDescent="0.25">
      <c r="A145" s="303" t="s">
        <v>958</v>
      </c>
      <c r="B145" s="302"/>
      <c r="C145" s="475"/>
      <c r="D145" s="475"/>
      <c r="E145" s="478"/>
      <c r="F145" s="477"/>
      <c r="G145" s="475"/>
      <c r="H145" s="478"/>
      <c r="I145" s="477"/>
      <c r="J145" s="475"/>
      <c r="K145" s="482"/>
    </row>
    <row r="146" spans="1:11" ht="13.15" customHeight="1" x14ac:dyDescent="0.25">
      <c r="A146" s="303" t="s">
        <v>959</v>
      </c>
      <c r="B146" s="302"/>
      <c r="C146" s="475"/>
      <c r="D146" s="475"/>
      <c r="E146" s="478"/>
      <c r="F146" s="477"/>
      <c r="G146" s="475"/>
      <c r="H146" s="478"/>
      <c r="I146" s="477"/>
      <c r="J146" s="475"/>
      <c r="K146" s="482"/>
    </row>
    <row r="147" spans="1:11" ht="13.15" customHeight="1" x14ac:dyDescent="0.25">
      <c r="A147" s="303" t="s">
        <v>960</v>
      </c>
      <c r="B147" s="302"/>
      <c r="C147" s="475"/>
      <c r="D147" s="475"/>
      <c r="E147" s="478">
        <v>7098773.0700000003</v>
      </c>
      <c r="F147" s="477"/>
      <c r="G147" s="475"/>
      <c r="H147" s="478"/>
      <c r="I147" s="477"/>
      <c r="J147" s="475"/>
      <c r="K147" s="482"/>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25">
        <f t="shared" ref="C149:K149" si="23">SUM(C150:C150)</f>
        <v>0</v>
      </c>
      <c r="D149" s="25">
        <f t="shared" si="23"/>
        <v>10313218.279999999</v>
      </c>
      <c r="E149" s="306">
        <f t="shared" si="23"/>
        <v>11449225.390000001</v>
      </c>
      <c r="F149" s="307">
        <f t="shared" si="23"/>
        <v>10425048</v>
      </c>
      <c r="G149" s="25">
        <f t="shared" si="23"/>
        <v>5425048</v>
      </c>
      <c r="H149" s="24">
        <f t="shared" si="23"/>
        <v>5425048</v>
      </c>
      <c r="I149" s="307">
        <f t="shared" si="23"/>
        <v>10174600</v>
      </c>
      <c r="J149" s="25">
        <f t="shared" si="23"/>
        <v>10659981</v>
      </c>
      <c r="K149" s="306">
        <f t="shared" si="23"/>
        <v>11168522</v>
      </c>
    </row>
    <row r="150" spans="1:11" ht="13.15" customHeight="1" x14ac:dyDescent="0.25">
      <c r="A150" s="285" t="s">
        <v>961</v>
      </c>
      <c r="B150" s="302"/>
      <c r="C150" s="495"/>
      <c r="D150" s="495">
        <v>10313218.279999999</v>
      </c>
      <c r="E150" s="496">
        <v>11449225.390000001</v>
      </c>
      <c r="F150" s="497">
        <v>10425048</v>
      </c>
      <c r="G150" s="495">
        <v>5425048</v>
      </c>
      <c r="H150" s="495">
        <v>5425048</v>
      </c>
      <c r="I150" s="497">
        <v>10174600</v>
      </c>
      <c r="J150" s="497">
        <v>10659981</v>
      </c>
      <c r="K150" s="496">
        <v>11168522</v>
      </c>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25">
        <f t="shared" ref="C152:K152" si="24">SUM(C153:C153)</f>
        <v>516139.69</v>
      </c>
      <c r="D152" s="25">
        <f t="shared" si="24"/>
        <v>2644237.19</v>
      </c>
      <c r="E152" s="306">
        <f t="shared" si="24"/>
        <v>2630856.61</v>
      </c>
      <c r="F152" s="307">
        <f t="shared" si="24"/>
        <v>209366</v>
      </c>
      <c r="G152" s="25">
        <f t="shared" si="24"/>
        <v>209366</v>
      </c>
      <c r="H152" s="24">
        <f t="shared" si="24"/>
        <v>209366</v>
      </c>
      <c r="I152" s="307">
        <f t="shared" si="24"/>
        <v>218996.83600000001</v>
      </c>
      <c r="J152" s="25">
        <f t="shared" si="24"/>
        <v>229508.68412800002</v>
      </c>
      <c r="K152" s="306">
        <f t="shared" si="24"/>
        <v>240525.10096614403</v>
      </c>
    </row>
    <row r="153" spans="1:11" ht="13.15" customHeight="1" x14ac:dyDescent="0.25">
      <c r="A153" s="285" t="s">
        <v>962</v>
      </c>
      <c r="B153" s="302"/>
      <c r="C153" s="495">
        <v>516139.69</v>
      </c>
      <c r="D153" s="495">
        <v>2644237.19</v>
      </c>
      <c r="E153" s="496">
        <v>2630856.61</v>
      </c>
      <c r="F153" s="497">
        <v>209366</v>
      </c>
      <c r="G153" s="495">
        <v>209366</v>
      </c>
      <c r="H153" s="495">
        <v>209366</v>
      </c>
      <c r="I153" s="497">
        <v>218996.83600000001</v>
      </c>
      <c r="J153" s="495">
        <v>229508.68412800002</v>
      </c>
      <c r="K153" s="496">
        <v>240525.10096614403</v>
      </c>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25">
        <f t="shared" ref="C155:K155" si="25">SUM(C156:C156)</f>
        <v>0</v>
      </c>
      <c r="D155" s="25">
        <f t="shared" si="25"/>
        <v>0</v>
      </c>
      <c r="E155" s="306">
        <f t="shared" si="25"/>
        <v>0</v>
      </c>
      <c r="F155" s="307">
        <f t="shared" si="25"/>
        <v>2000000</v>
      </c>
      <c r="G155" s="25">
        <f t="shared" si="25"/>
        <v>0</v>
      </c>
      <c r="H155" s="24">
        <f t="shared" si="25"/>
        <v>0</v>
      </c>
      <c r="I155" s="307">
        <f t="shared" si="25"/>
        <v>1000000</v>
      </c>
      <c r="J155" s="25">
        <f t="shared" si="25"/>
        <v>1048000</v>
      </c>
      <c r="K155" s="306">
        <f t="shared" si="25"/>
        <v>1098304</v>
      </c>
    </row>
    <row r="156" spans="1:11" ht="13.15" customHeight="1" x14ac:dyDescent="0.25">
      <c r="A156" s="285" t="s">
        <v>963</v>
      </c>
      <c r="B156" s="302"/>
      <c r="C156" s="495"/>
      <c r="D156" s="495"/>
      <c r="E156" s="496">
        <v>0</v>
      </c>
      <c r="F156" s="497">
        <v>2000000</v>
      </c>
      <c r="G156" s="495">
        <v>0</v>
      </c>
      <c r="H156" s="495">
        <v>0</v>
      </c>
      <c r="I156" s="497">
        <v>1000000</v>
      </c>
      <c r="J156" s="495">
        <v>1048000</v>
      </c>
      <c r="K156" s="496">
        <v>1098304</v>
      </c>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25">
        <f t="shared" ref="C158:K158" si="26">SUM(C159:C159)</f>
        <v>0</v>
      </c>
      <c r="D158" s="25">
        <f t="shared" si="26"/>
        <v>0</v>
      </c>
      <c r="E158" s="306">
        <f t="shared" si="26"/>
        <v>1624433.39</v>
      </c>
      <c r="F158" s="307">
        <f t="shared" si="26"/>
        <v>5280000</v>
      </c>
      <c r="G158" s="25">
        <f t="shared" si="26"/>
        <v>1000000</v>
      </c>
      <c r="H158" s="24">
        <f t="shared" si="26"/>
        <v>1000000</v>
      </c>
      <c r="I158" s="307">
        <f t="shared" si="26"/>
        <v>5000000</v>
      </c>
      <c r="J158" s="25">
        <f t="shared" si="26"/>
        <v>5240000</v>
      </c>
      <c r="K158" s="306">
        <f t="shared" si="26"/>
        <v>5491520</v>
      </c>
    </row>
    <row r="159" spans="1:11" ht="13.15" customHeight="1" x14ac:dyDescent="0.25">
      <c r="A159" s="285" t="s">
        <v>964</v>
      </c>
      <c r="B159" s="302"/>
      <c r="C159" s="495"/>
      <c r="D159" s="495"/>
      <c r="E159" s="496">
        <v>1624433.39</v>
      </c>
      <c r="F159" s="497">
        <v>5280000</v>
      </c>
      <c r="G159" s="495">
        <v>1000000</v>
      </c>
      <c r="H159" s="495">
        <v>1000000</v>
      </c>
      <c r="I159" s="497">
        <v>5000000</v>
      </c>
      <c r="J159" s="495">
        <v>5240000</v>
      </c>
      <c r="K159" s="496">
        <v>5491520</v>
      </c>
    </row>
    <row r="160" spans="1:11" ht="5.0999999999999996" customHeight="1" x14ac:dyDescent="0.25">
      <c r="A160" s="305"/>
      <c r="B160" s="302"/>
      <c r="C160" s="25"/>
      <c r="D160" s="25"/>
      <c r="E160" s="306"/>
      <c r="F160" s="307"/>
      <c r="G160" s="25"/>
      <c r="H160" s="24"/>
      <c r="I160" s="307"/>
      <c r="J160" s="25"/>
      <c r="K160" s="306"/>
    </row>
    <row r="161" spans="1:11" ht="13.15" customHeight="1" x14ac:dyDescent="0.25">
      <c r="A161" s="301" t="s">
        <v>979</v>
      </c>
      <c r="B161" s="302"/>
      <c r="C161" s="25">
        <f t="shared" ref="C161:K161" si="27">SUM(C162:C162)</f>
        <v>0</v>
      </c>
      <c r="D161" s="25">
        <f t="shared" si="27"/>
        <v>0</v>
      </c>
      <c r="E161" s="306">
        <f t="shared" si="27"/>
        <v>0</v>
      </c>
      <c r="F161" s="307">
        <f t="shared" si="27"/>
        <v>0</v>
      </c>
      <c r="G161" s="25">
        <f t="shared" si="27"/>
        <v>0</v>
      </c>
      <c r="H161" s="24">
        <f t="shared" si="27"/>
        <v>0</v>
      </c>
      <c r="I161" s="307">
        <f t="shared" si="27"/>
        <v>0</v>
      </c>
      <c r="J161" s="25">
        <f t="shared" si="27"/>
        <v>0</v>
      </c>
      <c r="K161" s="306">
        <f t="shared" si="27"/>
        <v>0</v>
      </c>
    </row>
    <row r="162" spans="1:11" ht="13.15" customHeight="1" x14ac:dyDescent="0.25">
      <c r="A162" s="285" t="s">
        <v>979</v>
      </c>
      <c r="B162" s="302"/>
      <c r="C162" s="495"/>
      <c r="D162" s="495"/>
      <c r="E162" s="496"/>
      <c r="F162" s="497"/>
      <c r="G162" s="495"/>
      <c r="H162" s="498"/>
      <c r="I162" s="497"/>
      <c r="J162" s="495"/>
      <c r="K162" s="496"/>
    </row>
    <row r="163" spans="1:11" ht="5.0999999999999996" customHeight="1" x14ac:dyDescent="0.25">
      <c r="A163" s="305"/>
      <c r="B163" s="302"/>
      <c r="C163" s="25"/>
      <c r="D163" s="25"/>
      <c r="E163" s="306"/>
      <c r="F163" s="307"/>
      <c r="G163" s="25"/>
      <c r="H163" s="24"/>
      <c r="I163" s="307"/>
      <c r="J163" s="25"/>
      <c r="K163" s="306"/>
    </row>
    <row r="164" spans="1:11" ht="13.15" customHeight="1" x14ac:dyDescent="0.25">
      <c r="A164" s="301" t="s">
        <v>965</v>
      </c>
      <c r="B164" s="302"/>
      <c r="C164" s="25">
        <f t="shared" ref="C164:K164" si="28">SUM(C165:C165)</f>
        <v>0</v>
      </c>
      <c r="D164" s="25">
        <f t="shared" si="28"/>
        <v>0</v>
      </c>
      <c r="E164" s="306">
        <f t="shared" si="28"/>
        <v>0</v>
      </c>
      <c r="F164" s="307">
        <f t="shared" si="28"/>
        <v>0</v>
      </c>
      <c r="G164" s="25">
        <f t="shared" si="28"/>
        <v>0</v>
      </c>
      <c r="H164" s="24">
        <f t="shared" si="28"/>
        <v>0</v>
      </c>
      <c r="I164" s="307">
        <f t="shared" si="28"/>
        <v>0</v>
      </c>
      <c r="J164" s="25">
        <f t="shared" si="28"/>
        <v>0</v>
      </c>
      <c r="K164" s="306">
        <f t="shared" si="28"/>
        <v>0</v>
      </c>
    </row>
    <row r="165" spans="1:11" ht="13.15" customHeight="1" x14ac:dyDescent="0.25">
      <c r="A165" s="285" t="s">
        <v>965</v>
      </c>
      <c r="B165" s="302"/>
      <c r="C165" s="495"/>
      <c r="D165" s="495"/>
      <c r="E165" s="496"/>
      <c r="F165" s="497"/>
      <c r="G165" s="495"/>
      <c r="H165" s="498"/>
      <c r="I165" s="497"/>
      <c r="J165" s="495"/>
      <c r="K165" s="496"/>
    </row>
    <row r="166" spans="1:11" ht="5.0999999999999996" customHeight="1" x14ac:dyDescent="0.25">
      <c r="A166" s="305"/>
      <c r="B166" s="302"/>
      <c r="C166" s="25"/>
      <c r="D166" s="25"/>
      <c r="E166" s="306"/>
      <c r="F166" s="307"/>
      <c r="G166" s="25"/>
      <c r="H166" s="24"/>
      <c r="I166" s="307"/>
      <c r="J166" s="25"/>
      <c r="K166" s="306"/>
    </row>
    <row r="167" spans="1:11" ht="13.15" customHeight="1" x14ac:dyDescent="0.25">
      <c r="A167" s="499" t="s">
        <v>966</v>
      </c>
      <c r="B167" s="500">
        <v>1</v>
      </c>
      <c r="C167" s="31">
        <f>C6+C74+C103+C110+C118+C136+C139+C149+C152+C155+C158+C161+C164</f>
        <v>186957371.82999998</v>
      </c>
      <c r="D167" s="31">
        <f t="shared" ref="D167:K167" si="29">D6+D74+D103+D110+D118+D136+D139+D149+D152+D155+D158+D161+D164</f>
        <v>89551533.899999991</v>
      </c>
      <c r="E167" s="501">
        <f t="shared" si="29"/>
        <v>148163262.31</v>
      </c>
      <c r="F167" s="502">
        <f t="shared" si="29"/>
        <v>114711252</v>
      </c>
      <c r="G167" s="31">
        <f t="shared" si="29"/>
        <v>92731252</v>
      </c>
      <c r="H167" s="503">
        <f t="shared" si="29"/>
        <v>92731252</v>
      </c>
      <c r="I167" s="502">
        <f t="shared" si="29"/>
        <v>138779093.458</v>
      </c>
      <c r="J167" s="31">
        <f t="shared" si="29"/>
        <v>91610065.831983998</v>
      </c>
      <c r="K167" s="501">
        <f t="shared" si="29"/>
        <v>95060120.50332275</v>
      </c>
    </row>
    <row r="168" spans="1:11" ht="12.75" customHeight="1" x14ac:dyDescent="0.25">
      <c r="A168" s="33" t="str">
        <f>head27a</f>
        <v>References</v>
      </c>
      <c r="B168" s="34"/>
      <c r="C168" s="37"/>
      <c r="D168" s="37"/>
      <c r="E168" s="37"/>
      <c r="F168" s="37"/>
      <c r="G168" s="37"/>
      <c r="H168" s="37"/>
      <c r="I168" s="37"/>
      <c r="J168" s="37"/>
      <c r="K168" s="37"/>
    </row>
    <row r="169" spans="1:11" ht="11.25" customHeight="1" x14ac:dyDescent="0.25">
      <c r="A169" s="516" t="s">
        <v>975</v>
      </c>
      <c r="B169" s="34"/>
      <c r="C169" s="36"/>
      <c r="D169" s="36"/>
      <c r="E169" s="37"/>
      <c r="F169" s="37"/>
      <c r="G169" s="37"/>
      <c r="H169" s="37"/>
      <c r="I169" s="37"/>
      <c r="J169" s="37"/>
      <c r="K169" s="37"/>
    </row>
    <row r="170" spans="1:11" ht="11.25" customHeight="1" x14ac:dyDescent="0.25">
      <c r="A170" s="40"/>
      <c r="B170" s="34"/>
      <c r="C170" s="36"/>
      <c r="D170" s="36"/>
      <c r="E170" s="37"/>
      <c r="F170" s="37"/>
      <c r="G170" s="37"/>
      <c r="H170" s="37"/>
      <c r="I170" s="37"/>
      <c r="J170" s="37"/>
      <c r="K170" s="37"/>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3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CCFFCC"/>
    <pageSetUpPr fitToPage="1"/>
  </sheetPr>
  <dimension ref="A1:O205"/>
  <sheetViews>
    <sheetView showGridLines="0" zoomScaleNormal="100" workbookViewId="0">
      <pane xSplit="2" ySplit="3" topLeftCell="C155" activePane="bottomRight" state="frozen"/>
      <selection activeCell="M160" sqref="M158:P160"/>
      <selection pane="topRight" activeCell="M160" sqref="M158:P160"/>
      <selection pane="bottomLeft" activeCell="M160" sqref="M158:P160"/>
      <selection pane="bottomRight" activeCell="M160" sqref="M158:P160"/>
    </sheetView>
  </sheetViews>
  <sheetFormatPr defaultRowHeight="12.75" x14ac:dyDescent="0.25"/>
  <cols>
    <col min="1" max="1" width="35.710937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MEB9b</f>
        <v>Centlec - Supporting Table SD7b Capital expenditure on renewal of existing assets by asset class</v>
      </c>
    </row>
    <row r="2" spans="1:12" ht="25.5" x14ac:dyDescent="0.25">
      <c r="A2" s="451" t="str">
        <f>desc</f>
        <v>Description</v>
      </c>
      <c r="B2" s="452"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2" ht="38.25" x14ac:dyDescent="0.25">
      <c r="A3" s="392" t="s">
        <v>822</v>
      </c>
      <c r="B3" s="321">
        <v>1</v>
      </c>
      <c r="C3" s="322" t="str">
        <f>Head5</f>
        <v>Audited Outcome</v>
      </c>
      <c r="D3" s="323" t="str">
        <f>Head5</f>
        <v>Audited Outcome</v>
      </c>
      <c r="E3" s="324" t="str">
        <f>Head5</f>
        <v>Audited Outcome</v>
      </c>
      <c r="F3" s="449" t="str">
        <f>Head6</f>
        <v>Original Budget</v>
      </c>
      <c r="G3" s="322" t="str">
        <f>Head7</f>
        <v>Adjusted Budget</v>
      </c>
      <c r="H3" s="450" t="str">
        <f>Head8</f>
        <v>Full Year Forecast</v>
      </c>
      <c r="I3" s="449" t="str">
        <f>Head9</f>
        <v>Budget Year 2020/21</v>
      </c>
      <c r="J3" s="322" t="str">
        <f>Head10</f>
        <v>Budget Year +1 2021/22</v>
      </c>
      <c r="K3" s="324" t="str">
        <f>Head11</f>
        <v>Budget Year +2 2022/23</v>
      </c>
    </row>
    <row r="4" spans="1:12" ht="12.75" customHeight="1" x14ac:dyDescent="0.25">
      <c r="A4" s="21" t="s">
        <v>825</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14238317.060000002</v>
      </c>
      <c r="D6" s="293">
        <f t="shared" ref="D6:K6" si="0">D7+D12+D16+D26+D37+D44+D52+D62+D68</f>
        <v>3501668.92</v>
      </c>
      <c r="E6" s="294">
        <f t="shared" si="0"/>
        <v>3016880.33</v>
      </c>
      <c r="F6" s="292">
        <f t="shared" si="0"/>
        <v>11092512</v>
      </c>
      <c r="G6" s="293">
        <f t="shared" si="0"/>
        <v>9192512</v>
      </c>
      <c r="H6" s="291">
        <f t="shared" si="0"/>
        <v>9192512</v>
      </c>
      <c r="I6" s="292">
        <f t="shared" si="0"/>
        <v>12424393</v>
      </c>
      <c r="J6" s="293">
        <f t="shared" si="0"/>
        <v>13020763</v>
      </c>
      <c r="K6" s="294">
        <f t="shared" si="0"/>
        <v>13645760</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302"/>
      <c r="C8" s="475"/>
      <c r="D8" s="475"/>
      <c r="E8" s="476"/>
      <c r="F8" s="477"/>
      <c r="G8" s="475"/>
      <c r="H8" s="478"/>
      <c r="I8" s="477"/>
      <c r="J8" s="475"/>
      <c r="K8" s="476"/>
      <c r="L8" s="474"/>
    </row>
    <row r="9" spans="1:12" s="472" customFormat="1" ht="13.15" customHeight="1" x14ac:dyDescent="0.25">
      <c r="A9" s="303" t="s">
        <v>855</v>
      </c>
      <c r="B9" s="302"/>
      <c r="C9" s="475"/>
      <c r="D9" s="475"/>
      <c r="E9" s="476"/>
      <c r="F9" s="477"/>
      <c r="G9" s="475"/>
      <c r="H9" s="478"/>
      <c r="I9" s="477"/>
      <c r="J9" s="475"/>
      <c r="K9" s="476"/>
      <c r="L9" s="479"/>
    </row>
    <row r="10" spans="1:12" s="472" customFormat="1" ht="13.15" customHeight="1" x14ac:dyDescent="0.25">
      <c r="A10" s="303" t="s">
        <v>856</v>
      </c>
      <c r="B10" s="302"/>
      <c r="C10" s="475"/>
      <c r="D10" s="475"/>
      <c r="E10" s="476"/>
      <c r="F10" s="477"/>
      <c r="G10" s="475"/>
      <c r="H10" s="478"/>
      <c r="I10" s="477"/>
      <c r="J10" s="475"/>
      <c r="K10" s="476"/>
      <c r="L10" s="479"/>
    </row>
    <row r="11" spans="1:12" s="472" customFormat="1" ht="13.15" customHeight="1" x14ac:dyDescent="0.25">
      <c r="A11" s="303" t="s">
        <v>857</v>
      </c>
      <c r="B11" s="302"/>
      <c r="C11" s="475"/>
      <c r="D11" s="475"/>
      <c r="E11" s="476"/>
      <c r="F11" s="477"/>
      <c r="G11" s="475"/>
      <c r="H11" s="478"/>
      <c r="I11" s="477"/>
      <c r="J11" s="475"/>
      <c r="K11" s="476"/>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475"/>
      <c r="D13" s="475"/>
      <c r="E13" s="480"/>
      <c r="F13" s="481"/>
      <c r="G13" s="475"/>
      <c r="H13" s="482"/>
      <c r="I13" s="483"/>
      <c r="J13" s="475"/>
      <c r="K13" s="482"/>
      <c r="L13" s="479"/>
    </row>
    <row r="14" spans="1:12" s="472" customFormat="1" ht="13.15" customHeight="1" x14ac:dyDescent="0.25">
      <c r="A14" s="303" t="s">
        <v>860</v>
      </c>
      <c r="B14" s="302"/>
      <c r="C14" s="475"/>
      <c r="D14" s="475"/>
      <c r="E14" s="480"/>
      <c r="F14" s="481"/>
      <c r="G14" s="475"/>
      <c r="H14" s="482"/>
      <c r="I14" s="483"/>
      <c r="J14" s="475"/>
      <c r="K14" s="482"/>
      <c r="L14" s="479"/>
    </row>
    <row r="15" spans="1:12" s="472" customFormat="1" ht="13.15" customHeight="1" x14ac:dyDescent="0.25">
      <c r="A15" s="303" t="s">
        <v>861</v>
      </c>
      <c r="B15" s="302"/>
      <c r="C15" s="475"/>
      <c r="D15" s="475"/>
      <c r="E15" s="480"/>
      <c r="F15" s="481"/>
      <c r="G15" s="475"/>
      <c r="H15" s="482"/>
      <c r="I15" s="483"/>
      <c r="J15" s="475"/>
      <c r="K15" s="482"/>
      <c r="L15" s="479"/>
    </row>
    <row r="16" spans="1:12" s="472" customFormat="1" ht="13.15" customHeight="1" x14ac:dyDescent="0.25">
      <c r="A16" s="285" t="s">
        <v>862</v>
      </c>
      <c r="B16" s="302"/>
      <c r="C16" s="422">
        <f t="shared" ref="C16:K16" si="3">SUM(C17:C25)</f>
        <v>14238317.060000002</v>
      </c>
      <c r="D16" s="422">
        <f t="shared" si="3"/>
        <v>3501668.92</v>
      </c>
      <c r="E16" s="423">
        <f t="shared" si="3"/>
        <v>3016880.33</v>
      </c>
      <c r="F16" s="424">
        <f t="shared" si="3"/>
        <v>11092512</v>
      </c>
      <c r="G16" s="422">
        <f t="shared" si="3"/>
        <v>9192512</v>
      </c>
      <c r="H16" s="425">
        <f t="shared" si="3"/>
        <v>9192512</v>
      </c>
      <c r="I16" s="426">
        <f t="shared" si="3"/>
        <v>12424393</v>
      </c>
      <c r="J16" s="422">
        <f t="shared" si="3"/>
        <v>13020763</v>
      </c>
      <c r="K16" s="425">
        <f t="shared" si="3"/>
        <v>13645760</v>
      </c>
      <c r="L16" s="479"/>
    </row>
    <row r="17" spans="1:12" s="472" customFormat="1" ht="13.15" customHeight="1" x14ac:dyDescent="0.25">
      <c r="A17" s="303" t="s">
        <v>863</v>
      </c>
      <c r="B17" s="302"/>
      <c r="C17" s="475"/>
      <c r="D17" s="475"/>
      <c r="E17" s="480"/>
      <c r="F17" s="481"/>
      <c r="G17" s="475"/>
      <c r="H17" s="482"/>
      <c r="I17" s="483"/>
      <c r="J17" s="475"/>
      <c r="K17" s="482"/>
      <c r="L17" s="479"/>
    </row>
    <row r="18" spans="1:12" s="472" customFormat="1" ht="13.15" customHeight="1" x14ac:dyDescent="0.25">
      <c r="A18" s="303" t="s">
        <v>864</v>
      </c>
      <c r="B18" s="302"/>
      <c r="C18" s="475"/>
      <c r="D18" s="475"/>
      <c r="E18" s="480">
        <v>219770</v>
      </c>
      <c r="F18" s="481">
        <v>945219</v>
      </c>
      <c r="G18" s="475">
        <v>545219</v>
      </c>
      <c r="H18" s="475">
        <v>545219</v>
      </c>
      <c r="I18" s="483">
        <v>1500000</v>
      </c>
      <c r="J18" s="475">
        <v>1572000</v>
      </c>
      <c r="K18" s="482">
        <v>1647456</v>
      </c>
      <c r="L18" s="479"/>
    </row>
    <row r="19" spans="1:12" s="472" customFormat="1" ht="13.15" customHeight="1" x14ac:dyDescent="0.25">
      <c r="A19" s="303" t="s">
        <v>865</v>
      </c>
      <c r="B19" s="302"/>
      <c r="C19" s="475"/>
      <c r="D19" s="475">
        <v>0</v>
      </c>
      <c r="E19" s="480"/>
      <c r="F19" s="481"/>
      <c r="G19" s="475"/>
      <c r="H19" s="482"/>
      <c r="I19" s="483"/>
      <c r="J19" s="475"/>
      <c r="K19" s="482"/>
      <c r="L19" s="479"/>
    </row>
    <row r="20" spans="1:12" s="472" customFormat="1" ht="13.15" customHeight="1" x14ac:dyDescent="0.25">
      <c r="A20" s="303" t="s">
        <v>866</v>
      </c>
      <c r="B20" s="302"/>
      <c r="C20" s="475"/>
      <c r="D20" s="475"/>
      <c r="E20" s="480"/>
      <c r="F20" s="481"/>
      <c r="G20" s="475"/>
      <c r="H20" s="482"/>
      <c r="I20" s="483"/>
      <c r="J20" s="475"/>
      <c r="K20" s="482"/>
      <c r="L20" s="479"/>
    </row>
    <row r="21" spans="1:12" s="472" customFormat="1" ht="13.15" customHeight="1" x14ac:dyDescent="0.25">
      <c r="A21" s="303" t="s">
        <v>867</v>
      </c>
      <c r="B21" s="302"/>
      <c r="C21" s="475">
        <v>9767265.2300000004</v>
      </c>
      <c r="D21" s="475">
        <v>490100</v>
      </c>
      <c r="E21" s="480"/>
      <c r="F21" s="481"/>
      <c r="G21" s="475"/>
      <c r="H21" s="482"/>
      <c r="I21" s="483"/>
      <c r="J21" s="475"/>
      <c r="K21" s="482"/>
      <c r="L21" s="479"/>
    </row>
    <row r="22" spans="1:12" s="472" customFormat="1" ht="13.15" customHeight="1" x14ac:dyDescent="0.25">
      <c r="A22" s="303" t="s">
        <v>868</v>
      </c>
      <c r="B22" s="302"/>
      <c r="C22" s="475"/>
      <c r="D22" s="475"/>
      <c r="E22" s="480"/>
      <c r="F22" s="481"/>
      <c r="G22" s="475"/>
      <c r="H22" s="482"/>
      <c r="I22" s="483"/>
      <c r="J22" s="475"/>
      <c r="K22" s="482"/>
      <c r="L22" s="474"/>
    </row>
    <row r="23" spans="1:12" s="472" customFormat="1" ht="13.15" customHeight="1" x14ac:dyDescent="0.25">
      <c r="A23" s="303" t="s">
        <v>869</v>
      </c>
      <c r="B23" s="302"/>
      <c r="C23" s="475">
        <v>1459028.71</v>
      </c>
      <c r="D23" s="475"/>
      <c r="E23" s="480">
        <v>647820</v>
      </c>
      <c r="F23" s="481">
        <v>7828940</v>
      </c>
      <c r="G23" s="475">
        <v>7128940</v>
      </c>
      <c r="H23" s="475">
        <v>7128940</v>
      </c>
      <c r="I23" s="483">
        <v>7827090</v>
      </c>
      <c r="J23" s="475">
        <v>8202790</v>
      </c>
      <c r="K23" s="482">
        <v>8596524</v>
      </c>
      <c r="L23" s="479"/>
    </row>
    <row r="24" spans="1:12" s="472" customFormat="1" ht="13.15" customHeight="1" x14ac:dyDescent="0.25">
      <c r="A24" s="303" t="s">
        <v>870</v>
      </c>
      <c r="B24" s="302"/>
      <c r="C24" s="475">
        <v>3012023.12</v>
      </c>
      <c r="D24" s="475">
        <v>1410503.32</v>
      </c>
      <c r="E24" s="480">
        <v>2149290.33</v>
      </c>
      <c r="F24" s="481">
        <v>2318353</v>
      </c>
      <c r="G24" s="475">
        <v>1518353</v>
      </c>
      <c r="H24" s="475">
        <v>1518353</v>
      </c>
      <c r="I24" s="483">
        <v>3097303</v>
      </c>
      <c r="J24" s="475">
        <v>3245973</v>
      </c>
      <c r="K24" s="482">
        <v>3401780</v>
      </c>
      <c r="L24" s="479"/>
    </row>
    <row r="25" spans="1:12" s="472" customFormat="1" ht="13.15" customHeight="1" x14ac:dyDescent="0.25">
      <c r="A25" s="303" t="s">
        <v>857</v>
      </c>
      <c r="B25" s="302"/>
      <c r="C25" s="475"/>
      <c r="D25" s="475">
        <v>1601065.6</v>
      </c>
      <c r="E25" s="480"/>
      <c r="F25" s="481"/>
      <c r="G25" s="475"/>
      <c r="H25" s="482"/>
      <c r="I25" s="483"/>
      <c r="J25" s="475"/>
      <c r="K25" s="482"/>
      <c r="L25" s="479"/>
    </row>
    <row r="26" spans="1:12" ht="13.15" customHeight="1" x14ac:dyDescent="0.25">
      <c r="A26" s="284" t="s">
        <v>871</v>
      </c>
      <c r="B26" s="454"/>
      <c r="C26" s="422">
        <f>SUM(C27:C36)</f>
        <v>0</v>
      </c>
      <c r="D26" s="422">
        <f t="shared" ref="D26:K26" si="4">SUM(D27:D36)</f>
        <v>0</v>
      </c>
      <c r="E26" s="423">
        <f t="shared" si="4"/>
        <v>0</v>
      </c>
      <c r="F26" s="424">
        <f t="shared" si="4"/>
        <v>0</v>
      </c>
      <c r="G26" s="422">
        <f t="shared" si="4"/>
        <v>0</v>
      </c>
      <c r="H26" s="425">
        <f t="shared" si="4"/>
        <v>0</v>
      </c>
      <c r="I26" s="426">
        <f t="shared" si="4"/>
        <v>0</v>
      </c>
      <c r="J26" s="422">
        <f t="shared" si="4"/>
        <v>0</v>
      </c>
      <c r="K26" s="425">
        <f t="shared" si="4"/>
        <v>0</v>
      </c>
      <c r="L26" s="438"/>
    </row>
    <row r="27" spans="1:12" ht="13.15" customHeight="1" x14ac:dyDescent="0.25">
      <c r="A27" s="303" t="s">
        <v>872</v>
      </c>
      <c r="B27" s="302"/>
      <c r="C27" s="475"/>
      <c r="D27" s="475"/>
      <c r="E27" s="480"/>
      <c r="F27" s="481"/>
      <c r="G27" s="475"/>
      <c r="H27" s="482"/>
      <c r="I27" s="483"/>
      <c r="J27" s="475"/>
      <c r="K27" s="482"/>
      <c r="L27" s="438"/>
    </row>
    <row r="28" spans="1:12" ht="13.15" customHeight="1" x14ac:dyDescent="0.25">
      <c r="A28" s="303" t="s">
        <v>873</v>
      </c>
      <c r="B28" s="302"/>
      <c r="C28" s="475"/>
      <c r="D28" s="475"/>
      <c r="E28" s="480"/>
      <c r="F28" s="481"/>
      <c r="G28" s="475"/>
      <c r="H28" s="482"/>
      <c r="I28" s="483"/>
      <c r="J28" s="475"/>
      <c r="K28" s="482"/>
      <c r="L28" s="479"/>
    </row>
    <row r="29" spans="1:12" ht="13.15" customHeight="1" x14ac:dyDescent="0.25">
      <c r="A29" s="303" t="s">
        <v>874</v>
      </c>
      <c r="B29" s="302"/>
      <c r="C29" s="475"/>
      <c r="D29" s="475"/>
      <c r="E29" s="480"/>
      <c r="F29" s="481"/>
      <c r="G29" s="475"/>
      <c r="H29" s="482"/>
      <c r="I29" s="483"/>
      <c r="J29" s="475"/>
      <c r="K29" s="482"/>
      <c r="L29" s="479"/>
    </row>
    <row r="30" spans="1:12" ht="13.15" customHeight="1" x14ac:dyDescent="0.25">
      <c r="A30" s="303" t="s">
        <v>875</v>
      </c>
      <c r="B30" s="302"/>
      <c r="C30" s="475"/>
      <c r="D30" s="475"/>
      <c r="E30" s="480"/>
      <c r="F30" s="481"/>
      <c r="G30" s="475"/>
      <c r="H30" s="482"/>
      <c r="I30" s="483"/>
      <c r="J30" s="475"/>
      <c r="K30" s="482"/>
      <c r="L30" s="479"/>
    </row>
    <row r="31" spans="1:12" ht="13.15" customHeight="1" x14ac:dyDescent="0.25">
      <c r="A31" s="303" t="s">
        <v>876</v>
      </c>
      <c r="B31" s="302"/>
      <c r="C31" s="475"/>
      <c r="D31" s="475"/>
      <c r="E31" s="480"/>
      <c r="F31" s="481"/>
      <c r="G31" s="475"/>
      <c r="H31" s="482"/>
      <c r="I31" s="483"/>
      <c r="J31" s="475"/>
      <c r="K31" s="482"/>
      <c r="L31" s="479"/>
    </row>
    <row r="32" spans="1:12" ht="13.15" customHeight="1" x14ac:dyDescent="0.25">
      <c r="A32" s="303" t="s">
        <v>877</v>
      </c>
      <c r="B32" s="302"/>
      <c r="C32" s="475"/>
      <c r="D32" s="475"/>
      <c r="E32" s="480"/>
      <c r="F32" s="481"/>
      <c r="G32" s="475"/>
      <c r="H32" s="482"/>
      <c r="I32" s="483"/>
      <c r="J32" s="475"/>
      <c r="K32" s="482"/>
      <c r="L32" s="479"/>
    </row>
    <row r="33" spans="1:15" ht="13.15" customHeight="1" x14ac:dyDescent="0.25">
      <c r="A33" s="303" t="s">
        <v>878</v>
      </c>
      <c r="B33" s="302"/>
      <c r="C33" s="475"/>
      <c r="D33" s="475"/>
      <c r="E33" s="480"/>
      <c r="F33" s="481"/>
      <c r="G33" s="475"/>
      <c r="H33" s="482"/>
      <c r="I33" s="483"/>
      <c r="J33" s="475"/>
      <c r="K33" s="482"/>
      <c r="L33" s="479"/>
    </row>
    <row r="34" spans="1:15" ht="13.15" customHeight="1" x14ac:dyDescent="0.25">
      <c r="A34" s="303" t="s">
        <v>879</v>
      </c>
      <c r="B34" s="302"/>
      <c r="C34" s="475"/>
      <c r="D34" s="475"/>
      <c r="E34" s="480"/>
      <c r="F34" s="481"/>
      <c r="G34" s="475"/>
      <c r="H34" s="482"/>
      <c r="I34" s="483"/>
      <c r="J34" s="475"/>
      <c r="K34" s="482"/>
      <c r="L34" s="479"/>
    </row>
    <row r="35" spans="1:15" ht="13.15" customHeight="1" x14ac:dyDescent="0.25">
      <c r="A35" s="303" t="s">
        <v>880</v>
      </c>
      <c r="B35" s="302"/>
      <c r="C35" s="475"/>
      <c r="D35" s="475"/>
      <c r="E35" s="480"/>
      <c r="F35" s="481"/>
      <c r="G35" s="475"/>
      <c r="H35" s="482"/>
      <c r="I35" s="483"/>
      <c r="J35" s="475"/>
      <c r="K35" s="482"/>
      <c r="L35" s="479"/>
    </row>
    <row r="36" spans="1:15" ht="13.15" customHeight="1" x14ac:dyDescent="0.25">
      <c r="A36" s="303" t="s">
        <v>857</v>
      </c>
      <c r="B36" s="302"/>
      <c r="C36" s="475"/>
      <c r="D36" s="475"/>
      <c r="E36" s="480"/>
      <c r="F36" s="481"/>
      <c r="G36" s="475"/>
      <c r="H36" s="482"/>
      <c r="I36" s="483"/>
      <c r="J36" s="475"/>
      <c r="K36" s="482"/>
      <c r="L36" s="479"/>
    </row>
    <row r="37" spans="1:15" ht="13.15" customHeight="1" x14ac:dyDescent="0.25">
      <c r="A37" s="284" t="s">
        <v>881</v>
      </c>
      <c r="B37" s="302"/>
      <c r="C37" s="422">
        <f>SUM(C38:C43)</f>
        <v>0</v>
      </c>
      <c r="D37" s="422">
        <f t="shared" ref="D37:K37" si="5">SUM(D38:D43)</f>
        <v>0</v>
      </c>
      <c r="E37" s="423">
        <f t="shared" si="5"/>
        <v>0</v>
      </c>
      <c r="F37" s="424">
        <f t="shared" si="5"/>
        <v>0</v>
      </c>
      <c r="G37" s="422">
        <f t="shared" si="5"/>
        <v>0</v>
      </c>
      <c r="H37" s="425">
        <f t="shared" si="5"/>
        <v>0</v>
      </c>
      <c r="I37" s="426">
        <f t="shared" si="5"/>
        <v>0</v>
      </c>
      <c r="J37" s="422">
        <f t="shared" si="5"/>
        <v>0</v>
      </c>
      <c r="K37" s="425">
        <f t="shared" si="5"/>
        <v>0</v>
      </c>
      <c r="L37" s="479"/>
      <c r="O37" s="438"/>
    </row>
    <row r="38" spans="1:15" ht="13.15" customHeight="1" x14ac:dyDescent="0.25">
      <c r="A38" s="303" t="s">
        <v>882</v>
      </c>
      <c r="B38" s="302"/>
      <c r="C38" s="475"/>
      <c r="D38" s="475"/>
      <c r="E38" s="480"/>
      <c r="F38" s="481"/>
      <c r="G38" s="475"/>
      <c r="H38" s="482"/>
      <c r="I38" s="483"/>
      <c r="J38" s="475"/>
      <c r="K38" s="482"/>
      <c r="L38" s="479"/>
    </row>
    <row r="39" spans="1:15" ht="13.15" customHeight="1" x14ac:dyDescent="0.25">
      <c r="A39" s="303" t="s">
        <v>497</v>
      </c>
      <c r="B39" s="302"/>
      <c r="C39" s="475"/>
      <c r="D39" s="475"/>
      <c r="E39" s="480"/>
      <c r="F39" s="481"/>
      <c r="G39" s="475"/>
      <c r="H39" s="482"/>
      <c r="I39" s="483"/>
      <c r="J39" s="475"/>
      <c r="K39" s="482"/>
      <c r="L39" s="479"/>
    </row>
    <row r="40" spans="1:15" ht="13.15" customHeight="1" x14ac:dyDescent="0.25">
      <c r="A40" s="303" t="s">
        <v>883</v>
      </c>
      <c r="B40" s="302"/>
      <c r="C40" s="475"/>
      <c r="D40" s="475"/>
      <c r="E40" s="480"/>
      <c r="F40" s="481"/>
      <c r="G40" s="475"/>
      <c r="H40" s="482"/>
      <c r="I40" s="483"/>
      <c r="J40" s="475"/>
      <c r="K40" s="482"/>
      <c r="L40" s="438"/>
    </row>
    <row r="41" spans="1:15" ht="13.15" customHeight="1" x14ac:dyDescent="0.25">
      <c r="A41" s="303" t="s">
        <v>884</v>
      </c>
      <c r="B41" s="302"/>
      <c r="C41" s="475"/>
      <c r="D41" s="475"/>
      <c r="E41" s="480"/>
      <c r="F41" s="481"/>
      <c r="G41" s="475"/>
      <c r="H41" s="482"/>
      <c r="I41" s="483"/>
      <c r="J41" s="475"/>
      <c r="K41" s="482"/>
      <c r="L41" s="479"/>
    </row>
    <row r="42" spans="1:15" ht="13.15" customHeight="1" x14ac:dyDescent="0.25">
      <c r="A42" s="303" t="s">
        <v>885</v>
      </c>
      <c r="B42" s="302"/>
      <c r="C42" s="475"/>
      <c r="D42" s="475"/>
      <c r="E42" s="480"/>
      <c r="F42" s="481"/>
      <c r="G42" s="475"/>
      <c r="H42" s="482"/>
      <c r="I42" s="483"/>
      <c r="J42" s="475"/>
      <c r="K42" s="482"/>
      <c r="L42" s="438"/>
    </row>
    <row r="43" spans="1:15" ht="13.15" customHeight="1" x14ac:dyDescent="0.25">
      <c r="A43" s="303" t="s">
        <v>857</v>
      </c>
      <c r="B43" s="302"/>
      <c r="C43" s="475"/>
      <c r="D43" s="475"/>
      <c r="E43" s="480"/>
      <c r="F43" s="481"/>
      <c r="G43" s="475"/>
      <c r="H43" s="482"/>
      <c r="I43" s="483"/>
      <c r="J43" s="475"/>
      <c r="K43" s="482"/>
      <c r="L43" s="438"/>
    </row>
    <row r="44" spans="1:15" ht="13.15" customHeight="1" x14ac:dyDescent="0.25">
      <c r="A44" s="284" t="s">
        <v>886</v>
      </c>
      <c r="B44" s="302"/>
      <c r="C44" s="422">
        <f>SUM(C45:C51)</f>
        <v>0</v>
      </c>
      <c r="D44" s="422">
        <f t="shared" ref="D44:K44" si="6">SUM(D45:D51)</f>
        <v>0</v>
      </c>
      <c r="E44" s="423">
        <f t="shared" si="6"/>
        <v>0</v>
      </c>
      <c r="F44" s="424">
        <f t="shared" si="6"/>
        <v>0</v>
      </c>
      <c r="G44" s="422">
        <f t="shared" si="6"/>
        <v>0</v>
      </c>
      <c r="H44" s="425">
        <f t="shared" si="6"/>
        <v>0</v>
      </c>
      <c r="I44" s="426">
        <f t="shared" si="6"/>
        <v>0</v>
      </c>
      <c r="J44" s="422">
        <f t="shared" si="6"/>
        <v>0</v>
      </c>
      <c r="K44" s="425">
        <f t="shared" si="6"/>
        <v>0</v>
      </c>
      <c r="L44" s="438"/>
    </row>
    <row r="45" spans="1:15" ht="13.15" customHeight="1" x14ac:dyDescent="0.25">
      <c r="A45" s="303" t="s">
        <v>887</v>
      </c>
      <c r="B45" s="302"/>
      <c r="C45" s="475"/>
      <c r="D45" s="475"/>
      <c r="E45" s="480"/>
      <c r="F45" s="481"/>
      <c r="G45" s="475"/>
      <c r="H45" s="482"/>
      <c r="I45" s="483"/>
      <c r="J45" s="475"/>
      <c r="K45" s="482"/>
      <c r="L45" s="438"/>
    </row>
    <row r="46" spans="1:15" ht="13.15" customHeight="1" x14ac:dyDescent="0.25">
      <c r="A46" s="303" t="s">
        <v>888</v>
      </c>
      <c r="B46" s="302"/>
      <c r="C46" s="475"/>
      <c r="D46" s="475"/>
      <c r="E46" s="480"/>
      <c r="F46" s="481"/>
      <c r="G46" s="475"/>
      <c r="H46" s="482"/>
      <c r="I46" s="483"/>
      <c r="J46" s="475"/>
      <c r="K46" s="482"/>
      <c r="L46" s="438"/>
    </row>
    <row r="47" spans="1:15" ht="13.15" customHeight="1" x14ac:dyDescent="0.25">
      <c r="A47" s="303" t="s">
        <v>889</v>
      </c>
      <c r="B47" s="302"/>
      <c r="C47" s="475"/>
      <c r="D47" s="475"/>
      <c r="E47" s="480"/>
      <c r="F47" s="481"/>
      <c r="G47" s="475"/>
      <c r="H47" s="482"/>
      <c r="I47" s="483"/>
      <c r="J47" s="475"/>
      <c r="K47" s="482"/>
      <c r="L47" s="438"/>
    </row>
    <row r="48" spans="1:15" ht="13.15" customHeight="1" x14ac:dyDescent="0.25">
      <c r="A48" s="303" t="s">
        <v>890</v>
      </c>
      <c r="B48" s="302"/>
      <c r="C48" s="475"/>
      <c r="D48" s="475"/>
      <c r="E48" s="480"/>
      <c r="F48" s="481"/>
      <c r="G48" s="475"/>
      <c r="H48" s="482"/>
      <c r="I48" s="483"/>
      <c r="J48" s="475"/>
      <c r="K48" s="482"/>
      <c r="L48" s="479"/>
    </row>
    <row r="49" spans="1:12" ht="13.15" customHeight="1" x14ac:dyDescent="0.25">
      <c r="A49" s="303" t="s">
        <v>891</v>
      </c>
      <c r="B49" s="302"/>
      <c r="C49" s="475"/>
      <c r="D49" s="475"/>
      <c r="E49" s="480"/>
      <c r="F49" s="481"/>
      <c r="G49" s="475"/>
      <c r="H49" s="482"/>
      <c r="I49" s="483"/>
      <c r="J49" s="475"/>
      <c r="K49" s="482"/>
      <c r="L49" s="438"/>
    </row>
    <row r="50" spans="1:12" ht="13.15" customHeight="1" x14ac:dyDescent="0.25">
      <c r="A50" s="303" t="s">
        <v>892</v>
      </c>
      <c r="B50" s="302"/>
      <c r="C50" s="475"/>
      <c r="D50" s="475"/>
      <c r="E50" s="480"/>
      <c r="F50" s="481"/>
      <c r="G50" s="475"/>
      <c r="H50" s="482"/>
      <c r="I50" s="483"/>
      <c r="J50" s="475"/>
      <c r="K50" s="482"/>
      <c r="L50" s="438"/>
    </row>
    <row r="51" spans="1:12" ht="13.15" customHeight="1" x14ac:dyDescent="0.25">
      <c r="A51" s="303" t="s">
        <v>857</v>
      </c>
      <c r="B51" s="302"/>
      <c r="C51" s="475"/>
      <c r="D51" s="475"/>
      <c r="E51" s="480"/>
      <c r="F51" s="481"/>
      <c r="G51" s="475"/>
      <c r="H51" s="482"/>
      <c r="I51" s="483"/>
      <c r="J51" s="475"/>
      <c r="K51" s="482"/>
      <c r="L51" s="438"/>
    </row>
    <row r="52" spans="1:12" ht="13.15" customHeight="1" x14ac:dyDescent="0.25">
      <c r="A52" s="285" t="s">
        <v>893</v>
      </c>
      <c r="B52" s="302"/>
      <c r="C52" s="422">
        <f t="shared" ref="C52:K52" si="7">SUM(C53:C61)</f>
        <v>0</v>
      </c>
      <c r="D52" s="422">
        <f t="shared" si="7"/>
        <v>0</v>
      </c>
      <c r="E52" s="423">
        <f t="shared" si="7"/>
        <v>0</v>
      </c>
      <c r="F52" s="424">
        <f t="shared" si="7"/>
        <v>0</v>
      </c>
      <c r="G52" s="422">
        <f t="shared" si="7"/>
        <v>0</v>
      </c>
      <c r="H52" s="425">
        <f t="shared" si="7"/>
        <v>0</v>
      </c>
      <c r="I52" s="426">
        <f t="shared" si="7"/>
        <v>0</v>
      </c>
      <c r="J52" s="422">
        <f t="shared" si="7"/>
        <v>0</v>
      </c>
      <c r="K52" s="425">
        <f t="shared" si="7"/>
        <v>0</v>
      </c>
      <c r="L52" s="479"/>
    </row>
    <row r="53" spans="1:12" ht="13.15" customHeight="1" x14ac:dyDescent="0.25">
      <c r="A53" s="303" t="s">
        <v>894</v>
      </c>
      <c r="B53" s="302"/>
      <c r="C53" s="475"/>
      <c r="D53" s="475"/>
      <c r="E53" s="480"/>
      <c r="F53" s="481"/>
      <c r="G53" s="475"/>
      <c r="H53" s="482"/>
      <c r="I53" s="483"/>
      <c r="J53" s="475"/>
      <c r="K53" s="482"/>
      <c r="L53" s="438"/>
    </row>
    <row r="54" spans="1:12" ht="13.15" customHeight="1" x14ac:dyDescent="0.25">
      <c r="A54" s="303" t="s">
        <v>895</v>
      </c>
      <c r="B54" s="302"/>
      <c r="C54" s="475"/>
      <c r="D54" s="475"/>
      <c r="E54" s="480"/>
      <c r="F54" s="481"/>
      <c r="G54" s="475"/>
      <c r="H54" s="482"/>
      <c r="I54" s="483"/>
      <c r="J54" s="475"/>
      <c r="K54" s="482"/>
      <c r="L54" s="479"/>
    </row>
    <row r="55" spans="1:12" ht="13.15" customHeight="1" x14ac:dyDescent="0.25">
      <c r="A55" s="303" t="s">
        <v>896</v>
      </c>
      <c r="B55" s="302"/>
      <c r="C55" s="475"/>
      <c r="D55" s="475"/>
      <c r="E55" s="480"/>
      <c r="F55" s="481"/>
      <c r="G55" s="475"/>
      <c r="H55" s="482"/>
      <c r="I55" s="483"/>
      <c r="J55" s="475"/>
      <c r="K55" s="482"/>
      <c r="L55" s="479"/>
    </row>
    <row r="56" spans="1:12" ht="13.15" customHeight="1" x14ac:dyDescent="0.25">
      <c r="A56" s="303" t="s">
        <v>859</v>
      </c>
      <c r="B56" s="302"/>
      <c r="C56" s="475"/>
      <c r="D56" s="475"/>
      <c r="E56" s="480"/>
      <c r="F56" s="481"/>
      <c r="G56" s="475"/>
      <c r="H56" s="482"/>
      <c r="I56" s="483"/>
      <c r="J56" s="475"/>
      <c r="K56" s="482"/>
      <c r="L56" s="479"/>
    </row>
    <row r="57" spans="1:12" ht="13.15" customHeight="1" x14ac:dyDescent="0.25">
      <c r="A57" s="303" t="s">
        <v>860</v>
      </c>
      <c r="B57" s="302"/>
      <c r="C57" s="475"/>
      <c r="D57" s="475"/>
      <c r="E57" s="480"/>
      <c r="F57" s="481"/>
      <c r="G57" s="475"/>
      <c r="H57" s="482"/>
      <c r="I57" s="483"/>
      <c r="J57" s="475"/>
      <c r="K57" s="482"/>
      <c r="L57" s="479"/>
    </row>
    <row r="58" spans="1:12" ht="13.15" customHeight="1" x14ac:dyDescent="0.25">
      <c r="A58" s="303" t="s">
        <v>861</v>
      </c>
      <c r="B58" s="302"/>
      <c r="C58" s="475"/>
      <c r="D58" s="475"/>
      <c r="E58" s="480"/>
      <c r="F58" s="481"/>
      <c r="G58" s="475"/>
      <c r="H58" s="482"/>
      <c r="I58" s="483"/>
      <c r="J58" s="475"/>
      <c r="K58" s="482"/>
      <c r="L58" s="474"/>
    </row>
    <row r="59" spans="1:12" ht="13.15" customHeight="1" x14ac:dyDescent="0.25">
      <c r="A59" s="303" t="s">
        <v>867</v>
      </c>
      <c r="B59" s="302"/>
      <c r="C59" s="475"/>
      <c r="D59" s="475"/>
      <c r="E59" s="480"/>
      <c r="F59" s="481"/>
      <c r="G59" s="475"/>
      <c r="H59" s="482"/>
      <c r="I59" s="483"/>
      <c r="J59" s="475"/>
      <c r="K59" s="482"/>
      <c r="L59" s="479"/>
    </row>
    <row r="60" spans="1:12" ht="13.15" customHeight="1" x14ac:dyDescent="0.25">
      <c r="A60" s="303" t="s">
        <v>870</v>
      </c>
      <c r="B60" s="302"/>
      <c r="C60" s="475"/>
      <c r="D60" s="475"/>
      <c r="E60" s="480"/>
      <c r="F60" s="481"/>
      <c r="G60" s="475"/>
      <c r="H60" s="482"/>
      <c r="I60" s="483"/>
      <c r="J60" s="475"/>
      <c r="K60" s="482"/>
      <c r="L60" s="479"/>
    </row>
    <row r="61" spans="1:12" ht="13.15" customHeight="1" x14ac:dyDescent="0.25">
      <c r="A61" s="303" t="s">
        <v>857</v>
      </c>
      <c r="B61" s="302"/>
      <c r="C61" s="475"/>
      <c r="D61" s="475"/>
      <c r="E61" s="480"/>
      <c r="F61" s="481"/>
      <c r="G61" s="475"/>
      <c r="H61" s="482"/>
      <c r="I61" s="483"/>
      <c r="J61" s="475"/>
      <c r="K61" s="482"/>
      <c r="L61" s="479"/>
    </row>
    <row r="62" spans="1:12" ht="13.15" customHeight="1" x14ac:dyDescent="0.25">
      <c r="A62" s="284" t="s">
        <v>897</v>
      </c>
      <c r="B62" s="302"/>
      <c r="C62" s="422">
        <f>SUM(C63:C67)</f>
        <v>0</v>
      </c>
      <c r="D62" s="422">
        <f t="shared" ref="D62:K62" si="8">SUM(D63:D67)</f>
        <v>0</v>
      </c>
      <c r="E62" s="423">
        <f t="shared" si="8"/>
        <v>0</v>
      </c>
      <c r="F62" s="424">
        <f t="shared" si="8"/>
        <v>0</v>
      </c>
      <c r="G62" s="422">
        <f t="shared" si="8"/>
        <v>0</v>
      </c>
      <c r="H62" s="425">
        <f t="shared" si="8"/>
        <v>0</v>
      </c>
      <c r="I62" s="426">
        <f t="shared" si="8"/>
        <v>0</v>
      </c>
      <c r="J62" s="422">
        <f t="shared" si="8"/>
        <v>0</v>
      </c>
      <c r="K62" s="425">
        <f t="shared" si="8"/>
        <v>0</v>
      </c>
      <c r="L62" s="479"/>
    </row>
    <row r="63" spans="1:12" ht="13.15" customHeight="1" x14ac:dyDescent="0.25">
      <c r="A63" s="303" t="s">
        <v>898</v>
      </c>
      <c r="B63" s="302"/>
      <c r="C63" s="475"/>
      <c r="D63" s="475"/>
      <c r="E63" s="480"/>
      <c r="F63" s="481"/>
      <c r="G63" s="475"/>
      <c r="H63" s="482"/>
      <c r="I63" s="483"/>
      <c r="J63" s="475"/>
      <c r="K63" s="482"/>
      <c r="L63" s="479"/>
    </row>
    <row r="64" spans="1:12" ht="13.15" customHeight="1" x14ac:dyDescent="0.25">
      <c r="A64" s="303" t="s">
        <v>899</v>
      </c>
      <c r="B64" s="302"/>
      <c r="C64" s="475"/>
      <c r="D64" s="475"/>
      <c r="E64" s="480"/>
      <c r="F64" s="481"/>
      <c r="G64" s="475"/>
      <c r="H64" s="482"/>
      <c r="I64" s="483"/>
      <c r="J64" s="475"/>
      <c r="K64" s="482"/>
      <c r="L64" s="438"/>
    </row>
    <row r="65" spans="1:12" ht="13.15" customHeight="1" x14ac:dyDescent="0.25">
      <c r="A65" s="303" t="s">
        <v>900</v>
      </c>
      <c r="B65" s="302"/>
      <c r="C65" s="475"/>
      <c r="D65" s="475"/>
      <c r="E65" s="480"/>
      <c r="F65" s="481"/>
      <c r="G65" s="475"/>
      <c r="H65" s="482"/>
      <c r="I65" s="483"/>
      <c r="J65" s="475"/>
      <c r="K65" s="482"/>
      <c r="L65" s="438"/>
    </row>
    <row r="66" spans="1:12" ht="13.15" customHeight="1" x14ac:dyDescent="0.25">
      <c r="A66" s="303" t="s">
        <v>901</v>
      </c>
      <c r="B66" s="302"/>
      <c r="C66" s="475"/>
      <c r="D66" s="475"/>
      <c r="E66" s="480"/>
      <c r="F66" s="481"/>
      <c r="G66" s="475"/>
      <c r="H66" s="482"/>
      <c r="I66" s="483"/>
      <c r="J66" s="475"/>
      <c r="K66" s="482"/>
      <c r="L66" s="438"/>
    </row>
    <row r="67" spans="1:12" ht="13.15" customHeight="1" x14ac:dyDescent="0.25">
      <c r="A67" s="303" t="s">
        <v>857</v>
      </c>
      <c r="B67" s="302"/>
      <c r="C67" s="475"/>
      <c r="D67" s="475"/>
      <c r="E67" s="480"/>
      <c r="F67" s="481"/>
      <c r="G67" s="475"/>
      <c r="H67" s="482"/>
      <c r="I67" s="483"/>
      <c r="J67" s="475"/>
      <c r="K67" s="482"/>
      <c r="L67" s="438"/>
    </row>
    <row r="68" spans="1:12" ht="13.15" customHeight="1" x14ac:dyDescent="0.25">
      <c r="A68" s="285" t="s">
        <v>902</v>
      </c>
      <c r="B68" s="302"/>
      <c r="C68" s="422">
        <f>SUM(C69:C72)</f>
        <v>0</v>
      </c>
      <c r="D68" s="422">
        <f t="shared" ref="D68:K68" si="9">SUM(D69:D72)</f>
        <v>0</v>
      </c>
      <c r="E68" s="422">
        <f t="shared" si="9"/>
        <v>0</v>
      </c>
      <c r="F68" s="424">
        <f t="shared" si="9"/>
        <v>0</v>
      </c>
      <c r="G68" s="422">
        <f t="shared" si="9"/>
        <v>0</v>
      </c>
      <c r="H68" s="425">
        <f t="shared" si="9"/>
        <v>0</v>
      </c>
      <c r="I68" s="426">
        <f t="shared" si="9"/>
        <v>0</v>
      </c>
      <c r="J68" s="422">
        <f t="shared" si="9"/>
        <v>0</v>
      </c>
      <c r="K68" s="425">
        <f t="shared" si="9"/>
        <v>0</v>
      </c>
      <c r="L68" s="438"/>
    </row>
    <row r="69" spans="1:12" ht="13.15" customHeight="1" x14ac:dyDescent="0.25">
      <c r="A69" s="303" t="s">
        <v>903</v>
      </c>
      <c r="B69" s="302"/>
      <c r="C69" s="475"/>
      <c r="D69" s="475"/>
      <c r="E69" s="478"/>
      <c r="F69" s="477"/>
      <c r="G69" s="475"/>
      <c r="H69" s="478"/>
      <c r="I69" s="477"/>
      <c r="J69" s="475"/>
      <c r="K69" s="482"/>
      <c r="L69" s="438"/>
    </row>
    <row r="70" spans="1:12" ht="13.15" customHeight="1" x14ac:dyDescent="0.25">
      <c r="A70" s="303" t="s">
        <v>904</v>
      </c>
      <c r="B70" s="302"/>
      <c r="C70" s="475"/>
      <c r="D70" s="475"/>
      <c r="E70" s="476"/>
      <c r="F70" s="477"/>
      <c r="G70" s="475"/>
      <c r="H70" s="478"/>
      <c r="I70" s="477"/>
      <c r="J70" s="475"/>
      <c r="K70" s="482"/>
      <c r="L70" s="438"/>
    </row>
    <row r="71" spans="1:12" ht="13.15" customHeight="1" x14ac:dyDescent="0.25">
      <c r="A71" s="303" t="s">
        <v>905</v>
      </c>
      <c r="B71" s="302"/>
      <c r="C71" s="475"/>
      <c r="D71" s="475"/>
      <c r="E71" s="476"/>
      <c r="F71" s="477"/>
      <c r="G71" s="475"/>
      <c r="H71" s="478"/>
      <c r="I71" s="477"/>
      <c r="J71" s="475"/>
      <c r="K71" s="476"/>
      <c r="L71" s="438"/>
    </row>
    <row r="72" spans="1:12" ht="13.15" customHeight="1" x14ac:dyDescent="0.25">
      <c r="A72" s="303" t="s">
        <v>857</v>
      </c>
      <c r="B72" s="302"/>
      <c r="C72" s="475"/>
      <c r="D72" s="475"/>
      <c r="E72" s="476"/>
      <c r="F72" s="477"/>
      <c r="G72" s="475"/>
      <c r="H72" s="478"/>
      <c r="I72" s="477"/>
      <c r="J72" s="475"/>
      <c r="K72" s="476"/>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f t="shared" si="10"/>
        <v>0</v>
      </c>
      <c r="F74" s="292">
        <f t="shared" si="10"/>
        <v>0</v>
      </c>
      <c r="G74" s="293">
        <f t="shared" si="10"/>
        <v>0</v>
      </c>
      <c r="H74" s="291">
        <f t="shared" si="10"/>
        <v>0</v>
      </c>
      <c r="I74" s="292">
        <f t="shared" si="10"/>
        <v>0</v>
      </c>
      <c r="J74" s="293">
        <f t="shared" si="10"/>
        <v>0</v>
      </c>
      <c r="K74" s="294">
        <f t="shared" si="10"/>
        <v>0</v>
      </c>
      <c r="L74" s="438"/>
    </row>
    <row r="75" spans="1:12" ht="13.15" customHeight="1" x14ac:dyDescent="0.25">
      <c r="A75" s="285" t="s">
        <v>907</v>
      </c>
      <c r="B75" s="302"/>
      <c r="C75" s="417">
        <f>SUM(C76:C97)</f>
        <v>0</v>
      </c>
      <c r="D75" s="417">
        <f t="shared" ref="D75:K75" si="11">SUM(D76:D97)</f>
        <v>0</v>
      </c>
      <c r="E75" s="418">
        <f t="shared" si="11"/>
        <v>0</v>
      </c>
      <c r="F75" s="419">
        <f t="shared" si="11"/>
        <v>0</v>
      </c>
      <c r="G75" s="417">
        <f t="shared" si="11"/>
        <v>0</v>
      </c>
      <c r="H75" s="420">
        <f t="shared" si="11"/>
        <v>0</v>
      </c>
      <c r="I75" s="419">
        <f t="shared" si="11"/>
        <v>0</v>
      </c>
      <c r="J75" s="417">
        <f t="shared" si="11"/>
        <v>0</v>
      </c>
      <c r="K75" s="420">
        <f t="shared" si="11"/>
        <v>0</v>
      </c>
      <c r="L75" s="438"/>
    </row>
    <row r="76" spans="1:12" ht="13.15" customHeight="1" x14ac:dyDescent="0.25">
      <c r="A76" s="303" t="s">
        <v>908</v>
      </c>
      <c r="B76" s="302"/>
      <c r="C76" s="475"/>
      <c r="D76" s="475"/>
      <c r="E76" s="476"/>
      <c r="F76" s="477"/>
      <c r="G76" s="475"/>
      <c r="H76" s="478"/>
      <c r="I76" s="477"/>
      <c r="J76" s="475"/>
      <c r="K76" s="476"/>
      <c r="L76" s="438"/>
    </row>
    <row r="77" spans="1:12" ht="13.15" customHeight="1" x14ac:dyDescent="0.25">
      <c r="A77" s="303" t="s">
        <v>909</v>
      </c>
      <c r="B77" s="302"/>
      <c r="C77" s="475"/>
      <c r="D77" s="475"/>
      <c r="E77" s="476"/>
      <c r="F77" s="477"/>
      <c r="G77" s="475"/>
      <c r="H77" s="478"/>
      <c r="I77" s="477"/>
      <c r="J77" s="475"/>
      <c r="K77" s="476"/>
      <c r="L77" s="438"/>
    </row>
    <row r="78" spans="1:12" ht="13.15" customHeight="1" x14ac:dyDescent="0.25">
      <c r="A78" s="303" t="s">
        <v>910</v>
      </c>
      <c r="B78" s="302"/>
      <c r="C78" s="475"/>
      <c r="D78" s="475"/>
      <c r="E78" s="476"/>
      <c r="F78" s="477"/>
      <c r="G78" s="475"/>
      <c r="H78" s="478"/>
      <c r="I78" s="477"/>
      <c r="J78" s="475"/>
      <c r="K78" s="476"/>
      <c r="L78" s="438"/>
    </row>
    <row r="79" spans="1:12" ht="13.15" customHeight="1" x14ac:dyDescent="0.25">
      <c r="A79" s="303" t="s">
        <v>911</v>
      </c>
      <c r="B79" s="302"/>
      <c r="C79" s="475"/>
      <c r="D79" s="475"/>
      <c r="E79" s="476"/>
      <c r="F79" s="477"/>
      <c r="G79" s="475"/>
      <c r="H79" s="478"/>
      <c r="I79" s="477"/>
      <c r="J79" s="475"/>
      <c r="K79" s="476"/>
      <c r="L79" s="438"/>
    </row>
    <row r="80" spans="1:12" ht="13.15" customHeight="1" x14ac:dyDescent="0.25">
      <c r="A80" s="303" t="s">
        <v>912</v>
      </c>
      <c r="B80" s="302"/>
      <c r="C80" s="475"/>
      <c r="D80" s="475"/>
      <c r="E80" s="476"/>
      <c r="F80" s="477"/>
      <c r="G80" s="475"/>
      <c r="H80" s="478"/>
      <c r="I80" s="477"/>
      <c r="J80" s="475"/>
      <c r="K80" s="476"/>
      <c r="L80" s="438"/>
    </row>
    <row r="81" spans="1:12" ht="13.15" customHeight="1" x14ac:dyDescent="0.25">
      <c r="A81" s="303" t="s">
        <v>913</v>
      </c>
      <c r="B81" s="302"/>
      <c r="C81" s="475"/>
      <c r="D81" s="475"/>
      <c r="E81" s="476"/>
      <c r="F81" s="477"/>
      <c r="G81" s="475"/>
      <c r="H81" s="478"/>
      <c r="I81" s="477"/>
      <c r="J81" s="475"/>
      <c r="K81" s="476"/>
      <c r="L81" s="438"/>
    </row>
    <row r="82" spans="1:12" ht="13.15" customHeight="1" x14ac:dyDescent="0.25">
      <c r="A82" s="303" t="s">
        <v>914</v>
      </c>
      <c r="B82" s="302"/>
      <c r="C82" s="475"/>
      <c r="D82" s="475"/>
      <c r="E82" s="476"/>
      <c r="F82" s="477"/>
      <c r="G82" s="475"/>
      <c r="H82" s="478"/>
      <c r="I82" s="477"/>
      <c r="J82" s="475"/>
      <c r="K82" s="476"/>
      <c r="L82" s="438"/>
    </row>
    <row r="83" spans="1:12" ht="13.15" customHeight="1" x14ac:dyDescent="0.25">
      <c r="A83" s="303" t="s">
        <v>915</v>
      </c>
      <c r="B83" s="302"/>
      <c r="C83" s="475"/>
      <c r="D83" s="475"/>
      <c r="E83" s="476"/>
      <c r="F83" s="477"/>
      <c r="G83" s="475"/>
      <c r="H83" s="478"/>
      <c r="I83" s="477"/>
      <c r="J83" s="475"/>
      <c r="K83" s="476"/>
      <c r="L83" s="438"/>
    </row>
    <row r="84" spans="1:12" s="376" customFormat="1" ht="13.15" customHeight="1" x14ac:dyDescent="0.25">
      <c r="A84" s="303" t="s">
        <v>916</v>
      </c>
      <c r="B84" s="302"/>
      <c r="C84" s="475"/>
      <c r="D84" s="475"/>
      <c r="E84" s="476"/>
      <c r="F84" s="477"/>
      <c r="G84" s="475"/>
      <c r="H84" s="478"/>
      <c r="I84" s="477"/>
      <c r="J84" s="475"/>
      <c r="K84" s="476"/>
      <c r="L84" s="484"/>
    </row>
    <row r="85" spans="1:12" s="376" customFormat="1" ht="13.15" customHeight="1" x14ac:dyDescent="0.25">
      <c r="A85" s="303" t="s">
        <v>89</v>
      </c>
      <c r="B85" s="302"/>
      <c r="C85" s="475"/>
      <c r="D85" s="475"/>
      <c r="E85" s="476"/>
      <c r="F85" s="477"/>
      <c r="G85" s="475"/>
      <c r="H85" s="478"/>
      <c r="I85" s="477"/>
      <c r="J85" s="475"/>
      <c r="K85" s="476"/>
    </row>
    <row r="86" spans="1:12" s="376" customFormat="1" ht="13.15" customHeight="1" x14ac:dyDescent="0.25">
      <c r="A86" s="303" t="s">
        <v>917</v>
      </c>
      <c r="B86" s="302"/>
      <c r="C86" s="475"/>
      <c r="D86" s="475"/>
      <c r="E86" s="476"/>
      <c r="F86" s="477"/>
      <c r="G86" s="475"/>
      <c r="H86" s="478"/>
      <c r="I86" s="477"/>
      <c r="J86" s="475"/>
      <c r="K86" s="476"/>
    </row>
    <row r="87" spans="1:12" ht="13.15" customHeight="1" x14ac:dyDescent="0.25">
      <c r="A87" s="303" t="s">
        <v>918</v>
      </c>
      <c r="B87" s="302"/>
      <c r="C87" s="475"/>
      <c r="D87" s="475"/>
      <c r="E87" s="476"/>
      <c r="F87" s="477"/>
      <c r="G87" s="475"/>
      <c r="H87" s="478"/>
      <c r="I87" s="477"/>
      <c r="J87" s="475"/>
      <c r="K87" s="476"/>
    </row>
    <row r="88" spans="1:12" ht="13.15" customHeight="1" x14ac:dyDescent="0.25">
      <c r="A88" s="303" t="s">
        <v>1021</v>
      </c>
      <c r="B88" s="302"/>
      <c r="C88" s="475"/>
      <c r="D88" s="475"/>
      <c r="E88" s="476"/>
      <c r="F88" s="477"/>
      <c r="G88" s="475"/>
      <c r="H88" s="478"/>
      <c r="I88" s="477"/>
      <c r="J88" s="475"/>
      <c r="K88" s="476"/>
    </row>
    <row r="89" spans="1:12" ht="13.15" customHeight="1" x14ac:dyDescent="0.25">
      <c r="A89" s="303" t="s">
        <v>919</v>
      </c>
      <c r="B89" s="302"/>
      <c r="C89" s="475"/>
      <c r="D89" s="475"/>
      <c r="E89" s="476"/>
      <c r="F89" s="477"/>
      <c r="G89" s="475"/>
      <c r="H89" s="478"/>
      <c r="I89" s="477"/>
      <c r="J89" s="475"/>
      <c r="K89" s="476"/>
    </row>
    <row r="90" spans="1:12" ht="13.15" customHeight="1" x14ac:dyDescent="0.25">
      <c r="A90" s="303" t="s">
        <v>920</v>
      </c>
      <c r="B90" s="302"/>
      <c r="C90" s="475"/>
      <c r="D90" s="475"/>
      <c r="E90" s="476"/>
      <c r="F90" s="477"/>
      <c r="G90" s="475"/>
      <c r="H90" s="478"/>
      <c r="I90" s="477"/>
      <c r="J90" s="475"/>
      <c r="K90" s="476"/>
    </row>
    <row r="91" spans="1:12" ht="13.15" customHeight="1" x14ac:dyDescent="0.25">
      <c r="A91" s="303" t="s">
        <v>921</v>
      </c>
      <c r="B91" s="302"/>
      <c r="C91" s="475"/>
      <c r="D91" s="475"/>
      <c r="E91" s="476"/>
      <c r="F91" s="477"/>
      <c r="G91" s="475"/>
      <c r="H91" s="478"/>
      <c r="I91" s="477"/>
      <c r="J91" s="475"/>
      <c r="K91" s="476"/>
    </row>
    <row r="92" spans="1:12" ht="13.15" customHeight="1" x14ac:dyDescent="0.25">
      <c r="A92" s="303" t="s">
        <v>11</v>
      </c>
      <c r="B92" s="302"/>
      <c r="C92" s="475"/>
      <c r="D92" s="475"/>
      <c r="E92" s="476"/>
      <c r="F92" s="477"/>
      <c r="G92" s="475"/>
      <c r="H92" s="478"/>
      <c r="I92" s="477"/>
      <c r="J92" s="475"/>
      <c r="K92" s="476"/>
    </row>
    <row r="93" spans="1:12" ht="13.15" customHeight="1" x14ac:dyDescent="0.25">
      <c r="A93" s="303" t="s">
        <v>922</v>
      </c>
      <c r="B93" s="302"/>
      <c r="C93" s="475"/>
      <c r="D93" s="475"/>
      <c r="E93" s="476"/>
      <c r="F93" s="477"/>
      <c r="G93" s="475"/>
      <c r="H93" s="478"/>
      <c r="I93" s="477"/>
      <c r="J93" s="475"/>
      <c r="K93" s="476"/>
    </row>
    <row r="94" spans="1:12" ht="13.15" customHeight="1" x14ac:dyDescent="0.25">
      <c r="A94" s="303" t="s">
        <v>10</v>
      </c>
      <c r="B94" s="302"/>
      <c r="C94" s="475"/>
      <c r="D94" s="475"/>
      <c r="E94" s="476"/>
      <c r="F94" s="477"/>
      <c r="G94" s="475"/>
      <c r="H94" s="478"/>
      <c r="I94" s="477"/>
      <c r="J94" s="475"/>
      <c r="K94" s="476"/>
    </row>
    <row r="95" spans="1:12" ht="13.15" customHeight="1" x14ac:dyDescent="0.25">
      <c r="A95" s="303" t="s">
        <v>923</v>
      </c>
      <c r="B95" s="302"/>
      <c r="C95" s="475"/>
      <c r="D95" s="475"/>
      <c r="E95" s="476"/>
      <c r="F95" s="477"/>
      <c r="G95" s="475"/>
      <c r="H95" s="478"/>
      <c r="I95" s="477"/>
      <c r="J95" s="475"/>
      <c r="K95" s="476"/>
    </row>
    <row r="96" spans="1:12" ht="13.15" customHeight="1" x14ac:dyDescent="0.25">
      <c r="A96" s="303" t="s">
        <v>924</v>
      </c>
      <c r="B96" s="302"/>
      <c r="C96" s="475"/>
      <c r="D96" s="475"/>
      <c r="E96" s="476"/>
      <c r="F96" s="477"/>
      <c r="G96" s="475"/>
      <c r="H96" s="478"/>
      <c r="I96" s="477"/>
      <c r="J96" s="475"/>
      <c r="K96" s="476"/>
    </row>
    <row r="97" spans="1:11" ht="13.15" customHeight="1" x14ac:dyDescent="0.25">
      <c r="A97" s="303" t="s">
        <v>857</v>
      </c>
      <c r="B97" s="302"/>
      <c r="C97" s="475"/>
      <c r="D97" s="475"/>
      <c r="E97" s="476"/>
      <c r="F97" s="477"/>
      <c r="G97" s="475"/>
      <c r="H97" s="478"/>
      <c r="I97" s="477"/>
      <c r="J97" s="475"/>
      <c r="K97" s="476"/>
    </row>
    <row r="98" spans="1:11" ht="13.15" customHeight="1" x14ac:dyDescent="0.25">
      <c r="A98" s="285" t="s">
        <v>925</v>
      </c>
      <c r="B98" s="302"/>
      <c r="C98" s="422">
        <f>SUM(C99:C101)</f>
        <v>0</v>
      </c>
      <c r="D98" s="422">
        <f t="shared" ref="D98:K98" si="12">SUM(D99:D101)</f>
        <v>0</v>
      </c>
      <c r="E98" s="422">
        <f t="shared" si="12"/>
        <v>0</v>
      </c>
      <c r="F98" s="424">
        <f t="shared" si="12"/>
        <v>0</v>
      </c>
      <c r="G98" s="422">
        <f t="shared" si="12"/>
        <v>0</v>
      </c>
      <c r="H98" s="425">
        <f t="shared" si="12"/>
        <v>0</v>
      </c>
      <c r="I98" s="426">
        <f t="shared" si="12"/>
        <v>0</v>
      </c>
      <c r="J98" s="422">
        <f t="shared" si="12"/>
        <v>0</v>
      </c>
      <c r="K98" s="425">
        <f t="shared" si="12"/>
        <v>0</v>
      </c>
    </row>
    <row r="99" spans="1:11" ht="13.15" customHeight="1" x14ac:dyDescent="0.25">
      <c r="A99" s="303" t="s">
        <v>926</v>
      </c>
      <c r="B99" s="302"/>
      <c r="C99" s="475"/>
      <c r="D99" s="475"/>
      <c r="E99" s="478"/>
      <c r="F99" s="477"/>
      <c r="G99" s="475"/>
      <c r="H99" s="478"/>
      <c r="I99" s="477"/>
      <c r="J99" s="475"/>
      <c r="K99" s="482"/>
    </row>
    <row r="100" spans="1:11" ht="13.15" customHeight="1" x14ac:dyDescent="0.25">
      <c r="A100" s="303" t="s">
        <v>927</v>
      </c>
      <c r="B100" s="302"/>
      <c r="C100" s="475"/>
      <c r="D100" s="475"/>
      <c r="E100" s="476"/>
      <c r="F100" s="477"/>
      <c r="G100" s="475"/>
      <c r="H100" s="478"/>
      <c r="I100" s="477"/>
      <c r="J100" s="475"/>
      <c r="K100" s="482"/>
    </row>
    <row r="101" spans="1:11" ht="13.15" customHeight="1" x14ac:dyDescent="0.25">
      <c r="A101" s="303" t="s">
        <v>857</v>
      </c>
      <c r="B101" s="302"/>
      <c r="C101" s="475"/>
      <c r="D101" s="475"/>
      <c r="E101" s="476"/>
      <c r="F101" s="477"/>
      <c r="G101" s="475"/>
      <c r="H101" s="478"/>
      <c r="I101" s="477"/>
      <c r="J101" s="475"/>
      <c r="K101" s="476"/>
    </row>
    <row r="102" spans="1:11" ht="5.0999999999999996" customHeight="1" x14ac:dyDescent="0.25">
      <c r="A102" s="305"/>
      <c r="B102" s="302"/>
      <c r="C102" s="25"/>
      <c r="D102" s="25"/>
      <c r="E102" s="306"/>
      <c r="F102" s="307"/>
      <c r="G102" s="25"/>
      <c r="H102" s="24"/>
      <c r="I102" s="307"/>
      <c r="J102" s="25"/>
      <c r="K102" s="306"/>
    </row>
    <row r="103" spans="1:11" ht="13.15" customHeight="1" x14ac:dyDescent="0.25">
      <c r="A103" s="301" t="s">
        <v>185</v>
      </c>
      <c r="B103" s="302"/>
      <c r="C103" s="25">
        <f>SUM(C104:C108)</f>
        <v>0</v>
      </c>
      <c r="D103" s="25">
        <f t="shared" ref="D103:K103" si="13">SUM(D104:D108)</f>
        <v>0</v>
      </c>
      <c r="E103" s="306">
        <f t="shared" si="13"/>
        <v>0</v>
      </c>
      <c r="F103" s="307">
        <f t="shared" si="13"/>
        <v>0</v>
      </c>
      <c r="G103" s="25">
        <f t="shared" si="13"/>
        <v>0</v>
      </c>
      <c r="H103" s="24">
        <f t="shared" si="13"/>
        <v>0</v>
      </c>
      <c r="I103" s="307">
        <f t="shared" si="13"/>
        <v>0</v>
      </c>
      <c r="J103" s="25">
        <f t="shared" si="13"/>
        <v>0</v>
      </c>
      <c r="K103" s="306">
        <f t="shared" si="13"/>
        <v>0</v>
      </c>
    </row>
    <row r="104" spans="1:11" ht="13.15" customHeight="1" x14ac:dyDescent="0.25">
      <c r="A104" s="285" t="s">
        <v>928</v>
      </c>
      <c r="B104" s="302"/>
      <c r="C104" s="485"/>
      <c r="D104" s="485"/>
      <c r="E104" s="486"/>
      <c r="F104" s="487"/>
      <c r="G104" s="485"/>
      <c r="H104" s="488"/>
      <c r="I104" s="487"/>
      <c r="J104" s="485"/>
      <c r="K104" s="486"/>
    </row>
    <row r="105" spans="1:11" ht="13.15" customHeight="1" x14ac:dyDescent="0.25">
      <c r="A105" s="284" t="s">
        <v>929</v>
      </c>
      <c r="B105" s="302"/>
      <c r="C105" s="489"/>
      <c r="D105" s="489"/>
      <c r="E105" s="490"/>
      <c r="F105" s="491"/>
      <c r="G105" s="489"/>
      <c r="H105" s="492"/>
      <c r="I105" s="491"/>
      <c r="J105" s="489"/>
      <c r="K105" s="490"/>
    </row>
    <row r="106" spans="1:11" ht="13.15" customHeight="1" x14ac:dyDescent="0.25">
      <c r="A106" s="285" t="s">
        <v>930</v>
      </c>
      <c r="B106" s="302"/>
      <c r="C106" s="489"/>
      <c r="D106" s="489"/>
      <c r="E106" s="490"/>
      <c r="F106" s="491"/>
      <c r="G106" s="489"/>
      <c r="H106" s="492"/>
      <c r="I106" s="491"/>
      <c r="J106" s="489"/>
      <c r="K106" s="490"/>
    </row>
    <row r="107" spans="1:11" ht="13.15" customHeight="1" x14ac:dyDescent="0.25">
      <c r="A107" s="285" t="s">
        <v>931</v>
      </c>
      <c r="B107" s="302"/>
      <c r="C107" s="489"/>
      <c r="D107" s="489"/>
      <c r="E107" s="490"/>
      <c r="F107" s="491"/>
      <c r="G107" s="489"/>
      <c r="H107" s="492"/>
      <c r="I107" s="491"/>
      <c r="J107" s="489"/>
      <c r="K107" s="490"/>
    </row>
    <row r="108" spans="1:11" ht="13.15" customHeight="1" x14ac:dyDescent="0.25">
      <c r="A108" s="284" t="s">
        <v>932</v>
      </c>
      <c r="B108" s="302"/>
      <c r="C108" s="489"/>
      <c r="D108" s="489"/>
      <c r="E108" s="490"/>
      <c r="F108" s="491"/>
      <c r="G108" s="489"/>
      <c r="H108" s="492"/>
      <c r="I108" s="491"/>
      <c r="J108" s="489"/>
      <c r="K108" s="490"/>
    </row>
    <row r="109" spans="1:11" ht="5.0999999999999996" customHeight="1" x14ac:dyDescent="0.25">
      <c r="A109" s="493"/>
      <c r="B109" s="302"/>
      <c r="C109" s="25"/>
      <c r="D109" s="25"/>
      <c r="E109" s="306"/>
      <c r="F109" s="307"/>
      <c r="G109" s="25"/>
      <c r="H109" s="24"/>
      <c r="I109" s="307"/>
      <c r="J109" s="25"/>
      <c r="K109" s="306"/>
    </row>
    <row r="110" spans="1:11" ht="13.15" customHeight="1" x14ac:dyDescent="0.25">
      <c r="A110" s="494" t="s">
        <v>186</v>
      </c>
      <c r="B110" s="302"/>
      <c r="C110" s="28">
        <f>+C111+C114</f>
        <v>0</v>
      </c>
      <c r="D110" s="28">
        <f t="shared" ref="D110:K110" si="14">+D111+D114</f>
        <v>0</v>
      </c>
      <c r="E110" s="308">
        <f t="shared" si="14"/>
        <v>0</v>
      </c>
      <c r="F110" s="309">
        <f t="shared" si="14"/>
        <v>0</v>
      </c>
      <c r="G110" s="28">
        <f t="shared" si="14"/>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f t="shared" si="15"/>
        <v>0</v>
      </c>
      <c r="F111" s="419">
        <f t="shared" si="15"/>
        <v>0</v>
      </c>
      <c r="G111" s="417">
        <f t="shared" si="15"/>
        <v>0</v>
      </c>
      <c r="H111" s="420">
        <f t="shared" si="15"/>
        <v>0</v>
      </c>
      <c r="I111" s="421">
        <f t="shared" si="15"/>
        <v>0</v>
      </c>
      <c r="J111" s="417">
        <f t="shared" si="15"/>
        <v>0</v>
      </c>
      <c r="K111" s="420">
        <f t="shared" si="15"/>
        <v>0</v>
      </c>
    </row>
    <row r="112" spans="1:11" ht="13.15" customHeight="1" x14ac:dyDescent="0.25">
      <c r="A112" s="303" t="s">
        <v>934</v>
      </c>
      <c r="B112" s="302"/>
      <c r="C112" s="475"/>
      <c r="D112" s="475"/>
      <c r="E112" s="478"/>
      <c r="F112" s="477"/>
      <c r="G112" s="475"/>
      <c r="H112" s="478"/>
      <c r="I112" s="477"/>
      <c r="J112" s="475"/>
      <c r="K112" s="482"/>
    </row>
    <row r="113" spans="1:11" ht="13.15" customHeight="1" x14ac:dyDescent="0.25">
      <c r="A113" s="303" t="s">
        <v>935</v>
      </c>
      <c r="B113" s="302"/>
      <c r="C113" s="475"/>
      <c r="D113" s="475"/>
      <c r="E113" s="476"/>
      <c r="F113" s="477"/>
      <c r="G113" s="475"/>
      <c r="H113" s="478"/>
      <c r="I113" s="477"/>
      <c r="J113" s="475"/>
      <c r="K113" s="482"/>
    </row>
    <row r="114" spans="1:11" ht="13.15" customHeight="1" x14ac:dyDescent="0.25">
      <c r="A114" s="285" t="s">
        <v>936</v>
      </c>
      <c r="B114" s="302"/>
      <c r="C114" s="422">
        <f>SUM(C115:C116)</f>
        <v>0</v>
      </c>
      <c r="D114" s="422">
        <f t="shared" ref="D114:K114" si="16">SUM(D115:D116)</f>
        <v>0</v>
      </c>
      <c r="E114" s="422">
        <f t="shared" si="16"/>
        <v>0</v>
      </c>
      <c r="F114" s="424">
        <f t="shared" si="16"/>
        <v>0</v>
      </c>
      <c r="G114" s="422">
        <f t="shared" si="16"/>
        <v>0</v>
      </c>
      <c r="H114" s="425">
        <f t="shared" si="16"/>
        <v>0</v>
      </c>
      <c r="I114" s="426">
        <f t="shared" si="16"/>
        <v>0</v>
      </c>
      <c r="J114" s="422">
        <f t="shared" si="16"/>
        <v>0</v>
      </c>
      <c r="K114" s="425">
        <f t="shared" si="16"/>
        <v>0</v>
      </c>
    </row>
    <row r="115" spans="1:11" ht="13.15" customHeight="1" x14ac:dyDescent="0.25">
      <c r="A115" s="303" t="s">
        <v>934</v>
      </c>
      <c r="B115" s="302"/>
      <c r="C115" s="475"/>
      <c r="D115" s="475"/>
      <c r="E115" s="478"/>
      <c r="F115" s="477"/>
      <c r="G115" s="475"/>
      <c r="H115" s="478"/>
      <c r="I115" s="477"/>
      <c r="J115" s="475"/>
      <c r="K115" s="482"/>
    </row>
    <row r="116" spans="1:11" ht="13.15" customHeight="1" x14ac:dyDescent="0.25">
      <c r="A116" s="303" t="s">
        <v>935</v>
      </c>
      <c r="B116" s="302"/>
      <c r="C116" s="475"/>
      <c r="D116" s="475"/>
      <c r="E116" s="476"/>
      <c r="F116" s="477"/>
      <c r="G116" s="475"/>
      <c r="H116" s="478"/>
      <c r="I116" s="477"/>
      <c r="J116" s="475"/>
      <c r="K116" s="482"/>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0</v>
      </c>
      <c r="D118" s="28">
        <f t="shared" ref="D118:K118" si="17">+D119+D131</f>
        <v>0</v>
      </c>
      <c r="E118" s="308">
        <f t="shared" si="17"/>
        <v>17196271.260000002</v>
      </c>
      <c r="F118" s="309">
        <f t="shared" si="17"/>
        <v>0</v>
      </c>
      <c r="G118" s="28">
        <f t="shared" si="17"/>
        <v>0</v>
      </c>
      <c r="H118" s="27">
        <f t="shared" si="17"/>
        <v>0</v>
      </c>
      <c r="I118" s="309">
        <f t="shared" si="17"/>
        <v>0</v>
      </c>
      <c r="J118" s="28">
        <f t="shared" si="17"/>
        <v>0</v>
      </c>
      <c r="K118" s="308">
        <f t="shared" si="17"/>
        <v>0</v>
      </c>
    </row>
    <row r="119" spans="1:11" ht="13.15" customHeight="1" x14ac:dyDescent="0.25">
      <c r="A119" s="285" t="s">
        <v>937</v>
      </c>
      <c r="B119" s="302"/>
      <c r="C119" s="417">
        <f>SUM(C120:C130)</f>
        <v>0</v>
      </c>
      <c r="D119" s="417">
        <f t="shared" ref="D119:K119" si="18">SUM(D120:D130)</f>
        <v>0</v>
      </c>
      <c r="E119" s="417">
        <f t="shared" si="18"/>
        <v>17196271.260000002</v>
      </c>
      <c r="F119" s="419">
        <f t="shared" si="18"/>
        <v>0</v>
      </c>
      <c r="G119" s="417">
        <f t="shared" si="18"/>
        <v>0</v>
      </c>
      <c r="H119" s="420">
        <f t="shared" si="18"/>
        <v>0</v>
      </c>
      <c r="I119" s="421">
        <f t="shared" si="18"/>
        <v>0</v>
      </c>
      <c r="J119" s="417">
        <f t="shared" si="18"/>
        <v>0</v>
      </c>
      <c r="K119" s="420">
        <f t="shared" si="18"/>
        <v>0</v>
      </c>
    </row>
    <row r="120" spans="1:11" ht="13.15" customHeight="1" x14ac:dyDescent="0.25">
      <c r="A120" s="303" t="s">
        <v>938</v>
      </c>
      <c r="B120" s="302"/>
      <c r="C120" s="475"/>
      <c r="D120" s="475"/>
      <c r="E120" s="478">
        <v>17196271.260000002</v>
      </c>
      <c r="F120" s="477"/>
      <c r="G120" s="475"/>
      <c r="H120" s="478"/>
      <c r="I120" s="477"/>
      <c r="J120" s="475"/>
      <c r="K120" s="482"/>
    </row>
    <row r="121" spans="1:11" ht="13.15" customHeight="1" x14ac:dyDescent="0.25">
      <c r="A121" s="303" t="s">
        <v>939</v>
      </c>
      <c r="B121" s="302"/>
      <c r="C121" s="475"/>
      <c r="D121" s="475"/>
      <c r="E121" s="478"/>
      <c r="F121" s="477"/>
      <c r="G121" s="475"/>
      <c r="H121" s="478"/>
      <c r="I121" s="477"/>
      <c r="J121" s="475"/>
      <c r="K121" s="482"/>
    </row>
    <row r="122" spans="1:11" ht="13.15" customHeight="1" x14ac:dyDescent="0.25">
      <c r="A122" s="303" t="s">
        <v>940</v>
      </c>
      <c r="B122" s="302"/>
      <c r="C122" s="475"/>
      <c r="D122" s="475"/>
      <c r="E122" s="478"/>
      <c r="F122" s="477"/>
      <c r="G122" s="475"/>
      <c r="H122" s="478"/>
      <c r="I122" s="477"/>
      <c r="J122" s="475"/>
      <c r="K122" s="482"/>
    </row>
    <row r="123" spans="1:11" ht="13.15" customHeight="1" x14ac:dyDescent="0.25">
      <c r="A123" s="303" t="s">
        <v>941</v>
      </c>
      <c r="B123" s="302"/>
      <c r="C123" s="475"/>
      <c r="D123" s="475"/>
      <c r="E123" s="478"/>
      <c r="F123" s="477"/>
      <c r="G123" s="475"/>
      <c r="H123" s="478"/>
      <c r="I123" s="477"/>
      <c r="J123" s="475"/>
      <c r="K123" s="482"/>
    </row>
    <row r="124" spans="1:11" ht="13.15" customHeight="1" x14ac:dyDescent="0.25">
      <c r="A124" s="303" t="s">
        <v>942</v>
      </c>
      <c r="B124" s="302"/>
      <c r="C124" s="475"/>
      <c r="D124" s="475"/>
      <c r="E124" s="478"/>
      <c r="F124" s="477"/>
      <c r="G124" s="475"/>
      <c r="H124" s="478"/>
      <c r="I124" s="477"/>
      <c r="J124" s="475"/>
      <c r="K124" s="482"/>
    </row>
    <row r="125" spans="1:11" ht="13.15" customHeight="1" x14ac:dyDescent="0.25">
      <c r="A125" s="303" t="s">
        <v>943</v>
      </c>
      <c r="B125" s="302"/>
      <c r="C125" s="475"/>
      <c r="D125" s="475"/>
      <c r="E125" s="478"/>
      <c r="F125" s="477"/>
      <c r="G125" s="475"/>
      <c r="H125" s="478"/>
      <c r="I125" s="477"/>
      <c r="J125" s="475"/>
      <c r="K125" s="482"/>
    </row>
    <row r="126" spans="1:11" ht="13.15" customHeight="1" x14ac:dyDescent="0.25">
      <c r="A126" s="303" t="s">
        <v>944</v>
      </c>
      <c r="B126" s="302"/>
      <c r="C126" s="475"/>
      <c r="D126" s="475"/>
      <c r="E126" s="478"/>
      <c r="F126" s="477"/>
      <c r="G126" s="475"/>
      <c r="H126" s="478"/>
      <c r="I126" s="477"/>
      <c r="J126" s="475"/>
      <c r="K126" s="482"/>
    </row>
    <row r="127" spans="1:11" ht="13.15" customHeight="1" x14ac:dyDescent="0.25">
      <c r="A127" s="303" t="s">
        <v>945</v>
      </c>
      <c r="B127" s="302"/>
      <c r="C127" s="475"/>
      <c r="D127" s="475"/>
      <c r="E127" s="478"/>
      <c r="F127" s="477"/>
      <c r="G127" s="475"/>
      <c r="H127" s="478"/>
      <c r="I127" s="477"/>
      <c r="J127" s="475"/>
      <c r="K127" s="482"/>
    </row>
    <row r="128" spans="1:11" ht="13.15" customHeight="1" x14ac:dyDescent="0.25">
      <c r="A128" s="303" t="s">
        <v>946</v>
      </c>
      <c r="B128" s="302"/>
      <c r="C128" s="475"/>
      <c r="D128" s="475"/>
      <c r="E128" s="478"/>
      <c r="F128" s="477"/>
      <c r="G128" s="475"/>
      <c r="H128" s="478"/>
      <c r="I128" s="477"/>
      <c r="J128" s="475"/>
      <c r="K128" s="482"/>
    </row>
    <row r="129" spans="1:11" ht="13.15" customHeight="1" x14ac:dyDescent="0.25">
      <c r="A129" s="303" t="s">
        <v>947</v>
      </c>
      <c r="B129" s="302"/>
      <c r="C129" s="475"/>
      <c r="D129" s="475"/>
      <c r="E129" s="478"/>
      <c r="F129" s="477"/>
      <c r="G129" s="475"/>
      <c r="H129" s="478"/>
      <c r="I129" s="477"/>
      <c r="J129" s="475"/>
      <c r="K129" s="482"/>
    </row>
    <row r="130" spans="1:11" ht="13.15" customHeight="1" x14ac:dyDescent="0.25">
      <c r="A130" s="303" t="s">
        <v>857</v>
      </c>
      <c r="B130" s="302"/>
      <c r="C130" s="475"/>
      <c r="D130" s="475"/>
      <c r="E130" s="478"/>
      <c r="F130" s="477"/>
      <c r="G130" s="475"/>
      <c r="H130" s="478"/>
      <c r="I130" s="477"/>
      <c r="J130" s="475"/>
      <c r="K130" s="482"/>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475"/>
      <c r="D132" s="475"/>
      <c r="E132" s="478"/>
      <c r="F132" s="477"/>
      <c r="G132" s="475"/>
      <c r="H132" s="478"/>
      <c r="I132" s="477"/>
      <c r="J132" s="475"/>
      <c r="K132" s="482"/>
    </row>
    <row r="133" spans="1:11" ht="13.15" customHeight="1" x14ac:dyDescent="0.25">
      <c r="A133" s="303" t="s">
        <v>950</v>
      </c>
      <c r="B133" s="302"/>
      <c r="C133" s="475"/>
      <c r="D133" s="475"/>
      <c r="E133" s="478"/>
      <c r="F133" s="477"/>
      <c r="G133" s="475"/>
      <c r="H133" s="478"/>
      <c r="I133" s="477"/>
      <c r="J133" s="475"/>
      <c r="K133" s="482"/>
    </row>
    <row r="134" spans="1:11" ht="13.15" customHeight="1" x14ac:dyDescent="0.25">
      <c r="A134" s="303" t="s">
        <v>857</v>
      </c>
      <c r="B134" s="302"/>
      <c r="C134" s="475"/>
      <c r="D134" s="475"/>
      <c r="E134" s="478"/>
      <c r="F134" s="477"/>
      <c r="G134" s="475"/>
      <c r="H134" s="478"/>
      <c r="I134" s="477"/>
      <c r="J134" s="475"/>
      <c r="K134" s="482"/>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25">
        <f t="shared" ref="C136:K136" si="20">SUM(C137:C137)</f>
        <v>0</v>
      </c>
      <c r="D136" s="25">
        <f t="shared" si="20"/>
        <v>0</v>
      </c>
      <c r="E136" s="306">
        <f t="shared" si="20"/>
        <v>0</v>
      </c>
      <c r="F136" s="307">
        <f t="shared" si="20"/>
        <v>0</v>
      </c>
      <c r="G136" s="25">
        <f t="shared" si="20"/>
        <v>0</v>
      </c>
      <c r="H136" s="24">
        <f t="shared" si="20"/>
        <v>0</v>
      </c>
      <c r="I136" s="307">
        <f t="shared" si="20"/>
        <v>0</v>
      </c>
      <c r="J136" s="25">
        <f t="shared" si="20"/>
        <v>0</v>
      </c>
      <c r="K136" s="306">
        <f t="shared" si="20"/>
        <v>0</v>
      </c>
    </row>
    <row r="137" spans="1:11" ht="13.15" customHeight="1" x14ac:dyDescent="0.25">
      <c r="A137" s="285" t="s">
        <v>951</v>
      </c>
      <c r="B137" s="302"/>
      <c r="C137" s="495"/>
      <c r="D137" s="495"/>
      <c r="E137" s="496"/>
      <c r="F137" s="497"/>
      <c r="G137" s="495"/>
      <c r="H137" s="498"/>
      <c r="I137" s="497"/>
      <c r="J137" s="495"/>
      <c r="K137" s="496"/>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25">
        <f>+C140+C141</f>
        <v>0</v>
      </c>
      <c r="D139" s="25">
        <f t="shared" ref="D139:K139" si="21">+D140+D141</f>
        <v>0</v>
      </c>
      <c r="E139" s="306">
        <f t="shared" si="21"/>
        <v>0</v>
      </c>
      <c r="F139" s="307">
        <f t="shared" si="21"/>
        <v>0</v>
      </c>
      <c r="G139" s="25">
        <f t="shared" si="21"/>
        <v>0</v>
      </c>
      <c r="H139" s="24">
        <f t="shared" si="21"/>
        <v>0</v>
      </c>
      <c r="I139" s="307">
        <f t="shared" si="21"/>
        <v>0</v>
      </c>
      <c r="J139" s="25">
        <f t="shared" si="21"/>
        <v>0</v>
      </c>
      <c r="K139" s="306">
        <f t="shared" si="21"/>
        <v>0</v>
      </c>
    </row>
    <row r="140" spans="1:11" ht="13.15" customHeight="1" x14ac:dyDescent="0.25">
      <c r="A140" s="284" t="s">
        <v>953</v>
      </c>
      <c r="B140" s="302"/>
      <c r="C140" s="495"/>
      <c r="D140" s="495"/>
      <c r="E140" s="496"/>
      <c r="F140" s="497"/>
      <c r="G140" s="495"/>
      <c r="H140" s="498"/>
      <c r="I140" s="497"/>
      <c r="J140" s="495"/>
      <c r="K140" s="496"/>
    </row>
    <row r="141" spans="1:11" ht="13.15" customHeight="1" x14ac:dyDescent="0.25">
      <c r="A141" s="284" t="s">
        <v>954</v>
      </c>
      <c r="B141" s="302"/>
      <c r="C141" s="422">
        <f>SUM(C142:C147)</f>
        <v>0</v>
      </c>
      <c r="D141" s="422">
        <f t="shared" ref="D141:K141" si="22">SUM(D142:D147)</f>
        <v>0</v>
      </c>
      <c r="E141" s="422">
        <f t="shared" si="22"/>
        <v>0</v>
      </c>
      <c r="F141" s="424">
        <f t="shared" si="22"/>
        <v>0</v>
      </c>
      <c r="G141" s="422">
        <f t="shared" si="22"/>
        <v>0</v>
      </c>
      <c r="H141" s="425">
        <f t="shared" si="22"/>
        <v>0</v>
      </c>
      <c r="I141" s="426">
        <f t="shared" si="22"/>
        <v>0</v>
      </c>
      <c r="J141" s="422">
        <f t="shared" si="22"/>
        <v>0</v>
      </c>
      <c r="K141" s="425">
        <f t="shared" si="22"/>
        <v>0</v>
      </c>
    </row>
    <row r="142" spans="1:11" ht="13.15" customHeight="1" x14ac:dyDescent="0.25">
      <c r="A142" s="303" t="s">
        <v>955</v>
      </c>
      <c r="B142" s="302"/>
      <c r="C142" s="475"/>
      <c r="D142" s="475"/>
      <c r="E142" s="478"/>
      <c r="F142" s="477"/>
      <c r="G142" s="475"/>
      <c r="H142" s="478"/>
      <c r="I142" s="477"/>
      <c r="J142" s="475"/>
      <c r="K142" s="482"/>
    </row>
    <row r="143" spans="1:11" ht="13.15" customHeight="1" x14ac:dyDescent="0.25">
      <c r="A143" s="303" t="s">
        <v>956</v>
      </c>
      <c r="B143" s="302"/>
      <c r="C143" s="475"/>
      <c r="D143" s="475"/>
      <c r="E143" s="478"/>
      <c r="F143" s="477"/>
      <c r="G143" s="475"/>
      <c r="H143" s="478"/>
      <c r="I143" s="477"/>
      <c r="J143" s="475"/>
      <c r="K143" s="482"/>
    </row>
    <row r="144" spans="1:11" ht="13.15" customHeight="1" x14ac:dyDescent="0.25">
      <c r="A144" s="303" t="s">
        <v>957</v>
      </c>
      <c r="B144" s="302"/>
      <c r="C144" s="475"/>
      <c r="D144" s="475"/>
      <c r="E144" s="478"/>
      <c r="F144" s="477"/>
      <c r="G144" s="475"/>
      <c r="H144" s="478"/>
      <c r="I144" s="477"/>
      <c r="J144" s="475"/>
      <c r="K144" s="482"/>
    </row>
    <row r="145" spans="1:11" ht="13.15" customHeight="1" x14ac:dyDescent="0.25">
      <c r="A145" s="303" t="s">
        <v>958</v>
      </c>
      <c r="B145" s="302"/>
      <c r="C145" s="475"/>
      <c r="D145" s="475"/>
      <c r="E145" s="478"/>
      <c r="F145" s="477"/>
      <c r="G145" s="475"/>
      <c r="H145" s="478"/>
      <c r="I145" s="477"/>
      <c r="J145" s="475"/>
      <c r="K145" s="482"/>
    </row>
    <row r="146" spans="1:11" ht="13.15" customHeight="1" x14ac:dyDescent="0.25">
      <c r="A146" s="303" t="s">
        <v>959</v>
      </c>
      <c r="B146" s="302"/>
      <c r="C146" s="475"/>
      <c r="D146" s="475"/>
      <c r="E146" s="478"/>
      <c r="F146" s="477"/>
      <c r="G146" s="475"/>
      <c r="H146" s="478"/>
      <c r="I146" s="477"/>
      <c r="J146" s="475"/>
      <c r="K146" s="482"/>
    </row>
    <row r="147" spans="1:11" ht="13.15" customHeight="1" x14ac:dyDescent="0.25">
      <c r="A147" s="303" t="s">
        <v>960</v>
      </c>
      <c r="B147" s="302"/>
      <c r="C147" s="475"/>
      <c r="D147" s="475"/>
      <c r="E147" s="478"/>
      <c r="F147" s="477"/>
      <c r="G147" s="475"/>
      <c r="H147" s="478"/>
      <c r="I147" s="477"/>
      <c r="J147" s="475"/>
      <c r="K147" s="482"/>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25">
        <f t="shared" ref="C149:K149" si="23">SUM(C150:C150)</f>
        <v>8355881.2999999998</v>
      </c>
      <c r="D149" s="25">
        <f t="shared" si="23"/>
        <v>0</v>
      </c>
      <c r="E149" s="306">
        <f t="shared" si="23"/>
        <v>0</v>
      </c>
      <c r="F149" s="307">
        <f t="shared" si="23"/>
        <v>0</v>
      </c>
      <c r="G149" s="25">
        <f t="shared" si="23"/>
        <v>0</v>
      </c>
      <c r="H149" s="24">
        <f t="shared" si="23"/>
        <v>0</v>
      </c>
      <c r="I149" s="307">
        <f t="shared" si="23"/>
        <v>0</v>
      </c>
      <c r="J149" s="25">
        <f t="shared" si="23"/>
        <v>0</v>
      </c>
      <c r="K149" s="306">
        <f t="shared" si="23"/>
        <v>0</v>
      </c>
    </row>
    <row r="150" spans="1:11" ht="13.15" customHeight="1" x14ac:dyDescent="0.25">
      <c r="A150" s="285" t="s">
        <v>961</v>
      </c>
      <c r="B150" s="302"/>
      <c r="C150" s="495">
        <v>8355881.2999999998</v>
      </c>
      <c r="D150" s="495"/>
      <c r="E150" s="496"/>
      <c r="F150" s="497"/>
      <c r="G150" s="495"/>
      <c r="H150" s="498"/>
      <c r="I150" s="497"/>
      <c r="J150" s="495"/>
      <c r="K150" s="496"/>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25">
        <f t="shared" ref="C152:K152" si="24">SUM(C153:C153)</f>
        <v>0</v>
      </c>
      <c r="D152" s="25">
        <f t="shared" si="24"/>
        <v>0</v>
      </c>
      <c r="E152" s="306">
        <f t="shared" si="24"/>
        <v>0</v>
      </c>
      <c r="F152" s="307">
        <f t="shared" si="24"/>
        <v>0</v>
      </c>
      <c r="G152" s="25">
        <f t="shared" si="24"/>
        <v>0</v>
      </c>
      <c r="H152" s="24">
        <f t="shared" si="24"/>
        <v>0</v>
      </c>
      <c r="I152" s="307">
        <f t="shared" si="24"/>
        <v>0</v>
      </c>
      <c r="J152" s="25">
        <f t="shared" si="24"/>
        <v>0</v>
      </c>
      <c r="K152" s="306">
        <f t="shared" si="24"/>
        <v>0</v>
      </c>
    </row>
    <row r="153" spans="1:11" ht="13.15" customHeight="1" x14ac:dyDescent="0.25">
      <c r="A153" s="285" t="s">
        <v>962</v>
      </c>
      <c r="B153" s="302"/>
      <c r="C153" s="495"/>
      <c r="D153" s="495"/>
      <c r="E153" s="496"/>
      <c r="F153" s="497"/>
      <c r="G153" s="495"/>
      <c r="H153" s="498"/>
      <c r="I153" s="497"/>
      <c r="J153" s="495"/>
      <c r="K153" s="496"/>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25">
        <f t="shared" ref="C155:K155" si="25">SUM(C156:C156)</f>
        <v>0</v>
      </c>
      <c r="D155" s="25">
        <f t="shared" si="25"/>
        <v>0</v>
      </c>
      <c r="E155" s="306">
        <f t="shared" si="25"/>
        <v>0</v>
      </c>
      <c r="F155" s="307">
        <f t="shared" si="25"/>
        <v>0</v>
      </c>
      <c r="G155" s="25">
        <f t="shared" si="25"/>
        <v>0</v>
      </c>
      <c r="H155" s="24">
        <f t="shared" si="25"/>
        <v>0</v>
      </c>
      <c r="I155" s="307">
        <f t="shared" si="25"/>
        <v>0</v>
      </c>
      <c r="J155" s="25">
        <f t="shared" si="25"/>
        <v>0</v>
      </c>
      <c r="K155" s="306">
        <f t="shared" si="25"/>
        <v>0</v>
      </c>
    </row>
    <row r="156" spans="1:11" ht="13.15" customHeight="1" x14ac:dyDescent="0.25">
      <c r="A156" s="285" t="s">
        <v>963</v>
      </c>
      <c r="B156" s="302"/>
      <c r="C156" s="495"/>
      <c r="D156" s="495"/>
      <c r="E156" s="496"/>
      <c r="F156" s="497"/>
      <c r="G156" s="495"/>
      <c r="H156" s="498"/>
      <c r="I156" s="497"/>
      <c r="J156" s="495"/>
      <c r="K156" s="496"/>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25">
        <f t="shared" ref="C158:K158" si="26">SUM(C159:C159)</f>
        <v>240522.35</v>
      </c>
      <c r="D158" s="25">
        <f t="shared" si="26"/>
        <v>0</v>
      </c>
      <c r="E158" s="306">
        <f t="shared" si="26"/>
        <v>0</v>
      </c>
      <c r="F158" s="307">
        <f t="shared" si="26"/>
        <v>0</v>
      </c>
      <c r="G158" s="25">
        <f t="shared" si="26"/>
        <v>0</v>
      </c>
      <c r="H158" s="24">
        <f t="shared" si="26"/>
        <v>0</v>
      </c>
      <c r="I158" s="307">
        <f t="shared" si="26"/>
        <v>0</v>
      </c>
      <c r="J158" s="25">
        <f t="shared" si="26"/>
        <v>0</v>
      </c>
      <c r="K158" s="306">
        <f t="shared" si="26"/>
        <v>0</v>
      </c>
    </row>
    <row r="159" spans="1:11" ht="13.15" customHeight="1" x14ac:dyDescent="0.25">
      <c r="A159" s="285" t="s">
        <v>964</v>
      </c>
      <c r="B159" s="302"/>
      <c r="C159" s="495">
        <v>240522.35</v>
      </c>
      <c r="D159" s="495"/>
      <c r="E159" s="496"/>
      <c r="F159" s="497"/>
      <c r="G159" s="495"/>
      <c r="H159" s="498"/>
      <c r="I159" s="497"/>
      <c r="J159" s="495"/>
      <c r="K159" s="496"/>
    </row>
    <row r="160" spans="1:11" ht="5.0999999999999996" customHeight="1" x14ac:dyDescent="0.25">
      <c r="A160" s="305"/>
      <c r="B160" s="302"/>
      <c r="C160" s="25"/>
      <c r="D160" s="25"/>
      <c r="E160" s="306"/>
      <c r="F160" s="307"/>
      <c r="G160" s="25"/>
      <c r="H160" s="24"/>
      <c r="I160" s="307"/>
      <c r="J160" s="25"/>
      <c r="K160" s="306"/>
    </row>
    <row r="161" spans="1:11" ht="13.15" customHeight="1" x14ac:dyDescent="0.25">
      <c r="A161" s="301" t="s">
        <v>979</v>
      </c>
      <c r="B161" s="302"/>
      <c r="C161" s="25">
        <f t="shared" ref="C161:K161" si="27">SUM(C162:C162)</f>
        <v>0</v>
      </c>
      <c r="D161" s="25">
        <f t="shared" si="27"/>
        <v>0</v>
      </c>
      <c r="E161" s="306">
        <f t="shared" si="27"/>
        <v>0</v>
      </c>
      <c r="F161" s="307">
        <f t="shared" si="27"/>
        <v>0</v>
      </c>
      <c r="G161" s="25">
        <f t="shared" si="27"/>
        <v>0</v>
      </c>
      <c r="H161" s="24">
        <f t="shared" si="27"/>
        <v>0</v>
      </c>
      <c r="I161" s="307">
        <f t="shared" si="27"/>
        <v>0</v>
      </c>
      <c r="J161" s="25">
        <f t="shared" si="27"/>
        <v>0</v>
      </c>
      <c r="K161" s="306">
        <f t="shared" si="27"/>
        <v>0</v>
      </c>
    </row>
    <row r="162" spans="1:11" ht="13.15" customHeight="1" x14ac:dyDescent="0.25">
      <c r="A162" s="285" t="s">
        <v>979</v>
      </c>
      <c r="B162" s="302"/>
      <c r="C162" s="495"/>
      <c r="D162" s="495"/>
      <c r="E162" s="496"/>
      <c r="F162" s="497"/>
      <c r="G162" s="495"/>
      <c r="H162" s="498"/>
      <c r="I162" s="497"/>
      <c r="J162" s="495"/>
      <c r="K162" s="496"/>
    </row>
    <row r="163" spans="1:11" ht="5.0999999999999996" customHeight="1" x14ac:dyDescent="0.25">
      <c r="A163" s="305"/>
      <c r="B163" s="302"/>
      <c r="C163" s="25"/>
      <c r="D163" s="25"/>
      <c r="E163" s="306"/>
      <c r="F163" s="307"/>
      <c r="G163" s="25"/>
      <c r="H163" s="24"/>
      <c r="I163" s="307"/>
      <c r="J163" s="25"/>
      <c r="K163" s="306"/>
    </row>
    <row r="164" spans="1:11" ht="13.15" customHeight="1" x14ac:dyDescent="0.25">
      <c r="A164" s="301" t="s">
        <v>965</v>
      </c>
      <c r="B164" s="302"/>
      <c r="C164" s="25">
        <f t="shared" ref="C164:K164" si="28">SUM(C165:C165)</f>
        <v>0</v>
      </c>
      <c r="D164" s="25">
        <f t="shared" si="28"/>
        <v>0</v>
      </c>
      <c r="E164" s="306">
        <f t="shared" si="28"/>
        <v>0</v>
      </c>
      <c r="F164" s="307">
        <f t="shared" si="28"/>
        <v>0</v>
      </c>
      <c r="G164" s="25">
        <f t="shared" si="28"/>
        <v>0</v>
      </c>
      <c r="H164" s="24">
        <f t="shared" si="28"/>
        <v>0</v>
      </c>
      <c r="I164" s="307">
        <f t="shared" si="28"/>
        <v>0</v>
      </c>
      <c r="J164" s="25">
        <f t="shared" si="28"/>
        <v>0</v>
      </c>
      <c r="K164" s="306">
        <f t="shared" si="28"/>
        <v>0</v>
      </c>
    </row>
    <row r="165" spans="1:11" ht="13.15" customHeight="1" x14ac:dyDescent="0.25">
      <c r="A165" s="285" t="s">
        <v>965</v>
      </c>
      <c r="B165" s="302"/>
      <c r="C165" s="495"/>
      <c r="D165" s="495"/>
      <c r="E165" s="496"/>
      <c r="F165" s="497"/>
      <c r="G165" s="495"/>
      <c r="H165" s="498"/>
      <c r="I165" s="497"/>
      <c r="J165" s="495"/>
      <c r="K165" s="496"/>
    </row>
    <row r="166" spans="1:11" ht="5.0999999999999996" customHeight="1" x14ac:dyDescent="0.25">
      <c r="A166" s="305"/>
      <c r="B166" s="302"/>
      <c r="C166" s="25"/>
      <c r="D166" s="25"/>
      <c r="E166" s="306"/>
      <c r="F166" s="307"/>
      <c r="G166" s="25"/>
      <c r="H166" s="24"/>
      <c r="I166" s="307"/>
      <c r="J166" s="25"/>
      <c r="K166" s="306"/>
    </row>
    <row r="167" spans="1:11" ht="13.15" customHeight="1" x14ac:dyDescent="0.25">
      <c r="A167" s="30" t="s">
        <v>781</v>
      </c>
      <c r="B167" s="500">
        <v>1</v>
      </c>
      <c r="C167" s="31">
        <f>C6+C74+C103+C110+C118+C136+C139+C149+C152+C155+C158+C161+C164</f>
        <v>22834720.710000005</v>
      </c>
      <c r="D167" s="31">
        <f t="shared" ref="D167:K167" si="29">D6+D74+D103+D110+D118+D136+D139+D149+D152+D155+D158+D161+D164</f>
        <v>3501668.92</v>
      </c>
      <c r="E167" s="501">
        <f t="shared" si="29"/>
        <v>20213151.590000004</v>
      </c>
      <c r="F167" s="502">
        <f t="shared" si="29"/>
        <v>11092512</v>
      </c>
      <c r="G167" s="31">
        <f t="shared" si="29"/>
        <v>9192512</v>
      </c>
      <c r="H167" s="503">
        <f t="shared" si="29"/>
        <v>9192512</v>
      </c>
      <c r="I167" s="502">
        <f t="shared" si="29"/>
        <v>12424393</v>
      </c>
      <c r="J167" s="31">
        <f t="shared" si="29"/>
        <v>13020763</v>
      </c>
      <c r="K167" s="501">
        <f t="shared" si="29"/>
        <v>13645760</v>
      </c>
    </row>
    <row r="168" spans="1:11" ht="12.75" customHeight="1" x14ac:dyDescent="0.25">
      <c r="A168" s="33" t="str">
        <f>head27a</f>
        <v>References</v>
      </c>
      <c r="B168" s="34"/>
      <c r="C168" s="37"/>
      <c r="D168" s="37"/>
      <c r="E168" s="37"/>
      <c r="F168" s="37"/>
      <c r="G168" s="37"/>
      <c r="H168" s="37"/>
      <c r="I168" s="37"/>
      <c r="J168" s="37"/>
      <c r="K168" s="37"/>
    </row>
    <row r="169" spans="1:11" ht="11.25" customHeight="1" x14ac:dyDescent="0.25">
      <c r="A169" s="516" t="s">
        <v>975</v>
      </c>
      <c r="B169" s="34"/>
      <c r="C169" s="36"/>
      <c r="D169" s="36"/>
      <c r="E169" s="37"/>
      <c r="F169" s="37"/>
      <c r="G169" s="37"/>
      <c r="H169" s="37"/>
      <c r="I169" s="37"/>
      <c r="J169" s="37"/>
      <c r="K169" s="37"/>
    </row>
    <row r="170" spans="1:11" ht="11.25" customHeight="1" x14ac:dyDescent="0.25">
      <c r="A170" s="40"/>
      <c r="B170" s="34"/>
      <c r="C170" s="36"/>
      <c r="D170" s="36"/>
      <c r="E170" s="37"/>
      <c r="F170" s="37"/>
      <c r="G170" s="37"/>
      <c r="H170" s="37"/>
      <c r="I170" s="37"/>
      <c r="J170" s="37"/>
      <c r="K170" s="37"/>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3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rgb="FFCCFFCC"/>
    <pageSetUpPr fitToPage="1"/>
  </sheetPr>
  <dimension ref="A1:O205"/>
  <sheetViews>
    <sheetView showGridLines="0" zoomScaleNormal="100" workbookViewId="0">
      <pane xSplit="2" ySplit="3" topLeftCell="C4" activePane="bottomRight" state="frozen"/>
      <selection activeCell="M160" sqref="M158:P160"/>
      <selection pane="topRight" activeCell="M160" sqref="M158:P160"/>
      <selection pane="bottomLeft" activeCell="M160" sqref="M158:P160"/>
      <selection pane="bottomRight" activeCell="G9" sqref="G9"/>
    </sheetView>
  </sheetViews>
  <sheetFormatPr defaultRowHeight="12.75" x14ac:dyDescent="0.25"/>
  <cols>
    <col min="1" max="1" width="38.2851562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MEB9c</f>
        <v>Centlec - Supporting Table SD7c Expenditure on repairs and maintenance by asset class</v>
      </c>
    </row>
    <row r="2" spans="1:12" ht="25.5" x14ac:dyDescent="0.25">
      <c r="A2" s="451" t="str">
        <f>desc</f>
        <v>Description</v>
      </c>
      <c r="B2" s="452"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2" ht="38.25" x14ac:dyDescent="0.25">
      <c r="A3" s="392" t="s">
        <v>822</v>
      </c>
      <c r="B3" s="321">
        <v>1</v>
      </c>
      <c r="C3" s="322" t="str">
        <f>Head5</f>
        <v>Audited Outcome</v>
      </c>
      <c r="D3" s="323" t="str">
        <f>Head5</f>
        <v>Audited Outcome</v>
      </c>
      <c r="E3" s="324" t="str">
        <f>Head5</f>
        <v>Audited Outcome</v>
      </c>
      <c r="F3" s="449" t="str">
        <f>Head6</f>
        <v>Original Budget</v>
      </c>
      <c r="G3" s="322" t="str">
        <f>Head7</f>
        <v>Adjusted Budget</v>
      </c>
      <c r="H3" s="450" t="str">
        <f>Head8</f>
        <v>Full Year Forecast</v>
      </c>
      <c r="I3" s="449" t="str">
        <f>Head9</f>
        <v>Budget Year 2020/21</v>
      </c>
      <c r="J3" s="322" t="str">
        <f>Head10</f>
        <v>Budget Year +1 2021/22</v>
      </c>
      <c r="K3" s="324" t="str">
        <f>Head11</f>
        <v>Budget Year +2 2022/23</v>
      </c>
    </row>
    <row r="4" spans="1:12" ht="12.75" customHeight="1" x14ac:dyDescent="0.25">
      <c r="A4" s="21" t="s">
        <v>824</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50578898.789999999</v>
      </c>
      <c r="D6" s="293">
        <f t="shared" ref="D6:K6" si="0">D7+D12+D16+D26+D37+D44+D52+D62+D68</f>
        <v>57563553.820000008</v>
      </c>
      <c r="E6" s="294">
        <f t="shared" si="0"/>
        <v>92664443.909999996</v>
      </c>
      <c r="F6" s="292">
        <f t="shared" si="0"/>
        <v>27433628</v>
      </c>
      <c r="G6" s="293">
        <f t="shared" si="0"/>
        <v>21328234</v>
      </c>
      <c r="H6" s="291">
        <f t="shared" si="0"/>
        <v>21328234</v>
      </c>
      <c r="I6" s="292">
        <f t="shared" si="0"/>
        <v>28668141</v>
      </c>
      <c r="J6" s="293">
        <f t="shared" si="0"/>
        <v>29986875</v>
      </c>
      <c r="K6" s="294">
        <f t="shared" si="0"/>
        <v>31366272</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302"/>
      <c r="C8" s="475"/>
      <c r="D8" s="475"/>
      <c r="E8" s="476"/>
      <c r="F8" s="477"/>
      <c r="G8" s="475"/>
      <c r="H8" s="478"/>
      <c r="I8" s="477"/>
      <c r="J8" s="475"/>
      <c r="K8" s="476"/>
      <c r="L8" s="474"/>
    </row>
    <row r="9" spans="1:12" s="472" customFormat="1" ht="13.15" customHeight="1" x14ac:dyDescent="0.25">
      <c r="A9" s="303" t="s">
        <v>855</v>
      </c>
      <c r="B9" s="302"/>
      <c r="C9" s="475"/>
      <c r="D9" s="475"/>
      <c r="E9" s="476"/>
      <c r="F9" s="477"/>
      <c r="G9" s="475"/>
      <c r="H9" s="478"/>
      <c r="I9" s="477"/>
      <c r="J9" s="475"/>
      <c r="K9" s="476"/>
      <c r="L9" s="479"/>
    </row>
    <row r="10" spans="1:12" s="472" customFormat="1" ht="13.15" customHeight="1" x14ac:dyDescent="0.25">
      <c r="A10" s="303" t="s">
        <v>856</v>
      </c>
      <c r="B10" s="302"/>
      <c r="C10" s="475"/>
      <c r="D10" s="475"/>
      <c r="E10" s="476"/>
      <c r="F10" s="477"/>
      <c r="G10" s="475"/>
      <c r="H10" s="478"/>
      <c r="I10" s="477"/>
      <c r="J10" s="475"/>
      <c r="K10" s="476"/>
      <c r="L10" s="479"/>
    </row>
    <row r="11" spans="1:12" s="472" customFormat="1" ht="13.15" customHeight="1" x14ac:dyDescent="0.25">
      <c r="A11" s="303" t="s">
        <v>857</v>
      </c>
      <c r="B11" s="302"/>
      <c r="C11" s="475"/>
      <c r="D11" s="475"/>
      <c r="E11" s="476"/>
      <c r="F11" s="477"/>
      <c r="G11" s="475"/>
      <c r="H11" s="478"/>
      <c r="I11" s="477"/>
      <c r="J11" s="475"/>
      <c r="K11" s="476"/>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475"/>
      <c r="D13" s="475"/>
      <c r="E13" s="480"/>
      <c r="F13" s="481"/>
      <c r="G13" s="475"/>
      <c r="H13" s="482"/>
      <c r="I13" s="483"/>
      <c r="J13" s="475"/>
      <c r="K13" s="482"/>
      <c r="L13" s="479"/>
    </row>
    <row r="14" spans="1:12" s="472" customFormat="1" ht="13.15" customHeight="1" x14ac:dyDescent="0.25">
      <c r="A14" s="303" t="s">
        <v>860</v>
      </c>
      <c r="B14" s="302"/>
      <c r="C14" s="475"/>
      <c r="D14" s="475"/>
      <c r="E14" s="480"/>
      <c r="F14" s="481"/>
      <c r="G14" s="475"/>
      <c r="H14" s="482"/>
      <c r="I14" s="483"/>
      <c r="J14" s="475"/>
      <c r="K14" s="482"/>
      <c r="L14" s="479"/>
    </row>
    <row r="15" spans="1:12" s="472" customFormat="1" ht="13.15" customHeight="1" x14ac:dyDescent="0.25">
      <c r="A15" s="303" t="s">
        <v>861</v>
      </c>
      <c r="B15" s="302"/>
      <c r="C15" s="475"/>
      <c r="D15" s="475"/>
      <c r="E15" s="480"/>
      <c r="F15" s="481"/>
      <c r="G15" s="475"/>
      <c r="H15" s="482"/>
      <c r="I15" s="483"/>
      <c r="J15" s="475"/>
      <c r="K15" s="482"/>
      <c r="L15" s="479"/>
    </row>
    <row r="16" spans="1:12" s="472" customFormat="1" ht="13.15" customHeight="1" x14ac:dyDescent="0.25">
      <c r="A16" s="285" t="s">
        <v>862</v>
      </c>
      <c r="B16" s="302"/>
      <c r="C16" s="422">
        <f t="shared" ref="C16:K16" si="3">SUM(C17:C25)</f>
        <v>50578898.789999999</v>
      </c>
      <c r="D16" s="422">
        <f t="shared" si="3"/>
        <v>57563553.820000008</v>
      </c>
      <c r="E16" s="423">
        <f t="shared" si="3"/>
        <v>92664443.909999996</v>
      </c>
      <c r="F16" s="424">
        <f t="shared" si="3"/>
        <v>27433628</v>
      </c>
      <c r="G16" s="422">
        <f t="shared" si="3"/>
        <v>21328234</v>
      </c>
      <c r="H16" s="425">
        <f t="shared" si="3"/>
        <v>21328234</v>
      </c>
      <c r="I16" s="426">
        <f t="shared" si="3"/>
        <v>28668141</v>
      </c>
      <c r="J16" s="422">
        <f t="shared" si="3"/>
        <v>29986875</v>
      </c>
      <c r="K16" s="425">
        <f t="shared" si="3"/>
        <v>31366272</v>
      </c>
      <c r="L16" s="479"/>
    </row>
    <row r="17" spans="1:12" s="472" customFormat="1" ht="13.15" customHeight="1" x14ac:dyDescent="0.25">
      <c r="A17" s="303" t="s">
        <v>863</v>
      </c>
      <c r="B17" s="302"/>
      <c r="C17" s="475"/>
      <c r="D17" s="475"/>
      <c r="E17" s="480">
        <v>87523953.129999995</v>
      </c>
      <c r="F17" s="481">
        <v>2223181</v>
      </c>
      <c r="G17" s="475">
        <v>1243313</v>
      </c>
      <c r="H17" s="475">
        <v>1243313</v>
      </c>
      <c r="I17" s="483">
        <v>2323224</v>
      </c>
      <c r="J17" s="475">
        <v>2430092</v>
      </c>
      <c r="K17" s="482">
        <v>2541877</v>
      </c>
      <c r="L17" s="479"/>
    </row>
    <row r="18" spans="1:12" s="472" customFormat="1" ht="13.15" customHeight="1" x14ac:dyDescent="0.25">
      <c r="A18" s="303" t="s">
        <v>864</v>
      </c>
      <c r="B18" s="302"/>
      <c r="C18" s="475">
        <v>33726783.879999995</v>
      </c>
      <c r="D18" s="475">
        <v>41115883.520000003</v>
      </c>
      <c r="E18" s="480">
        <v>5140490.78</v>
      </c>
      <c r="F18" s="481">
        <v>25210447</v>
      </c>
      <c r="G18" s="475">
        <v>20084921</v>
      </c>
      <c r="H18" s="475">
        <v>20084921</v>
      </c>
      <c r="I18" s="483">
        <v>26344917</v>
      </c>
      <c r="J18" s="475">
        <v>27556783</v>
      </c>
      <c r="K18" s="482">
        <v>28824395</v>
      </c>
      <c r="L18" s="479"/>
    </row>
    <row r="19" spans="1:12" s="472" customFormat="1" ht="13.15" customHeight="1" x14ac:dyDescent="0.25">
      <c r="A19" s="303" t="s">
        <v>865</v>
      </c>
      <c r="B19" s="302"/>
      <c r="C19" s="475"/>
      <c r="D19" s="475"/>
      <c r="E19" s="480"/>
      <c r="F19" s="481"/>
      <c r="G19" s="475"/>
      <c r="H19" s="475"/>
      <c r="I19" s="483"/>
      <c r="J19" s="475"/>
      <c r="K19" s="482"/>
      <c r="L19" s="479"/>
    </row>
    <row r="20" spans="1:12" s="472" customFormat="1" ht="13.15" customHeight="1" x14ac:dyDescent="0.25">
      <c r="A20" s="303" t="s">
        <v>866</v>
      </c>
      <c r="B20" s="302"/>
      <c r="C20" s="475"/>
      <c r="D20" s="475"/>
      <c r="E20" s="480"/>
      <c r="F20" s="481"/>
      <c r="G20" s="475"/>
      <c r="H20" s="475"/>
      <c r="I20" s="483"/>
      <c r="J20" s="475"/>
      <c r="K20" s="482"/>
      <c r="L20" s="479"/>
    </row>
    <row r="21" spans="1:12" s="472" customFormat="1" ht="13.15" customHeight="1" x14ac:dyDescent="0.25">
      <c r="A21" s="303" t="s">
        <v>867</v>
      </c>
      <c r="B21" s="302"/>
      <c r="C21" s="475">
        <v>11139388.669999998</v>
      </c>
      <c r="D21" s="475">
        <v>13335284.300000001</v>
      </c>
      <c r="E21" s="480"/>
      <c r="F21" s="481"/>
      <c r="G21" s="475"/>
      <c r="H21" s="475"/>
      <c r="I21" s="483"/>
      <c r="J21" s="475"/>
      <c r="K21" s="482"/>
      <c r="L21" s="479"/>
    </row>
    <row r="22" spans="1:12" s="472" customFormat="1" ht="13.15" customHeight="1" x14ac:dyDescent="0.25">
      <c r="A22" s="303" t="s">
        <v>868</v>
      </c>
      <c r="B22" s="302"/>
      <c r="C22" s="475"/>
      <c r="D22" s="475"/>
      <c r="E22" s="480"/>
      <c r="F22" s="481"/>
      <c r="G22" s="475"/>
      <c r="H22" s="475"/>
      <c r="I22" s="483"/>
      <c r="J22" s="475"/>
      <c r="K22" s="482"/>
      <c r="L22" s="474"/>
    </row>
    <row r="23" spans="1:12" s="472" customFormat="1" ht="13.15" customHeight="1" x14ac:dyDescent="0.25">
      <c r="A23" s="303" t="s">
        <v>869</v>
      </c>
      <c r="B23" s="302"/>
      <c r="C23" s="475"/>
      <c r="D23" s="475"/>
      <c r="E23" s="480"/>
      <c r="F23" s="481"/>
      <c r="G23" s="475"/>
      <c r="H23" s="475"/>
      <c r="I23" s="483"/>
      <c r="J23" s="475"/>
      <c r="K23" s="482"/>
      <c r="L23" s="479"/>
    </row>
    <row r="24" spans="1:12" s="472" customFormat="1" ht="13.15" customHeight="1" x14ac:dyDescent="0.25">
      <c r="A24" s="303" t="s">
        <v>870</v>
      </c>
      <c r="B24" s="302"/>
      <c r="C24" s="475">
        <v>5712726.2399999993</v>
      </c>
      <c r="D24" s="475">
        <v>3112386</v>
      </c>
      <c r="E24" s="480">
        <v>0</v>
      </c>
      <c r="F24" s="481">
        <v>0</v>
      </c>
      <c r="G24" s="475">
        <v>0</v>
      </c>
      <c r="H24" s="475">
        <v>0</v>
      </c>
      <c r="I24" s="483"/>
      <c r="J24" s="475"/>
      <c r="K24" s="482"/>
      <c r="L24" s="479"/>
    </row>
    <row r="25" spans="1:12" s="472" customFormat="1" ht="13.15" customHeight="1" x14ac:dyDescent="0.25">
      <c r="A25" s="303" t="s">
        <v>857</v>
      </c>
      <c r="B25" s="302"/>
      <c r="C25" s="475"/>
      <c r="D25" s="475">
        <v>0</v>
      </c>
      <c r="E25" s="480"/>
      <c r="F25" s="481"/>
      <c r="G25" s="475"/>
      <c r="H25" s="475"/>
      <c r="I25" s="483"/>
      <c r="J25" s="475"/>
      <c r="K25" s="482"/>
      <c r="L25" s="479"/>
    </row>
    <row r="26" spans="1:12" ht="13.15" customHeight="1" x14ac:dyDescent="0.25">
      <c r="A26" s="284" t="s">
        <v>871</v>
      </c>
      <c r="B26" s="454"/>
      <c r="C26" s="422">
        <f>SUM(C27:C36)</f>
        <v>0</v>
      </c>
      <c r="D26" s="422">
        <f t="shared" ref="D26:K26" si="4">SUM(D27:D36)</f>
        <v>0</v>
      </c>
      <c r="E26" s="423">
        <v>0</v>
      </c>
      <c r="F26" s="424">
        <v>0</v>
      </c>
      <c r="G26" s="422">
        <v>0</v>
      </c>
      <c r="H26" s="425">
        <f t="shared" si="4"/>
        <v>0</v>
      </c>
      <c r="I26" s="426">
        <f t="shared" si="4"/>
        <v>0</v>
      </c>
      <c r="J26" s="422">
        <f t="shared" si="4"/>
        <v>0</v>
      </c>
      <c r="K26" s="425">
        <f t="shared" si="4"/>
        <v>0</v>
      </c>
      <c r="L26" s="438"/>
    </row>
    <row r="27" spans="1:12" ht="13.15" customHeight="1" x14ac:dyDescent="0.25">
      <c r="A27" s="303" t="s">
        <v>872</v>
      </c>
      <c r="B27" s="302"/>
      <c r="C27" s="475"/>
      <c r="D27" s="475"/>
      <c r="E27" s="480"/>
      <c r="F27" s="481"/>
      <c r="G27" s="475"/>
      <c r="H27" s="482"/>
      <c r="I27" s="483"/>
      <c r="J27" s="475"/>
      <c r="K27" s="482"/>
      <c r="L27" s="438"/>
    </row>
    <row r="28" spans="1:12" ht="13.15" customHeight="1" x14ac:dyDescent="0.25">
      <c r="A28" s="303" t="s">
        <v>873</v>
      </c>
      <c r="B28" s="302"/>
      <c r="C28" s="475"/>
      <c r="D28" s="475"/>
      <c r="E28" s="480"/>
      <c r="F28" s="481"/>
      <c r="G28" s="475"/>
      <c r="H28" s="482"/>
      <c r="I28" s="483"/>
      <c r="J28" s="475"/>
      <c r="K28" s="482"/>
      <c r="L28" s="479"/>
    </row>
    <row r="29" spans="1:12" ht="13.15" customHeight="1" x14ac:dyDescent="0.25">
      <c r="A29" s="303" t="s">
        <v>874</v>
      </c>
      <c r="B29" s="302"/>
      <c r="C29" s="475"/>
      <c r="D29" s="475"/>
      <c r="E29" s="480"/>
      <c r="F29" s="481"/>
      <c r="G29" s="475"/>
      <c r="H29" s="482"/>
      <c r="I29" s="483"/>
      <c r="J29" s="475"/>
      <c r="K29" s="482"/>
      <c r="L29" s="479"/>
    </row>
    <row r="30" spans="1:12" ht="13.15" customHeight="1" x14ac:dyDescent="0.25">
      <c r="A30" s="303" t="s">
        <v>875</v>
      </c>
      <c r="B30" s="302"/>
      <c r="C30" s="475"/>
      <c r="D30" s="475"/>
      <c r="E30" s="480"/>
      <c r="F30" s="481"/>
      <c r="G30" s="475"/>
      <c r="H30" s="482"/>
      <c r="I30" s="483"/>
      <c r="J30" s="475"/>
      <c r="K30" s="482"/>
      <c r="L30" s="479"/>
    </row>
    <row r="31" spans="1:12" ht="13.15" customHeight="1" x14ac:dyDescent="0.25">
      <c r="A31" s="303" t="s">
        <v>876</v>
      </c>
      <c r="B31" s="302"/>
      <c r="C31" s="475"/>
      <c r="D31" s="475"/>
      <c r="E31" s="480"/>
      <c r="F31" s="481"/>
      <c r="G31" s="475"/>
      <c r="H31" s="482"/>
      <c r="I31" s="483"/>
      <c r="J31" s="475"/>
      <c r="K31" s="482"/>
      <c r="L31" s="479"/>
    </row>
    <row r="32" spans="1:12" ht="13.15" customHeight="1" x14ac:dyDescent="0.25">
      <c r="A32" s="303" t="s">
        <v>877</v>
      </c>
      <c r="B32" s="302"/>
      <c r="C32" s="475"/>
      <c r="D32" s="475"/>
      <c r="E32" s="480"/>
      <c r="F32" s="481"/>
      <c r="G32" s="475"/>
      <c r="H32" s="482"/>
      <c r="I32" s="483"/>
      <c r="J32" s="475"/>
      <c r="K32" s="482"/>
      <c r="L32" s="479"/>
    </row>
    <row r="33" spans="1:15" ht="13.15" customHeight="1" x14ac:dyDescent="0.25">
      <c r="A33" s="303" t="s">
        <v>878</v>
      </c>
      <c r="B33" s="302"/>
      <c r="C33" s="475"/>
      <c r="D33" s="475"/>
      <c r="E33" s="480"/>
      <c r="F33" s="481"/>
      <c r="G33" s="475"/>
      <c r="H33" s="482"/>
      <c r="I33" s="483"/>
      <c r="J33" s="475"/>
      <c r="K33" s="482"/>
      <c r="L33" s="479"/>
    </row>
    <row r="34" spans="1:15" ht="13.15" customHeight="1" x14ac:dyDescent="0.25">
      <c r="A34" s="303" t="s">
        <v>879</v>
      </c>
      <c r="B34" s="302"/>
      <c r="C34" s="475"/>
      <c r="D34" s="475"/>
      <c r="E34" s="480"/>
      <c r="F34" s="481"/>
      <c r="G34" s="475"/>
      <c r="H34" s="482"/>
      <c r="I34" s="483"/>
      <c r="J34" s="475"/>
      <c r="K34" s="482"/>
      <c r="L34" s="479"/>
    </row>
    <row r="35" spans="1:15" ht="13.15" customHeight="1" x14ac:dyDescent="0.25">
      <c r="A35" s="303" t="s">
        <v>880</v>
      </c>
      <c r="B35" s="302"/>
      <c r="C35" s="475"/>
      <c r="D35" s="475"/>
      <c r="E35" s="480"/>
      <c r="F35" s="481"/>
      <c r="G35" s="475"/>
      <c r="H35" s="482"/>
      <c r="I35" s="483"/>
      <c r="J35" s="475"/>
      <c r="K35" s="482"/>
      <c r="L35" s="479"/>
    </row>
    <row r="36" spans="1:15" ht="13.15" customHeight="1" x14ac:dyDescent="0.25">
      <c r="A36" s="303" t="s">
        <v>857</v>
      </c>
      <c r="B36" s="302"/>
      <c r="C36" s="475"/>
      <c r="D36" s="475"/>
      <c r="E36" s="480"/>
      <c r="F36" s="481"/>
      <c r="G36" s="475"/>
      <c r="H36" s="482"/>
      <c r="I36" s="483"/>
      <c r="J36" s="475"/>
      <c r="K36" s="482"/>
      <c r="L36" s="479"/>
    </row>
    <row r="37" spans="1:15" ht="13.15" customHeight="1" x14ac:dyDescent="0.25">
      <c r="A37" s="284" t="s">
        <v>881</v>
      </c>
      <c r="B37" s="302"/>
      <c r="C37" s="422">
        <f>SUM(C38:C43)</f>
        <v>0</v>
      </c>
      <c r="D37" s="422">
        <f t="shared" ref="D37:K37" si="5">SUM(D38:D43)</f>
        <v>0</v>
      </c>
      <c r="E37" s="423">
        <v>0</v>
      </c>
      <c r="F37" s="424">
        <v>0</v>
      </c>
      <c r="G37" s="422">
        <v>0</v>
      </c>
      <c r="H37" s="425">
        <f t="shared" si="5"/>
        <v>0</v>
      </c>
      <c r="I37" s="426">
        <f t="shared" si="5"/>
        <v>0</v>
      </c>
      <c r="J37" s="422">
        <f t="shared" si="5"/>
        <v>0</v>
      </c>
      <c r="K37" s="425">
        <f t="shared" si="5"/>
        <v>0</v>
      </c>
      <c r="L37" s="479"/>
      <c r="O37" s="438"/>
    </row>
    <row r="38" spans="1:15" ht="13.15" customHeight="1" x14ac:dyDescent="0.25">
      <c r="A38" s="303" t="s">
        <v>882</v>
      </c>
      <c r="B38" s="302"/>
      <c r="C38" s="475"/>
      <c r="D38" s="475"/>
      <c r="E38" s="480"/>
      <c r="F38" s="481"/>
      <c r="G38" s="475"/>
      <c r="H38" s="482"/>
      <c r="I38" s="483"/>
      <c r="J38" s="475"/>
      <c r="K38" s="482"/>
      <c r="L38" s="479"/>
    </row>
    <row r="39" spans="1:15" ht="13.15" customHeight="1" x14ac:dyDescent="0.25">
      <c r="A39" s="303" t="s">
        <v>497</v>
      </c>
      <c r="B39" s="302"/>
      <c r="C39" s="475"/>
      <c r="D39" s="475"/>
      <c r="E39" s="480"/>
      <c r="F39" s="481"/>
      <c r="G39" s="475"/>
      <c r="H39" s="482"/>
      <c r="I39" s="483"/>
      <c r="J39" s="475"/>
      <c r="K39" s="482"/>
      <c r="L39" s="479"/>
    </row>
    <row r="40" spans="1:15" ht="13.15" customHeight="1" x14ac:dyDescent="0.25">
      <c r="A40" s="303" t="s">
        <v>883</v>
      </c>
      <c r="B40" s="302"/>
      <c r="C40" s="475"/>
      <c r="D40" s="475"/>
      <c r="E40" s="480"/>
      <c r="F40" s="481"/>
      <c r="G40" s="475"/>
      <c r="H40" s="482"/>
      <c r="I40" s="483"/>
      <c r="J40" s="475"/>
      <c r="K40" s="482"/>
      <c r="L40" s="438"/>
    </row>
    <row r="41" spans="1:15" ht="13.15" customHeight="1" x14ac:dyDescent="0.25">
      <c r="A41" s="303" t="s">
        <v>884</v>
      </c>
      <c r="B41" s="302"/>
      <c r="C41" s="475"/>
      <c r="D41" s="475"/>
      <c r="E41" s="480"/>
      <c r="F41" s="481"/>
      <c r="G41" s="475"/>
      <c r="H41" s="482"/>
      <c r="I41" s="483"/>
      <c r="J41" s="475"/>
      <c r="K41" s="482"/>
      <c r="L41" s="479"/>
    </row>
    <row r="42" spans="1:15" ht="13.15" customHeight="1" x14ac:dyDescent="0.25">
      <c r="A42" s="303" t="s">
        <v>885</v>
      </c>
      <c r="B42" s="302"/>
      <c r="C42" s="475"/>
      <c r="D42" s="475"/>
      <c r="E42" s="480"/>
      <c r="F42" s="481"/>
      <c r="G42" s="475"/>
      <c r="H42" s="482"/>
      <c r="I42" s="483"/>
      <c r="J42" s="475"/>
      <c r="K42" s="482"/>
      <c r="L42" s="438"/>
    </row>
    <row r="43" spans="1:15" ht="13.15" customHeight="1" x14ac:dyDescent="0.25">
      <c r="A43" s="303" t="s">
        <v>857</v>
      </c>
      <c r="B43" s="302"/>
      <c r="C43" s="475"/>
      <c r="D43" s="475"/>
      <c r="E43" s="480"/>
      <c r="F43" s="481"/>
      <c r="G43" s="475"/>
      <c r="H43" s="482"/>
      <c r="I43" s="483"/>
      <c r="J43" s="475"/>
      <c r="K43" s="482"/>
      <c r="L43" s="438"/>
    </row>
    <row r="44" spans="1:15" ht="13.15" customHeight="1" x14ac:dyDescent="0.25">
      <c r="A44" s="284" t="s">
        <v>886</v>
      </c>
      <c r="B44" s="302"/>
      <c r="C44" s="422">
        <f>SUM(C45:C51)</f>
        <v>0</v>
      </c>
      <c r="D44" s="422">
        <f t="shared" ref="D44:K44" si="6">SUM(D45:D51)</f>
        <v>0</v>
      </c>
      <c r="E44" s="423">
        <v>0</v>
      </c>
      <c r="F44" s="424">
        <v>0</v>
      </c>
      <c r="G44" s="422">
        <v>0</v>
      </c>
      <c r="H44" s="425">
        <f t="shared" si="6"/>
        <v>0</v>
      </c>
      <c r="I44" s="426">
        <f t="shared" si="6"/>
        <v>0</v>
      </c>
      <c r="J44" s="422">
        <f t="shared" si="6"/>
        <v>0</v>
      </c>
      <c r="K44" s="425">
        <f t="shared" si="6"/>
        <v>0</v>
      </c>
      <c r="L44" s="438"/>
    </row>
    <row r="45" spans="1:15" ht="13.15" customHeight="1" x14ac:dyDescent="0.25">
      <c r="A45" s="303" t="s">
        <v>887</v>
      </c>
      <c r="B45" s="302"/>
      <c r="C45" s="475"/>
      <c r="D45" s="475"/>
      <c r="E45" s="480"/>
      <c r="F45" s="481"/>
      <c r="G45" s="475"/>
      <c r="H45" s="482"/>
      <c r="I45" s="483"/>
      <c r="J45" s="475"/>
      <c r="K45" s="482"/>
      <c r="L45" s="438"/>
    </row>
    <row r="46" spans="1:15" ht="13.15" customHeight="1" x14ac:dyDescent="0.25">
      <c r="A46" s="303" t="s">
        <v>888</v>
      </c>
      <c r="B46" s="302"/>
      <c r="C46" s="475"/>
      <c r="D46" s="475"/>
      <c r="E46" s="480"/>
      <c r="F46" s="481"/>
      <c r="G46" s="475"/>
      <c r="H46" s="482"/>
      <c r="I46" s="483"/>
      <c r="J46" s="475"/>
      <c r="K46" s="482"/>
      <c r="L46" s="438"/>
    </row>
    <row r="47" spans="1:15" ht="13.15" customHeight="1" x14ac:dyDescent="0.25">
      <c r="A47" s="303" t="s">
        <v>889</v>
      </c>
      <c r="B47" s="302"/>
      <c r="C47" s="475"/>
      <c r="D47" s="475"/>
      <c r="E47" s="480"/>
      <c r="F47" s="481"/>
      <c r="G47" s="475"/>
      <c r="H47" s="482"/>
      <c r="I47" s="483"/>
      <c r="J47" s="475"/>
      <c r="K47" s="482"/>
      <c r="L47" s="438"/>
    </row>
    <row r="48" spans="1:15" ht="13.15" customHeight="1" x14ac:dyDescent="0.25">
      <c r="A48" s="303" t="s">
        <v>890</v>
      </c>
      <c r="B48" s="302"/>
      <c r="C48" s="475"/>
      <c r="D48" s="475"/>
      <c r="E48" s="480"/>
      <c r="F48" s="481"/>
      <c r="G48" s="475"/>
      <c r="H48" s="482"/>
      <c r="I48" s="483"/>
      <c r="J48" s="475"/>
      <c r="K48" s="482"/>
      <c r="L48" s="479"/>
    </row>
    <row r="49" spans="1:12" ht="13.15" customHeight="1" x14ac:dyDescent="0.25">
      <c r="A49" s="303" t="s">
        <v>891</v>
      </c>
      <c r="B49" s="302"/>
      <c r="C49" s="475"/>
      <c r="D49" s="475"/>
      <c r="E49" s="480"/>
      <c r="F49" s="481"/>
      <c r="G49" s="475"/>
      <c r="H49" s="482"/>
      <c r="I49" s="483"/>
      <c r="J49" s="475"/>
      <c r="K49" s="482"/>
      <c r="L49" s="438"/>
    </row>
    <row r="50" spans="1:12" ht="13.15" customHeight="1" x14ac:dyDescent="0.25">
      <c r="A50" s="303" t="s">
        <v>892</v>
      </c>
      <c r="B50" s="302"/>
      <c r="C50" s="475"/>
      <c r="D50" s="475"/>
      <c r="E50" s="480"/>
      <c r="F50" s="481"/>
      <c r="G50" s="475"/>
      <c r="H50" s="482"/>
      <c r="I50" s="483"/>
      <c r="J50" s="475"/>
      <c r="K50" s="482"/>
      <c r="L50" s="438"/>
    </row>
    <row r="51" spans="1:12" ht="13.15" customHeight="1" x14ac:dyDescent="0.25">
      <c r="A51" s="303" t="s">
        <v>857</v>
      </c>
      <c r="B51" s="302"/>
      <c r="C51" s="475"/>
      <c r="D51" s="475"/>
      <c r="E51" s="480"/>
      <c r="F51" s="481"/>
      <c r="G51" s="475"/>
      <c r="H51" s="482"/>
      <c r="I51" s="483"/>
      <c r="J51" s="475"/>
      <c r="K51" s="482"/>
      <c r="L51" s="438"/>
    </row>
    <row r="52" spans="1:12" ht="13.15" customHeight="1" x14ac:dyDescent="0.25">
      <c r="A52" s="285" t="s">
        <v>893</v>
      </c>
      <c r="B52" s="302"/>
      <c r="C52" s="422">
        <f t="shared" ref="C52:K52" si="7">SUM(C53:C61)</f>
        <v>0</v>
      </c>
      <c r="D52" s="422">
        <f t="shared" si="7"/>
        <v>0</v>
      </c>
      <c r="E52" s="423">
        <v>0</v>
      </c>
      <c r="F52" s="424">
        <v>0</v>
      </c>
      <c r="G52" s="422">
        <v>0</v>
      </c>
      <c r="H52" s="425">
        <f t="shared" si="7"/>
        <v>0</v>
      </c>
      <c r="I52" s="426">
        <f t="shared" si="7"/>
        <v>0</v>
      </c>
      <c r="J52" s="422">
        <f t="shared" si="7"/>
        <v>0</v>
      </c>
      <c r="K52" s="425">
        <f t="shared" si="7"/>
        <v>0</v>
      </c>
      <c r="L52" s="479"/>
    </row>
    <row r="53" spans="1:12" ht="13.15" customHeight="1" x14ac:dyDescent="0.25">
      <c r="A53" s="303" t="s">
        <v>894</v>
      </c>
      <c r="B53" s="302"/>
      <c r="C53" s="475"/>
      <c r="D53" s="475"/>
      <c r="E53" s="480"/>
      <c r="F53" s="481"/>
      <c r="G53" s="475"/>
      <c r="H53" s="482"/>
      <c r="I53" s="483"/>
      <c r="J53" s="475"/>
      <c r="K53" s="482"/>
      <c r="L53" s="438"/>
    </row>
    <row r="54" spans="1:12" ht="13.15" customHeight="1" x14ac:dyDescent="0.25">
      <c r="A54" s="303" t="s">
        <v>895</v>
      </c>
      <c r="B54" s="302"/>
      <c r="C54" s="475"/>
      <c r="D54" s="475"/>
      <c r="E54" s="480"/>
      <c r="F54" s="481"/>
      <c r="G54" s="475"/>
      <c r="H54" s="482"/>
      <c r="I54" s="483"/>
      <c r="J54" s="475"/>
      <c r="K54" s="482"/>
      <c r="L54" s="479"/>
    </row>
    <row r="55" spans="1:12" ht="13.15" customHeight="1" x14ac:dyDescent="0.25">
      <c r="A55" s="303" t="s">
        <v>896</v>
      </c>
      <c r="B55" s="302"/>
      <c r="C55" s="475"/>
      <c r="D55" s="475"/>
      <c r="E55" s="480"/>
      <c r="F55" s="481"/>
      <c r="G55" s="475"/>
      <c r="H55" s="482"/>
      <c r="I55" s="483"/>
      <c r="J55" s="475"/>
      <c r="K55" s="482"/>
      <c r="L55" s="479"/>
    </row>
    <row r="56" spans="1:12" ht="13.15" customHeight="1" x14ac:dyDescent="0.25">
      <c r="A56" s="303" t="s">
        <v>859</v>
      </c>
      <c r="B56" s="302"/>
      <c r="C56" s="475"/>
      <c r="D56" s="475"/>
      <c r="E56" s="480"/>
      <c r="F56" s="481"/>
      <c r="G56" s="475"/>
      <c r="H56" s="482"/>
      <c r="I56" s="483"/>
      <c r="J56" s="475"/>
      <c r="K56" s="482"/>
      <c r="L56" s="479"/>
    </row>
    <row r="57" spans="1:12" ht="13.15" customHeight="1" x14ac:dyDescent="0.25">
      <c r="A57" s="303" t="s">
        <v>860</v>
      </c>
      <c r="B57" s="302"/>
      <c r="C57" s="475"/>
      <c r="D57" s="475"/>
      <c r="E57" s="480"/>
      <c r="F57" s="481"/>
      <c r="G57" s="475"/>
      <c r="H57" s="482"/>
      <c r="I57" s="483"/>
      <c r="J57" s="475"/>
      <c r="K57" s="482"/>
      <c r="L57" s="479"/>
    </row>
    <row r="58" spans="1:12" ht="13.15" customHeight="1" x14ac:dyDescent="0.25">
      <c r="A58" s="303" t="s">
        <v>861</v>
      </c>
      <c r="B58" s="302"/>
      <c r="C58" s="475"/>
      <c r="D58" s="475"/>
      <c r="E58" s="480"/>
      <c r="F58" s="481"/>
      <c r="G58" s="475"/>
      <c r="H58" s="482"/>
      <c r="I58" s="483"/>
      <c r="J58" s="475"/>
      <c r="K58" s="482"/>
      <c r="L58" s="474"/>
    </row>
    <row r="59" spans="1:12" ht="13.15" customHeight="1" x14ac:dyDescent="0.25">
      <c r="A59" s="303" t="s">
        <v>867</v>
      </c>
      <c r="B59" s="302"/>
      <c r="C59" s="475"/>
      <c r="D59" s="475"/>
      <c r="E59" s="480"/>
      <c r="F59" s="481"/>
      <c r="G59" s="475"/>
      <c r="H59" s="482"/>
      <c r="I59" s="483"/>
      <c r="J59" s="475"/>
      <c r="K59" s="482"/>
      <c r="L59" s="479"/>
    </row>
    <row r="60" spans="1:12" ht="13.15" customHeight="1" x14ac:dyDescent="0.25">
      <c r="A60" s="303" t="s">
        <v>870</v>
      </c>
      <c r="B60" s="302"/>
      <c r="C60" s="475"/>
      <c r="D60" s="475"/>
      <c r="E60" s="480"/>
      <c r="F60" s="481"/>
      <c r="G60" s="475"/>
      <c r="H60" s="482"/>
      <c r="I60" s="483"/>
      <c r="J60" s="475"/>
      <c r="K60" s="482"/>
      <c r="L60" s="479"/>
    </row>
    <row r="61" spans="1:12" ht="13.15" customHeight="1" x14ac:dyDescent="0.25">
      <c r="A61" s="303" t="s">
        <v>857</v>
      </c>
      <c r="B61" s="302"/>
      <c r="C61" s="475"/>
      <c r="D61" s="475"/>
      <c r="E61" s="480"/>
      <c r="F61" s="481"/>
      <c r="G61" s="475"/>
      <c r="H61" s="482"/>
      <c r="I61" s="483"/>
      <c r="J61" s="475"/>
      <c r="K61" s="482"/>
      <c r="L61" s="479"/>
    </row>
    <row r="62" spans="1:12" ht="13.15" customHeight="1" x14ac:dyDescent="0.25">
      <c r="A62" s="284" t="s">
        <v>897</v>
      </c>
      <c r="B62" s="302"/>
      <c r="C62" s="422">
        <f>SUM(C63:C67)</f>
        <v>0</v>
      </c>
      <c r="D62" s="422">
        <f t="shared" ref="D62:K62" si="8">SUM(D63:D67)</f>
        <v>0</v>
      </c>
      <c r="E62" s="423">
        <v>0</v>
      </c>
      <c r="F62" s="424">
        <v>0</v>
      </c>
      <c r="G62" s="422">
        <v>0</v>
      </c>
      <c r="H62" s="425">
        <f t="shared" si="8"/>
        <v>0</v>
      </c>
      <c r="I62" s="426">
        <f t="shared" si="8"/>
        <v>0</v>
      </c>
      <c r="J62" s="422">
        <f t="shared" si="8"/>
        <v>0</v>
      </c>
      <c r="K62" s="425">
        <f t="shared" si="8"/>
        <v>0</v>
      </c>
      <c r="L62" s="479"/>
    </row>
    <row r="63" spans="1:12" ht="13.15" customHeight="1" x14ac:dyDescent="0.25">
      <c r="A63" s="303" t="s">
        <v>898</v>
      </c>
      <c r="B63" s="302"/>
      <c r="C63" s="475"/>
      <c r="D63" s="475"/>
      <c r="E63" s="480"/>
      <c r="F63" s="481"/>
      <c r="G63" s="475"/>
      <c r="H63" s="482"/>
      <c r="I63" s="483"/>
      <c r="J63" s="475"/>
      <c r="K63" s="482"/>
      <c r="L63" s="479"/>
    </row>
    <row r="64" spans="1:12" ht="13.15" customHeight="1" x14ac:dyDescent="0.25">
      <c r="A64" s="303" t="s">
        <v>899</v>
      </c>
      <c r="B64" s="302"/>
      <c r="C64" s="475"/>
      <c r="D64" s="475"/>
      <c r="E64" s="480"/>
      <c r="F64" s="481"/>
      <c r="G64" s="475"/>
      <c r="H64" s="482"/>
      <c r="I64" s="483"/>
      <c r="J64" s="475"/>
      <c r="K64" s="482"/>
      <c r="L64" s="438"/>
    </row>
    <row r="65" spans="1:12" ht="13.15" customHeight="1" x14ac:dyDescent="0.25">
      <c r="A65" s="303" t="s">
        <v>900</v>
      </c>
      <c r="B65" s="302"/>
      <c r="C65" s="475"/>
      <c r="D65" s="475"/>
      <c r="E65" s="480"/>
      <c r="F65" s="481"/>
      <c r="G65" s="475"/>
      <c r="H65" s="482"/>
      <c r="I65" s="483"/>
      <c r="J65" s="475"/>
      <c r="K65" s="482"/>
      <c r="L65" s="438"/>
    </row>
    <row r="66" spans="1:12" ht="13.15" customHeight="1" x14ac:dyDescent="0.25">
      <c r="A66" s="303" t="s">
        <v>901</v>
      </c>
      <c r="B66" s="302"/>
      <c r="C66" s="475"/>
      <c r="D66" s="475"/>
      <c r="E66" s="480"/>
      <c r="F66" s="481"/>
      <c r="G66" s="475"/>
      <c r="H66" s="482"/>
      <c r="I66" s="483"/>
      <c r="J66" s="475"/>
      <c r="K66" s="482"/>
      <c r="L66" s="438"/>
    </row>
    <row r="67" spans="1:12" ht="13.15" customHeight="1" x14ac:dyDescent="0.25">
      <c r="A67" s="303" t="s">
        <v>857</v>
      </c>
      <c r="B67" s="302"/>
      <c r="C67" s="475"/>
      <c r="D67" s="475"/>
      <c r="E67" s="480"/>
      <c r="F67" s="481"/>
      <c r="G67" s="475"/>
      <c r="H67" s="482"/>
      <c r="I67" s="483"/>
      <c r="J67" s="475"/>
      <c r="K67" s="482"/>
      <c r="L67" s="438"/>
    </row>
    <row r="68" spans="1:12" ht="13.15" customHeight="1" x14ac:dyDescent="0.25">
      <c r="A68" s="285" t="s">
        <v>902</v>
      </c>
      <c r="B68" s="302"/>
      <c r="C68" s="422">
        <f>SUM(C69:C72)</f>
        <v>0</v>
      </c>
      <c r="D68" s="422">
        <f t="shared" ref="D68:K68" si="9">SUM(D69:D72)</f>
        <v>0</v>
      </c>
      <c r="E68" s="422">
        <v>0</v>
      </c>
      <c r="F68" s="424">
        <v>0</v>
      </c>
      <c r="G68" s="422">
        <v>0</v>
      </c>
      <c r="H68" s="425">
        <f t="shared" si="9"/>
        <v>0</v>
      </c>
      <c r="I68" s="426">
        <f t="shared" si="9"/>
        <v>0</v>
      </c>
      <c r="J68" s="422">
        <f t="shared" si="9"/>
        <v>0</v>
      </c>
      <c r="K68" s="425">
        <f t="shared" si="9"/>
        <v>0</v>
      </c>
      <c r="L68" s="438"/>
    </row>
    <row r="69" spans="1:12" ht="13.15" customHeight="1" x14ac:dyDescent="0.25">
      <c r="A69" s="303" t="s">
        <v>903</v>
      </c>
      <c r="B69" s="302"/>
      <c r="C69" s="475"/>
      <c r="D69" s="475"/>
      <c r="E69" s="478"/>
      <c r="F69" s="477"/>
      <c r="G69" s="475"/>
      <c r="H69" s="478"/>
      <c r="I69" s="477"/>
      <c r="J69" s="475"/>
      <c r="K69" s="482"/>
      <c r="L69" s="438"/>
    </row>
    <row r="70" spans="1:12" ht="13.15" customHeight="1" x14ac:dyDescent="0.25">
      <c r="A70" s="303" t="s">
        <v>904</v>
      </c>
      <c r="B70" s="302"/>
      <c r="C70" s="475"/>
      <c r="D70" s="475"/>
      <c r="E70" s="476"/>
      <c r="F70" s="477"/>
      <c r="G70" s="475"/>
      <c r="H70" s="478"/>
      <c r="I70" s="477"/>
      <c r="J70" s="475"/>
      <c r="K70" s="482"/>
      <c r="L70" s="438"/>
    </row>
    <row r="71" spans="1:12" ht="13.15" customHeight="1" x14ac:dyDescent="0.25">
      <c r="A71" s="303" t="s">
        <v>905</v>
      </c>
      <c r="B71" s="302"/>
      <c r="C71" s="475"/>
      <c r="D71" s="475"/>
      <c r="E71" s="476"/>
      <c r="F71" s="477"/>
      <c r="G71" s="475"/>
      <c r="H71" s="478"/>
      <c r="I71" s="477"/>
      <c r="J71" s="475"/>
      <c r="K71" s="476"/>
      <c r="L71" s="438"/>
    </row>
    <row r="72" spans="1:12" ht="13.15" customHeight="1" x14ac:dyDescent="0.25">
      <c r="A72" s="303" t="s">
        <v>857</v>
      </c>
      <c r="B72" s="302"/>
      <c r="C72" s="475"/>
      <c r="D72" s="475"/>
      <c r="E72" s="476"/>
      <c r="F72" s="477"/>
      <c r="G72" s="475"/>
      <c r="H72" s="478"/>
      <c r="I72" s="477"/>
      <c r="J72" s="475"/>
      <c r="K72" s="476"/>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v>0</v>
      </c>
      <c r="F74" s="292">
        <v>0</v>
      </c>
      <c r="G74" s="293">
        <v>0</v>
      </c>
      <c r="H74" s="291">
        <f t="shared" si="10"/>
        <v>0</v>
      </c>
      <c r="I74" s="292">
        <f t="shared" si="10"/>
        <v>0</v>
      </c>
      <c r="J74" s="293">
        <f t="shared" si="10"/>
        <v>0</v>
      </c>
      <c r="K74" s="294">
        <f t="shared" si="10"/>
        <v>0</v>
      </c>
      <c r="L74" s="438"/>
    </row>
    <row r="75" spans="1:12" ht="13.15" customHeight="1" x14ac:dyDescent="0.25">
      <c r="A75" s="285" t="s">
        <v>907</v>
      </c>
      <c r="B75" s="302"/>
      <c r="C75" s="417">
        <f>SUM(C76:C97)</f>
        <v>0</v>
      </c>
      <c r="D75" s="417">
        <f t="shared" ref="D75:K75" si="11">SUM(D76:D97)</f>
        <v>0</v>
      </c>
      <c r="E75" s="418">
        <v>0</v>
      </c>
      <c r="F75" s="419">
        <v>0</v>
      </c>
      <c r="G75" s="417">
        <v>0</v>
      </c>
      <c r="H75" s="420">
        <f t="shared" si="11"/>
        <v>0</v>
      </c>
      <c r="I75" s="419">
        <f t="shared" si="11"/>
        <v>0</v>
      </c>
      <c r="J75" s="417">
        <f t="shared" si="11"/>
        <v>0</v>
      </c>
      <c r="K75" s="420">
        <f t="shared" si="11"/>
        <v>0</v>
      </c>
      <c r="L75" s="438"/>
    </row>
    <row r="76" spans="1:12" ht="13.15" customHeight="1" x14ac:dyDescent="0.25">
      <c r="A76" s="303" t="s">
        <v>908</v>
      </c>
      <c r="B76" s="302"/>
      <c r="C76" s="475"/>
      <c r="D76" s="475"/>
      <c r="E76" s="476"/>
      <c r="F76" s="477"/>
      <c r="G76" s="475"/>
      <c r="H76" s="478"/>
      <c r="I76" s="477"/>
      <c r="J76" s="475"/>
      <c r="K76" s="476"/>
      <c r="L76" s="438"/>
    </row>
    <row r="77" spans="1:12" ht="13.15" customHeight="1" x14ac:dyDescent="0.25">
      <c r="A77" s="303" t="s">
        <v>909</v>
      </c>
      <c r="B77" s="302"/>
      <c r="C77" s="475"/>
      <c r="D77" s="475"/>
      <c r="E77" s="476"/>
      <c r="F77" s="477"/>
      <c r="G77" s="475"/>
      <c r="H77" s="478"/>
      <c r="I77" s="477"/>
      <c r="J77" s="475"/>
      <c r="K77" s="476"/>
      <c r="L77" s="438"/>
    </row>
    <row r="78" spans="1:12" ht="13.15" customHeight="1" x14ac:dyDescent="0.25">
      <c r="A78" s="303" t="s">
        <v>910</v>
      </c>
      <c r="B78" s="302"/>
      <c r="C78" s="475"/>
      <c r="D78" s="475"/>
      <c r="E78" s="476"/>
      <c r="F78" s="477"/>
      <c r="G78" s="475"/>
      <c r="H78" s="478"/>
      <c r="I78" s="477"/>
      <c r="J78" s="475"/>
      <c r="K78" s="476"/>
      <c r="L78" s="438"/>
    </row>
    <row r="79" spans="1:12" ht="13.15" customHeight="1" x14ac:dyDescent="0.25">
      <c r="A79" s="303" t="s">
        <v>911</v>
      </c>
      <c r="B79" s="302"/>
      <c r="C79" s="475"/>
      <c r="D79" s="475"/>
      <c r="E79" s="476"/>
      <c r="F79" s="477"/>
      <c r="G79" s="475"/>
      <c r="H79" s="478"/>
      <c r="I79" s="477"/>
      <c r="J79" s="475"/>
      <c r="K79" s="476"/>
      <c r="L79" s="438"/>
    </row>
    <row r="80" spans="1:12" ht="13.15" customHeight="1" x14ac:dyDescent="0.25">
      <c r="A80" s="303" t="s">
        <v>912</v>
      </c>
      <c r="B80" s="302"/>
      <c r="C80" s="475"/>
      <c r="D80" s="475"/>
      <c r="E80" s="476"/>
      <c r="F80" s="477"/>
      <c r="G80" s="475"/>
      <c r="H80" s="478"/>
      <c r="I80" s="477"/>
      <c r="J80" s="475"/>
      <c r="K80" s="476"/>
      <c r="L80" s="438"/>
    </row>
    <row r="81" spans="1:12" ht="13.15" customHeight="1" x14ac:dyDescent="0.25">
      <c r="A81" s="303" t="s">
        <v>913</v>
      </c>
      <c r="B81" s="302"/>
      <c r="C81" s="475"/>
      <c r="D81" s="475"/>
      <c r="E81" s="476"/>
      <c r="F81" s="477"/>
      <c r="G81" s="475"/>
      <c r="H81" s="478"/>
      <c r="I81" s="477"/>
      <c r="J81" s="475"/>
      <c r="K81" s="476"/>
      <c r="L81" s="438"/>
    </row>
    <row r="82" spans="1:12" ht="13.15" customHeight="1" x14ac:dyDescent="0.25">
      <c r="A82" s="303" t="s">
        <v>914</v>
      </c>
      <c r="B82" s="302"/>
      <c r="C82" s="475"/>
      <c r="D82" s="475"/>
      <c r="E82" s="476"/>
      <c r="F82" s="477"/>
      <c r="G82" s="475"/>
      <c r="H82" s="478"/>
      <c r="I82" s="477"/>
      <c r="J82" s="475"/>
      <c r="K82" s="476"/>
      <c r="L82" s="438"/>
    </row>
    <row r="83" spans="1:12" ht="13.15" customHeight="1" x14ac:dyDescent="0.25">
      <c r="A83" s="303" t="s">
        <v>915</v>
      </c>
      <c r="B83" s="302"/>
      <c r="C83" s="475"/>
      <c r="D83" s="475"/>
      <c r="E83" s="476"/>
      <c r="F83" s="477"/>
      <c r="G83" s="475"/>
      <c r="H83" s="478"/>
      <c r="I83" s="477"/>
      <c r="J83" s="475"/>
      <c r="K83" s="476"/>
      <c r="L83" s="438"/>
    </row>
    <row r="84" spans="1:12" s="376" customFormat="1" ht="13.15" customHeight="1" x14ac:dyDescent="0.25">
      <c r="A84" s="303" t="s">
        <v>916</v>
      </c>
      <c r="B84" s="302"/>
      <c r="C84" s="475"/>
      <c r="D84" s="475"/>
      <c r="E84" s="476"/>
      <c r="F84" s="477"/>
      <c r="G84" s="475"/>
      <c r="H84" s="478"/>
      <c r="I84" s="477"/>
      <c r="J84" s="475"/>
      <c r="K84" s="476"/>
      <c r="L84" s="484"/>
    </row>
    <row r="85" spans="1:12" s="376" customFormat="1" ht="13.15" customHeight="1" x14ac:dyDescent="0.25">
      <c r="A85" s="303" t="s">
        <v>89</v>
      </c>
      <c r="B85" s="302"/>
      <c r="C85" s="475"/>
      <c r="D85" s="475"/>
      <c r="E85" s="476"/>
      <c r="F85" s="477"/>
      <c r="G85" s="475"/>
      <c r="H85" s="478"/>
      <c r="I85" s="477"/>
      <c r="J85" s="475"/>
      <c r="K85" s="476"/>
    </row>
    <row r="86" spans="1:12" s="376" customFormat="1" ht="13.15" customHeight="1" x14ac:dyDescent="0.25">
      <c r="A86" s="303" t="s">
        <v>917</v>
      </c>
      <c r="B86" s="302"/>
      <c r="C86" s="475"/>
      <c r="D86" s="475"/>
      <c r="E86" s="476"/>
      <c r="F86" s="477"/>
      <c r="G86" s="475"/>
      <c r="H86" s="478"/>
      <c r="I86" s="477"/>
      <c r="J86" s="475"/>
      <c r="K86" s="476"/>
    </row>
    <row r="87" spans="1:12" ht="13.15" customHeight="1" x14ac:dyDescent="0.25">
      <c r="A87" s="303" t="s">
        <v>918</v>
      </c>
      <c r="B87" s="302"/>
      <c r="C87" s="475"/>
      <c r="D87" s="475"/>
      <c r="E87" s="476"/>
      <c r="F87" s="477"/>
      <c r="G87" s="475"/>
      <c r="H87" s="478"/>
      <c r="I87" s="477"/>
      <c r="J87" s="475"/>
      <c r="K87" s="476"/>
    </row>
    <row r="88" spans="1:12" ht="13.15" customHeight="1" x14ac:dyDescent="0.25">
      <c r="A88" s="303" t="s">
        <v>1021</v>
      </c>
      <c r="B88" s="302"/>
      <c r="C88" s="475"/>
      <c r="D88" s="475"/>
      <c r="E88" s="476"/>
      <c r="F88" s="477"/>
      <c r="G88" s="475"/>
      <c r="H88" s="478"/>
      <c r="I88" s="477"/>
      <c r="J88" s="475"/>
      <c r="K88" s="476"/>
    </row>
    <row r="89" spans="1:12" ht="13.15" customHeight="1" x14ac:dyDescent="0.25">
      <c r="A89" s="303" t="s">
        <v>919</v>
      </c>
      <c r="B89" s="302"/>
      <c r="C89" s="475"/>
      <c r="D89" s="475"/>
      <c r="E89" s="476"/>
      <c r="F89" s="477"/>
      <c r="G89" s="475"/>
      <c r="H89" s="478"/>
      <c r="I89" s="477"/>
      <c r="J89" s="475"/>
      <c r="K89" s="476"/>
    </row>
    <row r="90" spans="1:12" ht="13.15" customHeight="1" x14ac:dyDescent="0.25">
      <c r="A90" s="303" t="s">
        <v>920</v>
      </c>
      <c r="B90" s="302"/>
      <c r="C90" s="475"/>
      <c r="D90" s="475"/>
      <c r="E90" s="476"/>
      <c r="F90" s="477"/>
      <c r="G90" s="475"/>
      <c r="H90" s="478"/>
      <c r="I90" s="477"/>
      <c r="J90" s="475"/>
      <c r="K90" s="476"/>
    </row>
    <row r="91" spans="1:12" ht="13.15" customHeight="1" x14ac:dyDescent="0.25">
      <c r="A91" s="303" t="s">
        <v>921</v>
      </c>
      <c r="B91" s="302"/>
      <c r="C91" s="475"/>
      <c r="D91" s="475"/>
      <c r="E91" s="476"/>
      <c r="F91" s="477"/>
      <c r="G91" s="475"/>
      <c r="H91" s="478"/>
      <c r="I91" s="477"/>
      <c r="J91" s="475"/>
      <c r="K91" s="476"/>
    </row>
    <row r="92" spans="1:12" ht="13.15" customHeight="1" x14ac:dyDescent="0.25">
      <c r="A92" s="303" t="s">
        <v>11</v>
      </c>
      <c r="B92" s="302"/>
      <c r="C92" s="475"/>
      <c r="D92" s="475"/>
      <c r="E92" s="476"/>
      <c r="F92" s="477"/>
      <c r="G92" s="475"/>
      <c r="H92" s="478"/>
      <c r="I92" s="477"/>
      <c r="J92" s="475"/>
      <c r="K92" s="476"/>
    </row>
    <row r="93" spans="1:12" ht="13.15" customHeight="1" x14ac:dyDescent="0.25">
      <c r="A93" s="303" t="s">
        <v>922</v>
      </c>
      <c r="B93" s="302"/>
      <c r="C93" s="475"/>
      <c r="D93" s="475"/>
      <c r="E93" s="476"/>
      <c r="F93" s="477"/>
      <c r="G93" s="475"/>
      <c r="H93" s="478"/>
      <c r="I93" s="477"/>
      <c r="J93" s="475"/>
      <c r="K93" s="476"/>
    </row>
    <row r="94" spans="1:12" ht="13.15" customHeight="1" x14ac:dyDescent="0.25">
      <c r="A94" s="303" t="s">
        <v>10</v>
      </c>
      <c r="B94" s="302"/>
      <c r="C94" s="475"/>
      <c r="D94" s="475"/>
      <c r="E94" s="476"/>
      <c r="F94" s="477"/>
      <c r="G94" s="475"/>
      <c r="H94" s="478"/>
      <c r="I94" s="477"/>
      <c r="J94" s="475"/>
      <c r="K94" s="476"/>
    </row>
    <row r="95" spans="1:12" ht="13.15" customHeight="1" x14ac:dyDescent="0.25">
      <c r="A95" s="303" t="s">
        <v>923</v>
      </c>
      <c r="B95" s="302"/>
      <c r="C95" s="475"/>
      <c r="D95" s="475"/>
      <c r="E95" s="476"/>
      <c r="F95" s="477"/>
      <c r="G95" s="475"/>
      <c r="H95" s="478"/>
      <c r="I95" s="477"/>
      <c r="J95" s="475"/>
      <c r="K95" s="476"/>
    </row>
    <row r="96" spans="1:12" ht="13.15" customHeight="1" x14ac:dyDescent="0.25">
      <c r="A96" s="303" t="s">
        <v>924</v>
      </c>
      <c r="B96" s="302"/>
      <c r="C96" s="475"/>
      <c r="D96" s="475"/>
      <c r="E96" s="476"/>
      <c r="F96" s="477"/>
      <c r="G96" s="475"/>
      <c r="H96" s="478"/>
      <c r="I96" s="477"/>
      <c r="J96" s="475"/>
      <c r="K96" s="476"/>
    </row>
    <row r="97" spans="1:11" ht="13.15" customHeight="1" x14ac:dyDescent="0.25">
      <c r="A97" s="303" t="s">
        <v>857</v>
      </c>
      <c r="B97" s="302"/>
      <c r="C97" s="475"/>
      <c r="D97" s="475"/>
      <c r="E97" s="476"/>
      <c r="F97" s="477"/>
      <c r="G97" s="475"/>
      <c r="H97" s="478"/>
      <c r="I97" s="477"/>
      <c r="J97" s="475"/>
      <c r="K97" s="476"/>
    </row>
    <row r="98" spans="1:11" ht="13.15" customHeight="1" x14ac:dyDescent="0.25">
      <c r="A98" s="285" t="s">
        <v>925</v>
      </c>
      <c r="B98" s="302"/>
      <c r="C98" s="422">
        <f>SUM(C99:C101)</f>
        <v>0</v>
      </c>
      <c r="D98" s="422">
        <f t="shared" ref="D98:K98" si="12">SUM(D99:D101)</f>
        <v>0</v>
      </c>
      <c r="E98" s="422">
        <v>0</v>
      </c>
      <c r="F98" s="424">
        <v>0</v>
      </c>
      <c r="G98" s="422">
        <v>0</v>
      </c>
      <c r="H98" s="425">
        <f t="shared" si="12"/>
        <v>0</v>
      </c>
      <c r="I98" s="426">
        <f t="shared" si="12"/>
        <v>0</v>
      </c>
      <c r="J98" s="422">
        <f t="shared" si="12"/>
        <v>0</v>
      </c>
      <c r="K98" s="425">
        <f t="shared" si="12"/>
        <v>0</v>
      </c>
    </row>
    <row r="99" spans="1:11" ht="13.15" customHeight="1" x14ac:dyDescent="0.25">
      <c r="A99" s="303" t="s">
        <v>926</v>
      </c>
      <c r="B99" s="302"/>
      <c r="C99" s="475"/>
      <c r="D99" s="475"/>
      <c r="E99" s="478"/>
      <c r="F99" s="477"/>
      <c r="G99" s="475"/>
      <c r="H99" s="478"/>
      <c r="I99" s="477"/>
      <c r="J99" s="475"/>
      <c r="K99" s="482"/>
    </row>
    <row r="100" spans="1:11" ht="13.15" customHeight="1" x14ac:dyDescent="0.25">
      <c r="A100" s="303" t="s">
        <v>927</v>
      </c>
      <c r="B100" s="302"/>
      <c r="C100" s="475"/>
      <c r="D100" s="475"/>
      <c r="E100" s="476"/>
      <c r="F100" s="477"/>
      <c r="G100" s="475"/>
      <c r="H100" s="478"/>
      <c r="I100" s="477"/>
      <c r="J100" s="475"/>
      <c r="K100" s="482"/>
    </row>
    <row r="101" spans="1:11" ht="13.15" customHeight="1" x14ac:dyDescent="0.25">
      <c r="A101" s="303" t="s">
        <v>857</v>
      </c>
      <c r="B101" s="302"/>
      <c r="C101" s="475"/>
      <c r="D101" s="475"/>
      <c r="E101" s="476"/>
      <c r="F101" s="477"/>
      <c r="G101" s="475"/>
      <c r="H101" s="478"/>
      <c r="I101" s="477"/>
      <c r="J101" s="475"/>
      <c r="K101" s="476"/>
    </row>
    <row r="102" spans="1:11" ht="5.0999999999999996" customHeight="1" x14ac:dyDescent="0.25">
      <c r="A102" s="305"/>
      <c r="B102" s="302"/>
      <c r="C102" s="25"/>
      <c r="D102" s="25"/>
      <c r="E102" s="306">
        <v>0</v>
      </c>
      <c r="F102" s="307">
        <v>0</v>
      </c>
      <c r="G102" s="25">
        <v>0</v>
      </c>
      <c r="H102" s="24"/>
      <c r="I102" s="307"/>
      <c r="J102" s="25"/>
      <c r="K102" s="306"/>
    </row>
    <row r="103" spans="1:11" ht="13.15" customHeight="1" x14ac:dyDescent="0.25">
      <c r="A103" s="301" t="s">
        <v>185</v>
      </c>
      <c r="B103" s="302"/>
      <c r="C103" s="25">
        <f>SUM(C104:C108)</f>
        <v>0</v>
      </c>
      <c r="D103" s="25">
        <f t="shared" ref="D103:K103" si="13">SUM(D104:D108)</f>
        <v>0</v>
      </c>
      <c r="E103" s="306"/>
      <c r="F103" s="307"/>
      <c r="G103" s="25"/>
      <c r="H103" s="24">
        <f t="shared" si="13"/>
        <v>0</v>
      </c>
      <c r="I103" s="307">
        <f t="shared" si="13"/>
        <v>0</v>
      </c>
      <c r="J103" s="25">
        <f t="shared" si="13"/>
        <v>0</v>
      </c>
      <c r="K103" s="306">
        <f t="shared" si="13"/>
        <v>0</v>
      </c>
    </row>
    <row r="104" spans="1:11" ht="13.15" customHeight="1" x14ac:dyDescent="0.25">
      <c r="A104" s="285" t="s">
        <v>928</v>
      </c>
      <c r="B104" s="302"/>
      <c r="C104" s="485"/>
      <c r="D104" s="485"/>
      <c r="E104" s="486"/>
      <c r="F104" s="487"/>
      <c r="G104" s="485"/>
      <c r="H104" s="488"/>
      <c r="I104" s="487"/>
      <c r="J104" s="485"/>
      <c r="K104" s="486"/>
    </row>
    <row r="105" spans="1:11" ht="13.15" customHeight="1" x14ac:dyDescent="0.25">
      <c r="A105" s="284" t="s">
        <v>929</v>
      </c>
      <c r="B105" s="302"/>
      <c r="C105" s="489"/>
      <c r="D105" s="489"/>
      <c r="E105" s="490"/>
      <c r="F105" s="491"/>
      <c r="G105" s="489"/>
      <c r="H105" s="492"/>
      <c r="I105" s="491"/>
      <c r="J105" s="489"/>
      <c r="K105" s="490"/>
    </row>
    <row r="106" spans="1:11" ht="13.15" customHeight="1" x14ac:dyDescent="0.25">
      <c r="A106" s="285" t="s">
        <v>930</v>
      </c>
      <c r="B106" s="302"/>
      <c r="C106" s="489"/>
      <c r="D106" s="489"/>
      <c r="E106" s="490"/>
      <c r="F106" s="491"/>
      <c r="G106" s="489"/>
      <c r="H106" s="492"/>
      <c r="I106" s="491"/>
      <c r="J106" s="489"/>
      <c r="K106" s="490"/>
    </row>
    <row r="107" spans="1:11" ht="13.15" customHeight="1" x14ac:dyDescent="0.25">
      <c r="A107" s="285" t="s">
        <v>931</v>
      </c>
      <c r="B107" s="302"/>
      <c r="C107" s="489"/>
      <c r="D107" s="489"/>
      <c r="E107" s="490"/>
      <c r="F107" s="491"/>
      <c r="G107" s="489"/>
      <c r="H107" s="492"/>
      <c r="I107" s="491"/>
      <c r="J107" s="489"/>
      <c r="K107" s="490"/>
    </row>
    <row r="108" spans="1:11" ht="13.15" customHeight="1" x14ac:dyDescent="0.25">
      <c r="A108" s="284" t="s">
        <v>932</v>
      </c>
      <c r="B108" s="302"/>
      <c r="C108" s="489"/>
      <c r="D108" s="489"/>
      <c r="E108" s="490"/>
      <c r="F108" s="491"/>
      <c r="G108" s="489"/>
      <c r="H108" s="492"/>
      <c r="I108" s="491"/>
      <c r="J108" s="489"/>
      <c r="K108" s="490"/>
    </row>
    <row r="109" spans="1:11" ht="5.0999999999999996" customHeight="1" x14ac:dyDescent="0.25">
      <c r="A109" s="493"/>
      <c r="B109" s="302"/>
      <c r="C109" s="25"/>
      <c r="D109" s="25"/>
      <c r="E109" s="306">
        <v>0</v>
      </c>
      <c r="F109" s="307">
        <v>0</v>
      </c>
      <c r="G109" s="25">
        <v>0</v>
      </c>
      <c r="H109" s="24"/>
      <c r="I109" s="307"/>
      <c r="J109" s="25"/>
      <c r="K109" s="306"/>
    </row>
    <row r="110" spans="1:11" ht="13.15" customHeight="1" x14ac:dyDescent="0.25">
      <c r="A110" s="494" t="s">
        <v>186</v>
      </c>
      <c r="B110" s="302"/>
      <c r="C110" s="28">
        <f>+C111+C114</f>
        <v>0</v>
      </c>
      <c r="D110" s="28">
        <f t="shared" ref="D110:K110" si="14">+D111+D114</f>
        <v>0</v>
      </c>
      <c r="E110" s="308">
        <v>0</v>
      </c>
      <c r="F110" s="309">
        <v>0</v>
      </c>
      <c r="G110" s="28">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c r="F111" s="419"/>
      <c r="G111" s="417"/>
      <c r="H111" s="420">
        <f t="shared" si="15"/>
        <v>0</v>
      </c>
      <c r="I111" s="421">
        <f t="shared" si="15"/>
        <v>0</v>
      </c>
      <c r="J111" s="417">
        <f t="shared" si="15"/>
        <v>0</v>
      </c>
      <c r="K111" s="420">
        <f t="shared" si="15"/>
        <v>0</v>
      </c>
    </row>
    <row r="112" spans="1:11" ht="13.15" customHeight="1" x14ac:dyDescent="0.25">
      <c r="A112" s="303" t="s">
        <v>934</v>
      </c>
      <c r="B112" s="302"/>
      <c r="C112" s="475"/>
      <c r="D112" s="475"/>
      <c r="E112" s="478"/>
      <c r="F112" s="477"/>
      <c r="G112" s="475"/>
      <c r="H112" s="478"/>
      <c r="I112" s="477"/>
      <c r="J112" s="475"/>
      <c r="K112" s="482"/>
    </row>
    <row r="113" spans="1:11" ht="13.15" customHeight="1" x14ac:dyDescent="0.25">
      <c r="A113" s="303" t="s">
        <v>935</v>
      </c>
      <c r="B113" s="302"/>
      <c r="C113" s="475"/>
      <c r="D113" s="475"/>
      <c r="E113" s="476">
        <v>0</v>
      </c>
      <c r="F113" s="477">
        <v>0</v>
      </c>
      <c r="G113" s="475">
        <v>0</v>
      </c>
      <c r="H113" s="478"/>
      <c r="I113" s="477"/>
      <c r="J113" s="475"/>
      <c r="K113" s="482"/>
    </row>
    <row r="114" spans="1:11" ht="13.15" customHeight="1" x14ac:dyDescent="0.25">
      <c r="A114" s="285" t="s">
        <v>936</v>
      </c>
      <c r="B114" s="302"/>
      <c r="C114" s="422">
        <f>SUM(C115:C116)</f>
        <v>0</v>
      </c>
      <c r="D114" s="422">
        <f t="shared" ref="D114:K114" si="16">SUM(D115:D116)</f>
        <v>0</v>
      </c>
      <c r="E114" s="422"/>
      <c r="F114" s="424"/>
      <c r="G114" s="422"/>
      <c r="H114" s="425">
        <f t="shared" si="16"/>
        <v>0</v>
      </c>
      <c r="I114" s="426">
        <f t="shared" si="16"/>
        <v>0</v>
      </c>
      <c r="J114" s="422">
        <f t="shared" si="16"/>
        <v>0</v>
      </c>
      <c r="K114" s="425">
        <f t="shared" si="16"/>
        <v>0</v>
      </c>
    </row>
    <row r="115" spans="1:11" ht="13.15" customHeight="1" x14ac:dyDescent="0.25">
      <c r="A115" s="303" t="s">
        <v>934</v>
      </c>
      <c r="B115" s="302"/>
      <c r="C115" s="475"/>
      <c r="D115" s="475"/>
      <c r="E115" s="478"/>
      <c r="F115" s="477"/>
      <c r="G115" s="475"/>
      <c r="H115" s="478"/>
      <c r="I115" s="477"/>
      <c r="J115" s="475"/>
      <c r="K115" s="482"/>
    </row>
    <row r="116" spans="1:11" ht="13.15" customHeight="1" x14ac:dyDescent="0.25">
      <c r="A116" s="303" t="s">
        <v>935</v>
      </c>
      <c r="B116" s="302"/>
      <c r="C116" s="475"/>
      <c r="D116" s="475"/>
      <c r="E116" s="476"/>
      <c r="F116" s="477"/>
      <c r="G116" s="475"/>
      <c r="H116" s="478"/>
      <c r="I116" s="477"/>
      <c r="J116" s="475"/>
      <c r="K116" s="482"/>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362733.83</v>
      </c>
      <c r="D118" s="28">
        <f t="shared" ref="D118:K118" si="17">+D119+D131</f>
        <v>3897227.78</v>
      </c>
      <c r="E118" s="308">
        <f t="shared" si="17"/>
        <v>8274308.0999999996</v>
      </c>
      <c r="F118" s="309">
        <f t="shared" si="17"/>
        <v>4759822</v>
      </c>
      <c r="G118" s="28">
        <f t="shared" si="17"/>
        <v>1449238</v>
      </c>
      <c r="H118" s="27">
        <f t="shared" si="17"/>
        <v>1449238</v>
      </c>
      <c r="I118" s="309">
        <f t="shared" si="17"/>
        <v>4974013.99</v>
      </c>
      <c r="J118" s="28">
        <f t="shared" si="17"/>
        <v>5202818.6335399998</v>
      </c>
      <c r="K118" s="308">
        <f t="shared" si="17"/>
        <v>5442148.2906828402</v>
      </c>
    </row>
    <row r="119" spans="1:11" ht="13.15" customHeight="1" x14ac:dyDescent="0.25">
      <c r="A119" s="285" t="s">
        <v>937</v>
      </c>
      <c r="B119" s="302"/>
      <c r="C119" s="417">
        <f>SUM(C120:C130)</f>
        <v>362733.83</v>
      </c>
      <c r="D119" s="417">
        <f t="shared" ref="D119:K119" si="18">SUM(D120:D130)</f>
        <v>3897227.78</v>
      </c>
      <c r="E119" s="417">
        <f t="shared" si="18"/>
        <v>8274308.0999999996</v>
      </c>
      <c r="F119" s="419">
        <f t="shared" si="18"/>
        <v>4759822</v>
      </c>
      <c r="G119" s="417">
        <f t="shared" si="18"/>
        <v>1449238</v>
      </c>
      <c r="H119" s="420">
        <f t="shared" si="18"/>
        <v>1449238</v>
      </c>
      <c r="I119" s="421">
        <f t="shared" si="18"/>
        <v>4974013.99</v>
      </c>
      <c r="J119" s="417">
        <f t="shared" si="18"/>
        <v>5202818.6335399998</v>
      </c>
      <c r="K119" s="420">
        <f t="shared" si="18"/>
        <v>5442148.2906828402</v>
      </c>
    </row>
    <row r="120" spans="1:11" ht="13.15" customHeight="1" x14ac:dyDescent="0.25">
      <c r="A120" s="303" t="s">
        <v>938</v>
      </c>
      <c r="B120" s="302"/>
      <c r="C120" s="475">
        <v>362733.83</v>
      </c>
      <c r="D120" s="475">
        <v>3897227.78</v>
      </c>
      <c r="E120" s="478">
        <v>8274308.0999999996</v>
      </c>
      <c r="F120" s="477">
        <v>4759822</v>
      </c>
      <c r="G120" s="475">
        <v>1449238</v>
      </c>
      <c r="H120" s="475">
        <v>1449238</v>
      </c>
      <c r="I120" s="477">
        <v>4974013.99</v>
      </c>
      <c r="J120" s="475">
        <v>5202818.6335399998</v>
      </c>
      <c r="K120" s="482">
        <v>5442148.2906828402</v>
      </c>
    </row>
    <row r="121" spans="1:11" ht="13.15" customHeight="1" x14ac:dyDescent="0.25">
      <c r="A121" s="303" t="s">
        <v>939</v>
      </c>
      <c r="B121" s="302"/>
      <c r="C121" s="475"/>
      <c r="D121" s="475"/>
      <c r="E121" s="478"/>
      <c r="F121" s="477"/>
      <c r="G121" s="475"/>
      <c r="H121" s="478"/>
      <c r="I121" s="477"/>
      <c r="J121" s="475"/>
      <c r="K121" s="482"/>
    </row>
    <row r="122" spans="1:11" ht="13.15" customHeight="1" x14ac:dyDescent="0.25">
      <c r="A122" s="303" t="s">
        <v>940</v>
      </c>
      <c r="B122" s="302"/>
      <c r="C122" s="475"/>
      <c r="D122" s="475"/>
      <c r="E122" s="478"/>
      <c r="F122" s="477"/>
      <c r="G122" s="475"/>
      <c r="H122" s="478"/>
      <c r="I122" s="477"/>
      <c r="J122" s="475"/>
      <c r="K122" s="482"/>
    </row>
    <row r="123" spans="1:11" ht="13.15" customHeight="1" x14ac:dyDescent="0.25">
      <c r="A123" s="303" t="s">
        <v>941</v>
      </c>
      <c r="B123" s="302"/>
      <c r="C123" s="475"/>
      <c r="D123" s="475"/>
      <c r="E123" s="478"/>
      <c r="F123" s="477"/>
      <c r="G123" s="475"/>
      <c r="H123" s="478"/>
      <c r="I123" s="477"/>
      <c r="J123" s="475"/>
      <c r="K123" s="482"/>
    </row>
    <row r="124" spans="1:11" ht="13.15" customHeight="1" x14ac:dyDescent="0.25">
      <c r="A124" s="303" t="s">
        <v>942</v>
      </c>
      <c r="B124" s="302"/>
      <c r="C124" s="475"/>
      <c r="D124" s="475"/>
      <c r="E124" s="478"/>
      <c r="F124" s="477"/>
      <c r="G124" s="475"/>
      <c r="H124" s="478"/>
      <c r="I124" s="477"/>
      <c r="J124" s="475"/>
      <c r="K124" s="482"/>
    </row>
    <row r="125" spans="1:11" ht="13.15" customHeight="1" x14ac:dyDescent="0.25">
      <c r="A125" s="303" t="s">
        <v>943</v>
      </c>
      <c r="B125" s="302"/>
      <c r="C125" s="475"/>
      <c r="D125" s="475"/>
      <c r="E125" s="478"/>
      <c r="F125" s="477"/>
      <c r="G125" s="475"/>
      <c r="H125" s="478"/>
      <c r="I125" s="477"/>
      <c r="J125" s="475"/>
      <c r="K125" s="482"/>
    </row>
    <row r="126" spans="1:11" ht="13.15" customHeight="1" x14ac:dyDescent="0.25">
      <c r="A126" s="303" t="s">
        <v>944</v>
      </c>
      <c r="B126" s="302"/>
      <c r="C126" s="475"/>
      <c r="D126" s="475"/>
      <c r="E126" s="478"/>
      <c r="F126" s="477"/>
      <c r="G126" s="475"/>
      <c r="H126" s="478"/>
      <c r="I126" s="477"/>
      <c r="J126" s="475"/>
      <c r="K126" s="482"/>
    </row>
    <row r="127" spans="1:11" ht="13.15" customHeight="1" x14ac:dyDescent="0.25">
      <c r="A127" s="303" t="s">
        <v>945</v>
      </c>
      <c r="B127" s="302"/>
      <c r="C127" s="475"/>
      <c r="D127" s="475"/>
      <c r="E127" s="478"/>
      <c r="F127" s="477"/>
      <c r="G127" s="475"/>
      <c r="H127" s="478"/>
      <c r="I127" s="477"/>
      <c r="J127" s="475"/>
      <c r="K127" s="482"/>
    </row>
    <row r="128" spans="1:11" ht="13.15" customHeight="1" x14ac:dyDescent="0.25">
      <c r="A128" s="303" t="s">
        <v>946</v>
      </c>
      <c r="B128" s="302"/>
      <c r="C128" s="475"/>
      <c r="D128" s="475"/>
      <c r="E128" s="478"/>
      <c r="F128" s="477"/>
      <c r="G128" s="475"/>
      <c r="H128" s="478"/>
      <c r="I128" s="477"/>
      <c r="J128" s="475"/>
      <c r="K128" s="482"/>
    </row>
    <row r="129" spans="1:11" ht="13.15" customHeight="1" x14ac:dyDescent="0.25">
      <c r="A129" s="303" t="s">
        <v>947</v>
      </c>
      <c r="B129" s="302"/>
      <c r="C129" s="475"/>
      <c r="D129" s="475"/>
      <c r="E129" s="478"/>
      <c r="F129" s="477"/>
      <c r="G129" s="475"/>
      <c r="H129" s="478"/>
      <c r="I129" s="477"/>
      <c r="J129" s="475"/>
      <c r="K129" s="482"/>
    </row>
    <row r="130" spans="1:11" ht="13.15" customHeight="1" x14ac:dyDescent="0.25">
      <c r="A130" s="303" t="s">
        <v>857</v>
      </c>
      <c r="B130" s="302"/>
      <c r="C130" s="475"/>
      <c r="D130" s="475"/>
      <c r="E130" s="478"/>
      <c r="F130" s="477"/>
      <c r="G130" s="475"/>
      <c r="H130" s="478"/>
      <c r="I130" s="477"/>
      <c r="J130" s="475"/>
      <c r="K130" s="482"/>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475"/>
      <c r="D132" s="475"/>
      <c r="E132" s="478"/>
      <c r="F132" s="477"/>
      <c r="G132" s="475"/>
      <c r="H132" s="478"/>
      <c r="I132" s="477"/>
      <c r="J132" s="475"/>
      <c r="K132" s="482"/>
    </row>
    <row r="133" spans="1:11" ht="13.15" customHeight="1" x14ac:dyDescent="0.25">
      <c r="A133" s="303" t="s">
        <v>950</v>
      </c>
      <c r="B133" s="302"/>
      <c r="C133" s="475"/>
      <c r="D133" s="475"/>
      <c r="E133" s="478"/>
      <c r="F133" s="477"/>
      <c r="G133" s="475"/>
      <c r="H133" s="478"/>
      <c r="I133" s="477"/>
      <c r="J133" s="475"/>
      <c r="K133" s="482"/>
    </row>
    <row r="134" spans="1:11" ht="13.15" customHeight="1" x14ac:dyDescent="0.25">
      <c r="A134" s="303" t="s">
        <v>857</v>
      </c>
      <c r="B134" s="302"/>
      <c r="C134" s="475"/>
      <c r="D134" s="475"/>
      <c r="E134" s="478"/>
      <c r="F134" s="477"/>
      <c r="G134" s="475"/>
      <c r="H134" s="478"/>
      <c r="I134" s="477"/>
      <c r="J134" s="475"/>
      <c r="K134" s="482"/>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25">
        <f t="shared" ref="C136:K136" si="20">SUM(C137:C137)</f>
        <v>0</v>
      </c>
      <c r="D136" s="25">
        <f t="shared" si="20"/>
        <v>0</v>
      </c>
      <c r="E136" s="306">
        <f t="shared" si="20"/>
        <v>0</v>
      </c>
      <c r="F136" s="307">
        <f t="shared" si="20"/>
        <v>0</v>
      </c>
      <c r="G136" s="25">
        <f t="shared" si="20"/>
        <v>0</v>
      </c>
      <c r="H136" s="24">
        <f t="shared" si="20"/>
        <v>0</v>
      </c>
      <c r="I136" s="307">
        <f t="shared" si="20"/>
        <v>0</v>
      </c>
      <c r="J136" s="25">
        <f t="shared" si="20"/>
        <v>0</v>
      </c>
      <c r="K136" s="306">
        <f t="shared" si="20"/>
        <v>0</v>
      </c>
    </row>
    <row r="137" spans="1:11" ht="13.15" customHeight="1" x14ac:dyDescent="0.25">
      <c r="A137" s="285" t="s">
        <v>951</v>
      </c>
      <c r="B137" s="302"/>
      <c r="C137" s="495"/>
      <c r="D137" s="495"/>
      <c r="E137" s="496"/>
      <c r="F137" s="497"/>
      <c r="G137" s="495"/>
      <c r="H137" s="498"/>
      <c r="I137" s="497"/>
      <c r="J137" s="495"/>
      <c r="K137" s="496"/>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25">
        <f>+C140+C141</f>
        <v>0</v>
      </c>
      <c r="D139" s="25">
        <f t="shared" ref="D139:K139" si="21">+D140+D141</f>
        <v>0</v>
      </c>
      <c r="E139" s="306">
        <f t="shared" si="21"/>
        <v>0</v>
      </c>
      <c r="F139" s="307">
        <f t="shared" si="21"/>
        <v>0</v>
      </c>
      <c r="G139" s="25">
        <f t="shared" si="21"/>
        <v>0</v>
      </c>
      <c r="H139" s="24">
        <f t="shared" si="21"/>
        <v>0</v>
      </c>
      <c r="I139" s="307">
        <f t="shared" si="21"/>
        <v>0</v>
      </c>
      <c r="J139" s="25">
        <f t="shared" si="21"/>
        <v>0</v>
      </c>
      <c r="K139" s="306">
        <f t="shared" si="21"/>
        <v>0</v>
      </c>
    </row>
    <row r="140" spans="1:11" ht="13.15" customHeight="1" x14ac:dyDescent="0.25">
      <c r="A140" s="284" t="s">
        <v>953</v>
      </c>
      <c r="B140" s="302"/>
      <c r="C140" s="495"/>
      <c r="D140" s="495"/>
      <c r="E140" s="496"/>
      <c r="F140" s="497"/>
      <c r="G140" s="495"/>
      <c r="H140" s="498"/>
      <c r="I140" s="497"/>
      <c r="J140" s="495"/>
      <c r="K140" s="496"/>
    </row>
    <row r="141" spans="1:11" ht="13.15" customHeight="1" x14ac:dyDescent="0.25">
      <c r="A141" s="284" t="s">
        <v>954</v>
      </c>
      <c r="B141" s="302"/>
      <c r="C141" s="422">
        <f>SUM(C142:C147)</f>
        <v>0</v>
      </c>
      <c r="D141" s="422">
        <f t="shared" ref="D141:K141" si="22">SUM(D142:D147)</f>
        <v>0</v>
      </c>
      <c r="E141" s="422">
        <f t="shared" si="22"/>
        <v>0</v>
      </c>
      <c r="F141" s="424">
        <f t="shared" si="22"/>
        <v>0</v>
      </c>
      <c r="G141" s="422">
        <f t="shared" si="22"/>
        <v>0</v>
      </c>
      <c r="H141" s="425">
        <f t="shared" si="22"/>
        <v>0</v>
      </c>
      <c r="I141" s="426">
        <f t="shared" si="22"/>
        <v>0</v>
      </c>
      <c r="J141" s="422">
        <f t="shared" si="22"/>
        <v>0</v>
      </c>
      <c r="K141" s="425">
        <f t="shared" si="22"/>
        <v>0</v>
      </c>
    </row>
    <row r="142" spans="1:11" ht="13.15" customHeight="1" x14ac:dyDescent="0.25">
      <c r="A142" s="303" t="s">
        <v>955</v>
      </c>
      <c r="B142" s="302"/>
      <c r="C142" s="475"/>
      <c r="D142" s="475"/>
      <c r="E142" s="478"/>
      <c r="F142" s="477"/>
      <c r="G142" s="475"/>
      <c r="H142" s="478"/>
      <c r="I142" s="477"/>
      <c r="J142" s="475"/>
      <c r="K142" s="482"/>
    </row>
    <row r="143" spans="1:11" ht="13.15" customHeight="1" x14ac:dyDescent="0.25">
      <c r="A143" s="303" t="s">
        <v>956</v>
      </c>
      <c r="B143" s="302"/>
      <c r="C143" s="475"/>
      <c r="D143" s="475"/>
      <c r="E143" s="478"/>
      <c r="F143" s="477"/>
      <c r="G143" s="475"/>
      <c r="H143" s="478"/>
      <c r="I143" s="477"/>
      <c r="J143" s="475"/>
      <c r="K143" s="482"/>
    </row>
    <row r="144" spans="1:11" ht="13.15" customHeight="1" x14ac:dyDescent="0.25">
      <c r="A144" s="303" t="s">
        <v>957</v>
      </c>
      <c r="B144" s="302"/>
      <c r="C144" s="475"/>
      <c r="D144" s="475"/>
      <c r="E144" s="478"/>
      <c r="F144" s="477"/>
      <c r="G144" s="475"/>
      <c r="H144" s="478"/>
      <c r="I144" s="477"/>
      <c r="J144" s="475"/>
      <c r="K144" s="482"/>
    </row>
    <row r="145" spans="1:11" ht="13.15" customHeight="1" x14ac:dyDescent="0.25">
      <c r="A145" s="303" t="s">
        <v>958</v>
      </c>
      <c r="B145" s="302"/>
      <c r="C145" s="475"/>
      <c r="D145" s="475"/>
      <c r="E145" s="478"/>
      <c r="F145" s="477"/>
      <c r="G145" s="475"/>
      <c r="H145" s="478"/>
      <c r="I145" s="477"/>
      <c r="J145" s="475"/>
      <c r="K145" s="482"/>
    </row>
    <row r="146" spans="1:11" ht="13.15" customHeight="1" x14ac:dyDescent="0.25">
      <c r="A146" s="303" t="s">
        <v>959</v>
      </c>
      <c r="B146" s="302"/>
      <c r="C146" s="475"/>
      <c r="D146" s="475"/>
      <c r="E146" s="478"/>
      <c r="F146" s="477"/>
      <c r="G146" s="475"/>
      <c r="H146" s="478"/>
      <c r="I146" s="477"/>
      <c r="J146" s="475"/>
      <c r="K146" s="482"/>
    </row>
    <row r="147" spans="1:11" ht="13.15" customHeight="1" x14ac:dyDescent="0.25">
      <c r="A147" s="303" t="s">
        <v>960</v>
      </c>
      <c r="B147" s="302"/>
      <c r="C147" s="475"/>
      <c r="D147" s="475"/>
      <c r="E147" s="478"/>
      <c r="F147" s="477"/>
      <c r="G147" s="475"/>
      <c r="H147" s="478"/>
      <c r="I147" s="477"/>
      <c r="J147" s="475"/>
      <c r="K147" s="482"/>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25">
        <f t="shared" ref="C149:K149" si="23">SUM(C150:C150)</f>
        <v>3919945.03</v>
      </c>
      <c r="D149" s="25">
        <f t="shared" si="23"/>
        <v>4855117.8600000003</v>
      </c>
      <c r="E149" s="306">
        <f t="shared" si="23"/>
        <v>0</v>
      </c>
      <c r="F149" s="307">
        <f t="shared" si="23"/>
        <v>0</v>
      </c>
      <c r="G149" s="25">
        <f t="shared" si="23"/>
        <v>0</v>
      </c>
      <c r="H149" s="24">
        <f t="shared" si="23"/>
        <v>0</v>
      </c>
      <c r="I149" s="307">
        <f t="shared" si="23"/>
        <v>0</v>
      </c>
      <c r="J149" s="25">
        <f t="shared" si="23"/>
        <v>0</v>
      </c>
      <c r="K149" s="306">
        <f t="shared" si="23"/>
        <v>0</v>
      </c>
    </row>
    <row r="150" spans="1:11" ht="13.15" customHeight="1" x14ac:dyDescent="0.25">
      <c r="A150" s="285" t="s">
        <v>961</v>
      </c>
      <c r="B150" s="302"/>
      <c r="C150" s="495">
        <v>3919945.03</v>
      </c>
      <c r="D150" s="495">
        <v>4855117.8600000003</v>
      </c>
      <c r="E150" s="496"/>
      <c r="F150" s="497"/>
      <c r="G150" s="495"/>
      <c r="H150" s="498"/>
      <c r="I150" s="497"/>
      <c r="J150" s="495"/>
      <c r="K150" s="496"/>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25">
        <f t="shared" ref="C152:K152" si="24">SUM(C153:C153)</f>
        <v>0</v>
      </c>
      <c r="D152" s="25">
        <f t="shared" si="24"/>
        <v>0</v>
      </c>
      <c r="E152" s="306">
        <f t="shared" si="24"/>
        <v>0</v>
      </c>
      <c r="F152" s="307">
        <f t="shared" si="24"/>
        <v>0</v>
      </c>
      <c r="G152" s="25">
        <f t="shared" si="24"/>
        <v>0</v>
      </c>
      <c r="H152" s="24">
        <f t="shared" si="24"/>
        <v>0</v>
      </c>
      <c r="I152" s="307">
        <f t="shared" si="24"/>
        <v>0</v>
      </c>
      <c r="J152" s="25">
        <f t="shared" si="24"/>
        <v>0</v>
      </c>
      <c r="K152" s="306">
        <f t="shared" si="24"/>
        <v>0</v>
      </c>
    </row>
    <row r="153" spans="1:11" ht="13.15" customHeight="1" x14ac:dyDescent="0.25">
      <c r="A153" s="285" t="s">
        <v>962</v>
      </c>
      <c r="B153" s="302"/>
      <c r="C153" s="495"/>
      <c r="D153" s="495"/>
      <c r="E153" s="496"/>
      <c r="F153" s="497"/>
      <c r="G153" s="495"/>
      <c r="H153" s="498"/>
      <c r="I153" s="497"/>
      <c r="J153" s="495"/>
      <c r="K153" s="496"/>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25">
        <f t="shared" ref="C155:K155" si="25">SUM(C156:C156)</f>
        <v>51390</v>
      </c>
      <c r="D155" s="25">
        <f t="shared" si="25"/>
        <v>92318.41</v>
      </c>
      <c r="E155" s="306">
        <f t="shared" si="25"/>
        <v>512174.01</v>
      </c>
      <c r="F155" s="307">
        <f t="shared" si="25"/>
        <v>0</v>
      </c>
      <c r="G155" s="25">
        <f t="shared" si="25"/>
        <v>0</v>
      </c>
      <c r="H155" s="24">
        <f t="shared" si="25"/>
        <v>0</v>
      </c>
      <c r="I155" s="307">
        <f t="shared" si="25"/>
        <v>0</v>
      </c>
      <c r="J155" s="25">
        <f t="shared" si="25"/>
        <v>0</v>
      </c>
      <c r="K155" s="306">
        <f t="shared" si="25"/>
        <v>0</v>
      </c>
    </row>
    <row r="156" spans="1:11" ht="13.15" customHeight="1" x14ac:dyDescent="0.25">
      <c r="A156" s="285" t="s">
        <v>963</v>
      </c>
      <c r="B156" s="302"/>
      <c r="C156" s="495">
        <v>51390</v>
      </c>
      <c r="D156" s="495">
        <v>92318.41</v>
      </c>
      <c r="E156" s="496">
        <v>512174.01</v>
      </c>
      <c r="F156" s="497"/>
      <c r="G156" s="495"/>
      <c r="H156" s="495"/>
      <c r="I156" s="497"/>
      <c r="J156" s="495"/>
      <c r="K156" s="496"/>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25">
        <f t="shared" ref="C158:K158" si="26">SUM(C159:C159)</f>
        <v>6667377.9199999999</v>
      </c>
      <c r="D158" s="25">
        <f t="shared" si="26"/>
        <v>7003324.5700000003</v>
      </c>
      <c r="E158" s="306">
        <f t="shared" si="26"/>
        <v>5050755.25</v>
      </c>
      <c r="F158" s="307">
        <f t="shared" si="26"/>
        <v>13363125</v>
      </c>
      <c r="G158" s="25">
        <f t="shared" si="26"/>
        <v>11299982</v>
      </c>
      <c r="H158" s="24">
        <f t="shared" si="26"/>
        <v>11299982</v>
      </c>
      <c r="I158" s="307">
        <f t="shared" si="26"/>
        <v>13964465.625</v>
      </c>
      <c r="J158" s="25">
        <f t="shared" si="26"/>
        <v>14606831.043749999</v>
      </c>
      <c r="K158" s="306">
        <f t="shared" si="26"/>
        <v>15278745.271762501</v>
      </c>
    </row>
    <row r="159" spans="1:11" ht="13.15" customHeight="1" x14ac:dyDescent="0.25">
      <c r="A159" s="285" t="s">
        <v>964</v>
      </c>
      <c r="B159" s="302"/>
      <c r="C159" s="495">
        <v>6667377.9199999999</v>
      </c>
      <c r="D159" s="495">
        <v>7003324.5700000003</v>
      </c>
      <c r="E159" s="496">
        <v>5050755.25</v>
      </c>
      <c r="F159" s="497">
        <v>13363125</v>
      </c>
      <c r="G159" s="495">
        <v>11299982</v>
      </c>
      <c r="H159" s="495">
        <v>11299982</v>
      </c>
      <c r="I159" s="497">
        <v>13964465.625</v>
      </c>
      <c r="J159" s="495">
        <v>14606831.043749999</v>
      </c>
      <c r="K159" s="496">
        <v>15278745.271762501</v>
      </c>
    </row>
    <row r="160" spans="1:11" ht="5.0999999999999996" customHeight="1" x14ac:dyDescent="0.25">
      <c r="A160" s="305"/>
      <c r="B160" s="302"/>
      <c r="C160" s="25"/>
      <c r="D160" s="25"/>
      <c r="E160" s="306"/>
      <c r="F160" s="307"/>
      <c r="G160" s="25"/>
      <c r="H160" s="24"/>
      <c r="I160" s="307"/>
      <c r="J160" s="25"/>
      <c r="K160" s="306"/>
    </row>
    <row r="161" spans="1:11" ht="13.15" customHeight="1" x14ac:dyDescent="0.25">
      <c r="A161" s="301" t="s">
        <v>979</v>
      </c>
      <c r="B161" s="302"/>
      <c r="C161" s="25">
        <f t="shared" ref="C161:K161" si="27">SUM(C162:C162)</f>
        <v>0</v>
      </c>
      <c r="D161" s="25">
        <f t="shared" si="27"/>
        <v>0</v>
      </c>
      <c r="E161" s="306">
        <f t="shared" si="27"/>
        <v>0</v>
      </c>
      <c r="F161" s="307">
        <f t="shared" si="27"/>
        <v>0</v>
      </c>
      <c r="G161" s="25">
        <f t="shared" si="27"/>
        <v>0</v>
      </c>
      <c r="H161" s="24">
        <f t="shared" si="27"/>
        <v>0</v>
      </c>
      <c r="I161" s="307">
        <f t="shared" si="27"/>
        <v>0</v>
      </c>
      <c r="J161" s="25">
        <f t="shared" si="27"/>
        <v>0</v>
      </c>
      <c r="K161" s="306">
        <f t="shared" si="27"/>
        <v>0</v>
      </c>
    </row>
    <row r="162" spans="1:11" ht="13.15" customHeight="1" x14ac:dyDescent="0.25">
      <c r="A162" s="285" t="s">
        <v>979</v>
      </c>
      <c r="B162" s="302"/>
      <c r="C162" s="495"/>
      <c r="D162" s="495"/>
      <c r="E162" s="496"/>
      <c r="F162" s="497"/>
      <c r="G162" s="495"/>
      <c r="H162" s="498"/>
      <c r="I162" s="497"/>
      <c r="J162" s="495"/>
      <c r="K162" s="496"/>
    </row>
    <row r="163" spans="1:11" ht="5.0999999999999996" customHeight="1" x14ac:dyDescent="0.25">
      <c r="A163" s="305"/>
      <c r="B163" s="302"/>
      <c r="C163" s="25"/>
      <c r="D163" s="25"/>
      <c r="E163" s="306"/>
      <c r="F163" s="307"/>
      <c r="G163" s="25"/>
      <c r="H163" s="24"/>
      <c r="I163" s="307"/>
      <c r="J163" s="25"/>
      <c r="K163" s="306"/>
    </row>
    <row r="164" spans="1:11" ht="13.15" customHeight="1" x14ac:dyDescent="0.25">
      <c r="A164" s="301" t="s">
        <v>965</v>
      </c>
      <c r="B164" s="302"/>
      <c r="C164" s="25">
        <f t="shared" ref="C164:K164" si="28">SUM(C165:C165)</f>
        <v>0</v>
      </c>
      <c r="D164" s="25">
        <f t="shared" si="28"/>
        <v>0</v>
      </c>
      <c r="E164" s="306">
        <f t="shared" si="28"/>
        <v>0</v>
      </c>
      <c r="F164" s="307">
        <f t="shared" si="28"/>
        <v>0</v>
      </c>
      <c r="G164" s="25">
        <f t="shared" si="28"/>
        <v>0</v>
      </c>
      <c r="H164" s="24">
        <f t="shared" si="28"/>
        <v>0</v>
      </c>
      <c r="I164" s="307">
        <f t="shared" si="28"/>
        <v>0</v>
      </c>
      <c r="J164" s="25">
        <f t="shared" si="28"/>
        <v>0</v>
      </c>
      <c r="K164" s="306">
        <f t="shared" si="28"/>
        <v>0</v>
      </c>
    </row>
    <row r="165" spans="1:11" ht="13.15" customHeight="1" x14ac:dyDescent="0.25">
      <c r="A165" s="285" t="s">
        <v>965</v>
      </c>
      <c r="B165" s="302"/>
      <c r="C165" s="495"/>
      <c r="D165" s="495"/>
      <c r="E165" s="496"/>
      <c r="F165" s="497"/>
      <c r="G165" s="495"/>
      <c r="H165" s="498"/>
      <c r="I165" s="497"/>
      <c r="J165" s="495"/>
      <c r="K165" s="496"/>
    </row>
    <row r="166" spans="1:11" ht="5.0999999999999996" customHeight="1" x14ac:dyDescent="0.25">
      <c r="A166" s="305"/>
      <c r="B166" s="302"/>
      <c r="C166" s="25"/>
      <c r="D166" s="25"/>
      <c r="E166" s="306"/>
      <c r="F166" s="307"/>
      <c r="G166" s="25"/>
      <c r="H166" s="24"/>
      <c r="I166" s="307"/>
      <c r="J166" s="25"/>
      <c r="K166" s="306"/>
    </row>
    <row r="167" spans="1:11" ht="13.15" customHeight="1" x14ac:dyDescent="0.25">
      <c r="A167" s="30" t="s">
        <v>831</v>
      </c>
      <c r="B167" s="500"/>
      <c r="C167" s="31">
        <f>C6+C74+C103+C110+C118+C136+C139+C149+C152+C155+C158+C161+C164</f>
        <v>61580345.57</v>
      </c>
      <c r="D167" s="31">
        <f t="shared" ref="D167:K167" si="29">D6+D74+D103+D110+D118+D136+D139+D149+D152+D155+D158+D161+D164</f>
        <v>73411542.439999998</v>
      </c>
      <c r="E167" s="501">
        <f t="shared" si="29"/>
        <v>106501681.27</v>
      </c>
      <c r="F167" s="502">
        <f t="shared" si="29"/>
        <v>45556575</v>
      </c>
      <c r="G167" s="31">
        <f t="shared" si="29"/>
        <v>34077454</v>
      </c>
      <c r="H167" s="503">
        <f t="shared" si="29"/>
        <v>34077454</v>
      </c>
      <c r="I167" s="502">
        <f t="shared" si="29"/>
        <v>47606620.615000002</v>
      </c>
      <c r="J167" s="31">
        <f t="shared" si="29"/>
        <v>49796524.677289993</v>
      </c>
      <c r="K167" s="501">
        <f t="shared" si="29"/>
        <v>52087165.562445343</v>
      </c>
    </row>
    <row r="168" spans="1:11" ht="12.75" customHeight="1" x14ac:dyDescent="0.25">
      <c r="A168" s="33"/>
      <c r="B168" s="34"/>
      <c r="C168" s="37"/>
      <c r="D168" s="37"/>
      <c r="E168" s="37"/>
      <c r="F168" s="37"/>
      <c r="G168" s="37"/>
      <c r="H168" s="37"/>
      <c r="I168" s="37"/>
      <c r="J168" s="37"/>
      <c r="K168" s="37"/>
    </row>
    <row r="169" spans="1:11" ht="12.75" customHeight="1" x14ac:dyDescent="0.25">
      <c r="A169" s="45"/>
      <c r="B169" s="34"/>
      <c r="C169" s="36"/>
      <c r="D169" s="36"/>
      <c r="E169" s="37"/>
      <c r="F169" s="37"/>
      <c r="G169" s="37"/>
      <c r="H169" s="37"/>
      <c r="I169" s="37"/>
      <c r="J169" s="37"/>
      <c r="K169" s="37"/>
    </row>
    <row r="170" spans="1:11" ht="11.25" customHeight="1" x14ac:dyDescent="0.25">
      <c r="A170" s="40"/>
      <c r="B170" s="34"/>
      <c r="C170" s="36"/>
      <c r="D170" s="36"/>
      <c r="E170" s="37"/>
      <c r="F170" s="37"/>
      <c r="G170" s="37"/>
      <c r="H170" s="37"/>
      <c r="I170" s="37"/>
      <c r="J170" s="37"/>
      <c r="K170" s="37"/>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88" t="s">
        <v>159</v>
      </c>
      <c r="B1" s="689"/>
      <c r="C1" s="689"/>
      <c r="D1" s="690"/>
    </row>
    <row r="2" spans="1:4" x14ac:dyDescent="0.2">
      <c r="A2" s="10" t="s">
        <v>343</v>
      </c>
      <c r="B2" s="431" t="str">
        <f>HLOOKUP(MTREF,Headings,2)</f>
        <v>2018/19</v>
      </c>
      <c r="C2" s="432" t="s">
        <v>480</v>
      </c>
      <c r="D2" s="427"/>
    </row>
    <row r="3" spans="1:4" x14ac:dyDescent="0.2">
      <c r="A3" s="2" t="s">
        <v>111</v>
      </c>
      <c r="B3" s="433" t="str">
        <f>HLOOKUP(MTREF,Headings,3)</f>
        <v>2017/18</v>
      </c>
      <c r="C3" s="434" t="s">
        <v>481</v>
      </c>
      <c r="D3" s="428"/>
    </row>
    <row r="4" spans="1:4" x14ac:dyDescent="0.2">
      <c r="A4" s="2" t="s">
        <v>174</v>
      </c>
      <c r="B4" s="433" t="str">
        <f>HLOOKUP(MTREF,Headings,4)</f>
        <v>2016/17</v>
      </c>
      <c r="C4" s="434" t="s">
        <v>482</v>
      </c>
      <c r="D4" s="428"/>
    </row>
    <row r="5" spans="1:4" x14ac:dyDescent="0.2">
      <c r="A5" s="2" t="s">
        <v>361</v>
      </c>
      <c r="B5" s="434" t="str">
        <f>HLOOKUP(MTREF,Headings,5)</f>
        <v>Current Year 2019/20</v>
      </c>
      <c r="C5" s="434" t="s">
        <v>483</v>
      </c>
      <c r="D5" s="428"/>
    </row>
    <row r="6" spans="1:4" x14ac:dyDescent="0.2">
      <c r="A6" s="2" t="s">
        <v>198</v>
      </c>
      <c r="B6" s="433" t="str">
        <f>HLOOKUP(MTREF,Headings,6)</f>
        <v>2019/20</v>
      </c>
      <c r="C6" s="434" t="s">
        <v>483</v>
      </c>
      <c r="D6" s="428"/>
    </row>
    <row r="7" spans="1:4" x14ac:dyDescent="0.2">
      <c r="A7" s="2" t="s">
        <v>362</v>
      </c>
      <c r="B7" s="434" t="str">
        <f>HLOOKUP(MTREF,Headings,7)</f>
        <v>2020/21 Medium Term Revenue &amp; Expenditure Framework</v>
      </c>
      <c r="C7" s="434" t="s">
        <v>484</v>
      </c>
      <c r="D7" s="428"/>
    </row>
    <row r="8" spans="1:4" x14ac:dyDescent="0.2">
      <c r="A8" s="2" t="s">
        <v>411</v>
      </c>
      <c r="B8" s="4" t="s">
        <v>304</v>
      </c>
      <c r="C8" s="4"/>
      <c r="D8" s="8"/>
    </row>
    <row r="9" spans="1:4" x14ac:dyDescent="0.2">
      <c r="A9" s="2" t="s">
        <v>363</v>
      </c>
      <c r="B9" s="4" t="s">
        <v>130</v>
      </c>
      <c r="C9" s="4"/>
      <c r="D9" s="8"/>
    </row>
    <row r="10" spans="1:4" x14ac:dyDescent="0.2">
      <c r="A10" s="2" t="s">
        <v>364</v>
      </c>
      <c r="B10" s="4" t="s">
        <v>71</v>
      </c>
      <c r="C10" s="4"/>
      <c r="D10" s="8"/>
    </row>
    <row r="11" spans="1:4" x14ac:dyDescent="0.2">
      <c r="A11" s="2" t="s">
        <v>87</v>
      </c>
      <c r="B11" s="4" t="s">
        <v>88</v>
      </c>
      <c r="C11" s="4"/>
      <c r="D11" s="8"/>
    </row>
    <row r="12" spans="1:4" x14ac:dyDescent="0.2">
      <c r="A12" s="2" t="s">
        <v>406</v>
      </c>
      <c r="B12" s="4" t="s">
        <v>407</v>
      </c>
      <c r="C12" s="4"/>
      <c r="D12" s="8"/>
    </row>
    <row r="13" spans="1:4" x14ac:dyDescent="0.2">
      <c r="A13" s="2" t="s">
        <v>365</v>
      </c>
      <c r="B13" s="4" t="s">
        <v>135</v>
      </c>
      <c r="C13" s="4"/>
      <c r="D13" s="8"/>
    </row>
    <row r="14" spans="1:4" x14ac:dyDescent="0.2">
      <c r="A14" s="2" t="s">
        <v>366</v>
      </c>
      <c r="B14" s="4" t="s">
        <v>305</v>
      </c>
      <c r="C14" s="4"/>
      <c r="D14" s="8"/>
    </row>
    <row r="15" spans="1:4" x14ac:dyDescent="0.2">
      <c r="A15" s="2" t="s">
        <v>367</v>
      </c>
      <c r="B15" s="4" t="s">
        <v>306</v>
      </c>
      <c r="C15" s="4"/>
      <c r="D15" s="8"/>
    </row>
    <row r="16" spans="1:4" x14ac:dyDescent="0.2">
      <c r="A16" s="2" t="s">
        <v>368</v>
      </c>
      <c r="B16" s="434" t="str">
        <f>HLOOKUP(MTREF,Headings,8)</f>
        <v>Budget Year 2020/21</v>
      </c>
      <c r="C16" s="434" t="s">
        <v>485</v>
      </c>
      <c r="D16" s="13" t="s">
        <v>207</v>
      </c>
    </row>
    <row r="17" spans="1:4" x14ac:dyDescent="0.2">
      <c r="A17" s="2" t="s">
        <v>369</v>
      </c>
      <c r="B17" s="434" t="str">
        <f>HLOOKUP(MTREF,Headings,9)</f>
        <v>Budget Year +1 2021/22</v>
      </c>
      <c r="C17" s="434" t="s">
        <v>486</v>
      </c>
      <c r="D17" s="13" t="s">
        <v>208</v>
      </c>
    </row>
    <row r="18" spans="1:4" x14ac:dyDescent="0.2">
      <c r="A18" s="2" t="s">
        <v>371</v>
      </c>
      <c r="B18" s="434" t="str">
        <f>HLOOKUP(MTREF,Headings,10)</f>
        <v>Budget Year +2 2022/23</v>
      </c>
      <c r="C18" s="434" t="s">
        <v>487</v>
      </c>
      <c r="D18" s="13" t="s">
        <v>209</v>
      </c>
    </row>
    <row r="19" spans="1:4" x14ac:dyDescent="0.2">
      <c r="A19" s="2" t="s">
        <v>372</v>
      </c>
      <c r="B19" s="434" t="str">
        <f>HLOOKUP(MTREF,Headings,11)</f>
        <v>Forecast 2023/24</v>
      </c>
      <c r="C19" s="434" t="s">
        <v>488</v>
      </c>
      <c r="D19" s="13" t="s">
        <v>210</v>
      </c>
    </row>
    <row r="20" spans="1:4" x14ac:dyDescent="0.2">
      <c r="A20" s="2" t="s">
        <v>373</v>
      </c>
      <c r="B20" s="434" t="str">
        <f>HLOOKUP(MTREF,Headings,12)</f>
        <v>Forecast 2024/25</v>
      </c>
      <c r="C20" s="434" t="s">
        <v>489</v>
      </c>
      <c r="D20" s="13" t="s">
        <v>211</v>
      </c>
    </row>
    <row r="21" spans="1:4" x14ac:dyDescent="0.2">
      <c r="A21" s="2" t="s">
        <v>374</v>
      </c>
      <c r="B21" s="434" t="str">
        <f>HLOOKUP(MTREF,Headings,13)</f>
        <v>Forecast 2025/26</v>
      </c>
      <c r="C21" s="434" t="s">
        <v>489</v>
      </c>
      <c r="D21" s="13" t="s">
        <v>212</v>
      </c>
    </row>
    <row r="22" spans="1:4" x14ac:dyDescent="0.2">
      <c r="A22" s="2" t="s">
        <v>375</v>
      </c>
      <c r="B22" s="434" t="str">
        <f>HLOOKUP(MTREF,Headings,14)</f>
        <v>Forecast 2026/27</v>
      </c>
      <c r="C22" s="434" t="s">
        <v>489</v>
      </c>
      <c r="D22" s="13" t="s">
        <v>213</v>
      </c>
    </row>
    <row r="23" spans="1:4" x14ac:dyDescent="0.2">
      <c r="A23" s="2" t="s">
        <v>376</v>
      </c>
      <c r="B23" s="434" t="str">
        <f>HLOOKUP(MTREF,Headings,15)</f>
        <v>Forecast 2027/28</v>
      </c>
      <c r="C23" s="434" t="s">
        <v>489</v>
      </c>
      <c r="D23" s="13" t="s">
        <v>214</v>
      </c>
    </row>
    <row r="24" spans="1:4" x14ac:dyDescent="0.2">
      <c r="A24" s="2" t="s">
        <v>377</v>
      </c>
      <c r="B24" s="434" t="str">
        <f>HLOOKUP(MTREF,Headings,16)</f>
        <v>Forecast 2028/29</v>
      </c>
      <c r="C24" s="434" t="s">
        <v>489</v>
      </c>
      <c r="D24" s="13" t="s">
        <v>215</v>
      </c>
    </row>
    <row r="25" spans="1:4" x14ac:dyDescent="0.2">
      <c r="A25" s="2" t="s">
        <v>378</v>
      </c>
      <c r="B25" s="434" t="str">
        <f>HLOOKUP(MTREF,Headings,17)</f>
        <v>Forecast 2029/30</v>
      </c>
      <c r="C25" s="434" t="s">
        <v>489</v>
      </c>
      <c r="D25" s="13" t="s">
        <v>144</v>
      </c>
    </row>
    <row r="26" spans="1:4" x14ac:dyDescent="0.2">
      <c r="A26" s="2" t="s">
        <v>379</v>
      </c>
      <c r="B26" s="434" t="str">
        <f>HLOOKUP(MTREF,Headings,18)</f>
        <v>Forecast 2030/31</v>
      </c>
      <c r="C26" s="434" t="s">
        <v>489</v>
      </c>
      <c r="D26" s="13" t="s">
        <v>41</v>
      </c>
    </row>
    <row r="27" spans="1:4" x14ac:dyDescent="0.2">
      <c r="A27" s="2" t="s">
        <v>380</v>
      </c>
      <c r="B27" s="434" t="str">
        <f>HLOOKUP(MTREF,Headings,19)</f>
        <v>Forecast 2031/32</v>
      </c>
      <c r="C27" s="434" t="s">
        <v>489</v>
      </c>
      <c r="D27" s="13" t="s">
        <v>42</v>
      </c>
    </row>
    <row r="28" spans="1:4" x14ac:dyDescent="0.2">
      <c r="A28" s="2" t="s">
        <v>381</v>
      </c>
      <c r="B28" s="434" t="str">
        <f>HLOOKUP(MTREF,Headings,20)</f>
        <v>Forecast 2032/33</v>
      </c>
      <c r="C28" s="434" t="s">
        <v>489</v>
      </c>
      <c r="D28" s="13" t="s">
        <v>43</v>
      </c>
    </row>
    <row r="29" spans="1:4" x14ac:dyDescent="0.2">
      <c r="A29" s="2" t="s">
        <v>382</v>
      </c>
      <c r="B29" s="434" t="str">
        <f>HLOOKUP(MTREF,Headings,21)</f>
        <v>Forecast 2033/34</v>
      </c>
      <c r="C29" s="434" t="s">
        <v>489</v>
      </c>
      <c r="D29" s="13" t="s">
        <v>44</v>
      </c>
    </row>
    <row r="30" spans="1:4" x14ac:dyDescent="0.2">
      <c r="A30" s="2" t="s">
        <v>383</v>
      </c>
      <c r="B30" s="434" t="str">
        <f>HLOOKUP(MTREF,Headings,22)</f>
        <v>Forecast 2034/35</v>
      </c>
      <c r="C30" s="434" t="s">
        <v>489</v>
      </c>
      <c r="D30" s="13" t="s">
        <v>45</v>
      </c>
    </row>
    <row r="31" spans="1:4" x14ac:dyDescent="0.2">
      <c r="A31" s="2" t="s">
        <v>146</v>
      </c>
      <c r="B31" s="4" t="s">
        <v>189</v>
      </c>
      <c r="C31" s="4"/>
      <c r="D31" s="13" t="s">
        <v>147</v>
      </c>
    </row>
    <row r="32" spans="1:4" x14ac:dyDescent="0.2">
      <c r="A32" s="2" t="s">
        <v>85</v>
      </c>
      <c r="B32" s="4" t="s">
        <v>5</v>
      </c>
      <c r="C32" s="4"/>
      <c r="D32" s="13" t="s">
        <v>86</v>
      </c>
    </row>
    <row r="33" spans="1:4" x14ac:dyDescent="0.2">
      <c r="A33" s="2" t="s">
        <v>175</v>
      </c>
      <c r="B33" s="4" t="s">
        <v>176</v>
      </c>
      <c r="C33" s="4"/>
      <c r="D33" s="13" t="s">
        <v>177</v>
      </c>
    </row>
    <row r="34" spans="1:4" x14ac:dyDescent="0.2">
      <c r="A34" s="2" t="s">
        <v>178</v>
      </c>
      <c r="B34" s="4" t="s">
        <v>102</v>
      </c>
      <c r="C34" s="4"/>
      <c r="D34" s="13"/>
    </row>
    <row r="35" spans="1:4" x14ac:dyDescent="0.2">
      <c r="A35" s="2" t="s">
        <v>162</v>
      </c>
      <c r="B35" s="4" t="s">
        <v>163</v>
      </c>
      <c r="C35" s="4"/>
      <c r="D35" s="13"/>
    </row>
    <row r="36" spans="1:4" x14ac:dyDescent="0.2">
      <c r="A36" s="2" t="s">
        <v>99</v>
      </c>
      <c r="B36" s="4" t="s">
        <v>336</v>
      </c>
      <c r="C36" s="4"/>
      <c r="D36" s="13" t="s">
        <v>100</v>
      </c>
    </row>
    <row r="37" spans="1:4" x14ac:dyDescent="0.2">
      <c r="A37" s="2" t="s">
        <v>257</v>
      </c>
      <c r="B37" s="434" t="str">
        <f>HLOOKUP(MTREF,Headings,23)</f>
        <v>Annual target 2020/21</v>
      </c>
      <c r="C37" s="4"/>
      <c r="D37" s="13"/>
    </row>
    <row r="38" spans="1:4" x14ac:dyDescent="0.2">
      <c r="A38" s="2" t="s">
        <v>258</v>
      </c>
      <c r="B38" s="434" t="str">
        <f>HLOOKUP(MTREF,Headings,24)</f>
        <v>Revised target 2020/21</v>
      </c>
      <c r="C38" s="4"/>
      <c r="D38" s="13"/>
    </row>
    <row r="39" spans="1:4" x14ac:dyDescent="0.2">
      <c r="A39" s="2" t="s">
        <v>259</v>
      </c>
      <c r="B39" s="4" t="s">
        <v>74</v>
      </c>
      <c r="C39" s="4"/>
      <c r="D39" s="13"/>
    </row>
    <row r="40" spans="1:4" x14ac:dyDescent="0.2">
      <c r="A40" s="2" t="s">
        <v>260</v>
      </c>
      <c r="B40" s="4" t="s">
        <v>137</v>
      </c>
      <c r="C40" s="4"/>
      <c r="D40" s="13"/>
    </row>
    <row r="41" spans="1:4" x14ac:dyDescent="0.2">
      <c r="A41" s="2" t="s">
        <v>261</v>
      </c>
      <c r="B41" s="4" t="s">
        <v>138</v>
      </c>
      <c r="C41" s="4"/>
      <c r="D41" s="13"/>
    </row>
    <row r="42" spans="1:4" x14ac:dyDescent="0.2">
      <c r="A42" s="2" t="s">
        <v>262</v>
      </c>
      <c r="B42" s="4" t="s">
        <v>72</v>
      </c>
      <c r="C42" s="4"/>
      <c r="D42" s="13"/>
    </row>
    <row r="43" spans="1:4" x14ac:dyDescent="0.2">
      <c r="A43" s="2" t="s">
        <v>73</v>
      </c>
      <c r="B43" s="4" t="s">
        <v>116</v>
      </c>
      <c r="C43" s="4"/>
      <c r="D43" s="13"/>
    </row>
    <row r="44" spans="1:4" x14ac:dyDescent="0.2">
      <c r="A44" s="2" t="s">
        <v>237</v>
      </c>
      <c r="B44" s="4" t="s">
        <v>190</v>
      </c>
      <c r="C44" s="4"/>
      <c r="D44" s="13"/>
    </row>
    <row r="45" spans="1:4" x14ac:dyDescent="0.2">
      <c r="A45" s="2" t="s">
        <v>238</v>
      </c>
      <c r="B45" s="4" t="s">
        <v>191</v>
      </c>
      <c r="C45" s="4"/>
      <c r="D45" s="13"/>
    </row>
    <row r="46" spans="1:4" x14ac:dyDescent="0.2">
      <c r="A46" s="2" t="s">
        <v>239</v>
      </c>
      <c r="B46" s="4" t="s">
        <v>244</v>
      </c>
      <c r="C46" s="4"/>
      <c r="D46" s="13"/>
    </row>
    <row r="47" spans="1:4" x14ac:dyDescent="0.2">
      <c r="A47" s="2" t="s">
        <v>243</v>
      </c>
      <c r="B47" s="4" t="s">
        <v>226</v>
      </c>
      <c r="C47" s="4"/>
      <c r="D47" s="13"/>
    </row>
    <row r="48" spans="1:4" x14ac:dyDescent="0.2">
      <c r="A48" s="2" t="s">
        <v>59</v>
      </c>
      <c r="B48" s="7" t="s">
        <v>227</v>
      </c>
      <c r="C48" s="4"/>
      <c r="D48" s="13"/>
    </row>
    <row r="49" spans="1:4" x14ac:dyDescent="0.2">
      <c r="A49" s="2" t="s">
        <v>60</v>
      </c>
      <c r="B49" s="7" t="s">
        <v>273</v>
      </c>
      <c r="C49" s="4"/>
      <c r="D49" s="13"/>
    </row>
    <row r="50" spans="1:4" x14ac:dyDescent="0.2">
      <c r="A50" s="2" t="s">
        <v>61</v>
      </c>
      <c r="B50" s="7" t="s">
        <v>38</v>
      </c>
      <c r="C50" s="4"/>
      <c r="D50" s="13"/>
    </row>
    <row r="51" spans="1:4" x14ac:dyDescent="0.2">
      <c r="A51" s="2" t="s">
        <v>272</v>
      </c>
      <c r="B51" s="7" t="str">
        <f>Head3&amp;" Summary"</f>
        <v>2020/21 Medium Term Revenue &amp; Expenditure Framework Summary</v>
      </c>
      <c r="C51" s="4"/>
      <c r="D51" s="13"/>
    </row>
    <row r="52" spans="1:4" x14ac:dyDescent="0.2">
      <c r="A52" s="2" t="s">
        <v>139</v>
      </c>
      <c r="B52" s="7" t="s">
        <v>142</v>
      </c>
      <c r="C52" s="4"/>
      <c r="D52" s="13"/>
    </row>
    <row r="53" spans="1:4" x14ac:dyDescent="0.2">
      <c r="A53" s="2" t="s">
        <v>140</v>
      </c>
      <c r="B53" s="7" t="s">
        <v>141</v>
      </c>
      <c r="C53" s="4"/>
      <c r="D53" s="13"/>
    </row>
    <row r="54" spans="1:4" x14ac:dyDescent="0.2">
      <c r="A54" s="2" t="s">
        <v>358</v>
      </c>
      <c r="B54" s="15" t="s">
        <v>29</v>
      </c>
      <c r="C54" s="16"/>
      <c r="D54" s="13"/>
    </row>
    <row r="55" spans="1:4" x14ac:dyDescent="0.2">
      <c r="A55" s="2" t="s">
        <v>161</v>
      </c>
      <c r="B55" s="7" t="s">
        <v>149</v>
      </c>
      <c r="C55" s="4"/>
      <c r="D55" s="13"/>
    </row>
    <row r="56" spans="1:4" x14ac:dyDescent="0.2">
      <c r="A56" s="2" t="s">
        <v>106</v>
      </c>
      <c r="B56" s="7" t="s">
        <v>7</v>
      </c>
      <c r="C56" s="4"/>
      <c r="D56" s="13"/>
    </row>
    <row r="57" spans="1:4" x14ac:dyDescent="0.2">
      <c r="A57" s="2" t="s">
        <v>153</v>
      </c>
      <c r="B57" s="7" t="s">
        <v>155</v>
      </c>
      <c r="C57" s="4"/>
      <c r="D57" s="13"/>
    </row>
    <row r="58" spans="1:4" x14ac:dyDescent="0.2">
      <c r="A58" s="2" t="s">
        <v>154</v>
      </c>
      <c r="B58" s="7" t="s">
        <v>300</v>
      </c>
      <c r="C58" s="4"/>
      <c r="D58" s="13"/>
    </row>
    <row r="59" spans="1:4" x14ac:dyDescent="0.2">
      <c r="A59" s="2" t="s">
        <v>295</v>
      </c>
      <c r="B59" s="7" t="s">
        <v>299</v>
      </c>
      <c r="C59" s="4"/>
      <c r="D59" s="13"/>
    </row>
    <row r="60" spans="1:4" x14ac:dyDescent="0.2">
      <c r="A60" s="2" t="s">
        <v>296</v>
      </c>
      <c r="B60" s="7" t="s">
        <v>27</v>
      </c>
      <c r="C60" s="4"/>
      <c r="D60" s="13"/>
    </row>
    <row r="61" spans="1:4" x14ac:dyDescent="0.2">
      <c r="A61" s="2" t="s">
        <v>297</v>
      </c>
      <c r="B61" s="7" t="s">
        <v>301</v>
      </c>
      <c r="C61" s="4"/>
      <c r="D61" s="13"/>
    </row>
    <row r="62" spans="1:4" x14ac:dyDescent="0.2">
      <c r="A62" s="2" t="s">
        <v>298</v>
      </c>
      <c r="B62" s="7" t="s">
        <v>403</v>
      </c>
      <c r="C62" s="4"/>
      <c r="D62" s="13"/>
    </row>
    <row r="63" spans="1:4" x14ac:dyDescent="0.2">
      <c r="A63" s="2" t="s">
        <v>180</v>
      </c>
      <c r="B63" s="7" t="s">
        <v>26</v>
      </c>
      <c r="C63" s="4"/>
      <c r="D63" s="13"/>
    </row>
    <row r="64" spans="1:4" x14ac:dyDescent="0.2">
      <c r="A64" s="2" t="s">
        <v>280</v>
      </c>
      <c r="B64" s="7" t="s">
        <v>281</v>
      </c>
      <c r="C64" s="4"/>
      <c r="D64" s="13"/>
    </row>
    <row r="65" spans="1:14" x14ac:dyDescent="0.2">
      <c r="A65" s="2" t="s">
        <v>224</v>
      </c>
      <c r="B65" s="7" t="s">
        <v>225</v>
      </c>
      <c r="C65" s="4"/>
      <c r="D65" s="13"/>
    </row>
    <row r="66" spans="1:14" x14ac:dyDescent="0.2">
      <c r="A66" s="2" t="s">
        <v>408</v>
      </c>
      <c r="B66" s="7" t="s">
        <v>409</v>
      </c>
      <c r="C66" s="4"/>
      <c r="D66" s="13"/>
    </row>
    <row r="67" spans="1:14" x14ac:dyDescent="0.2">
      <c r="A67" s="2" t="s">
        <v>410</v>
      </c>
      <c r="B67" s="7" t="s">
        <v>148</v>
      </c>
      <c r="C67" s="4"/>
      <c r="D67" s="13"/>
    </row>
    <row r="68" spans="1:14" x14ac:dyDescent="0.2">
      <c r="A68" s="2" t="s">
        <v>320</v>
      </c>
      <c r="B68" s="7" t="s">
        <v>318</v>
      </c>
      <c r="C68" s="4"/>
      <c r="D68" s="13"/>
    </row>
    <row r="69" spans="1:14" x14ac:dyDescent="0.2">
      <c r="A69" s="2" t="s">
        <v>321</v>
      </c>
      <c r="B69" s="7" t="s">
        <v>319</v>
      </c>
      <c r="C69" s="4"/>
      <c r="D69" s="13"/>
    </row>
    <row r="70" spans="1:14" x14ac:dyDescent="0.2">
      <c r="A70" s="2" t="s">
        <v>322</v>
      </c>
      <c r="B70" s="7" t="s">
        <v>324</v>
      </c>
      <c r="C70" s="4"/>
      <c r="D70" s="13"/>
    </row>
    <row r="71" spans="1:14" x14ac:dyDescent="0.2">
      <c r="A71" s="2" t="s">
        <v>323</v>
      </c>
      <c r="B71" s="7" t="s">
        <v>170</v>
      </c>
      <c r="C71" s="4"/>
      <c r="D71" s="13"/>
    </row>
    <row r="72" spans="1:14" x14ac:dyDescent="0.2">
      <c r="A72" s="2" t="s">
        <v>171</v>
      </c>
      <c r="B72" s="7" t="s">
        <v>199</v>
      </c>
      <c r="C72" s="4"/>
      <c r="D72" s="13"/>
    </row>
    <row r="73" spans="1:14" x14ac:dyDescent="0.2">
      <c r="A73" s="2" t="s">
        <v>172</v>
      </c>
      <c r="B73" s="7" t="s">
        <v>200</v>
      </c>
      <c r="C73" s="4"/>
      <c r="D73" s="13"/>
    </row>
    <row r="74" spans="1:14" x14ac:dyDescent="0.2">
      <c r="A74" s="2" t="s">
        <v>202</v>
      </c>
      <c r="B74" s="7" t="s">
        <v>201</v>
      </c>
      <c r="C74" s="4"/>
      <c r="D74" s="13"/>
    </row>
    <row r="75" spans="1:14" ht="12.75" x14ac:dyDescent="0.2">
      <c r="A75" s="688" t="s">
        <v>246</v>
      </c>
      <c r="B75" s="689"/>
      <c r="C75" s="689"/>
      <c r="D75" s="690"/>
      <c r="E75"/>
      <c r="F75"/>
      <c r="G75"/>
      <c r="H75"/>
      <c r="I75"/>
      <c r="J75"/>
      <c r="K75"/>
      <c r="L75"/>
      <c r="M75"/>
      <c r="N75"/>
    </row>
    <row r="76" spans="1:14" ht="12.75" x14ac:dyDescent="0.2">
      <c r="A76" s="184" t="s">
        <v>173</v>
      </c>
      <c r="B76" s="182" t="s">
        <v>1203</v>
      </c>
      <c r="C76" s="182"/>
      <c r="D76" s="18"/>
      <c r="E76"/>
      <c r="F76"/>
      <c r="G76"/>
      <c r="H76"/>
      <c r="I76"/>
      <c r="J76"/>
      <c r="K76"/>
      <c r="L76"/>
      <c r="M76"/>
      <c r="N76"/>
    </row>
    <row r="77" spans="1:14" ht="12.75" x14ac:dyDescent="0.2">
      <c r="A77" s="12" t="s">
        <v>55</v>
      </c>
      <c r="B77" s="185"/>
      <c r="C77" s="185"/>
      <c r="D77" s="14"/>
      <c r="E77"/>
      <c r="F77"/>
      <c r="G77"/>
      <c r="H77"/>
      <c r="I77"/>
      <c r="J77"/>
      <c r="K77"/>
      <c r="L77"/>
      <c r="M77"/>
      <c r="N77"/>
    </row>
    <row r="78" spans="1:14" x14ac:dyDescent="0.2">
      <c r="A78" s="691" t="s">
        <v>167</v>
      </c>
      <c r="B78" s="692"/>
      <c r="C78" s="17"/>
      <c r="D78" s="17" t="s">
        <v>418</v>
      </c>
    </row>
    <row r="79" spans="1:14" x14ac:dyDescent="0.2">
      <c r="A79" s="11"/>
      <c r="B79" s="5" t="s">
        <v>242</v>
      </c>
      <c r="C79" s="5"/>
      <c r="D79" s="13"/>
    </row>
    <row r="80" spans="1:14" x14ac:dyDescent="0.2">
      <c r="A80" s="181" t="s">
        <v>182</v>
      </c>
      <c r="B80" s="182" t="str">
        <f>entity&amp;" - "&amp;D80&amp;"Budget Summary"</f>
        <v>Centlec - Table D1 Budget Summary</v>
      </c>
      <c r="C80" s="182"/>
      <c r="D80" s="18" t="s">
        <v>491</v>
      </c>
    </row>
    <row r="81" spans="1:4" x14ac:dyDescent="0.2">
      <c r="A81" s="11" t="s">
        <v>192</v>
      </c>
      <c r="B81" s="4" t="str">
        <f>entity&amp;" - "&amp;D81&amp;"Budgeted Financial Performance (revenue and expenditure)"</f>
        <v>Centlec - Table D2 Budgeted Financial Performance (revenue and expenditure)</v>
      </c>
      <c r="C81" s="4"/>
      <c r="D81" s="13" t="s">
        <v>492</v>
      </c>
    </row>
    <row r="82" spans="1:4" x14ac:dyDescent="0.2">
      <c r="A82" s="11" t="s">
        <v>413</v>
      </c>
      <c r="B82" s="4" t="s">
        <v>417</v>
      </c>
      <c r="C82" s="4"/>
      <c r="D82" s="13"/>
    </row>
    <row r="83" spans="1:4" x14ac:dyDescent="0.2">
      <c r="A83" s="11" t="s">
        <v>193</v>
      </c>
      <c r="B83" s="4" t="str">
        <f>entity&amp;" - "&amp;D83&amp;"Capital Budget by asset class and funding"</f>
        <v>Centlec - Table D3 Capital Budget by asset class and funding</v>
      </c>
      <c r="C83" s="4"/>
      <c r="D83" s="13" t="s">
        <v>493</v>
      </c>
    </row>
    <row r="84" spans="1:4" x14ac:dyDescent="0.2">
      <c r="A84" s="11" t="s">
        <v>194</v>
      </c>
      <c r="B84" s="4" t="str">
        <f>entity&amp;" - "&amp;D84&amp; "Budgeted Financial Position"</f>
        <v>Centlec - Table D4 Budgeted Financial Position</v>
      </c>
      <c r="C84" s="4"/>
      <c r="D84" s="13" t="s">
        <v>494</v>
      </c>
    </row>
    <row r="85" spans="1:4" x14ac:dyDescent="0.2">
      <c r="A85" s="12" t="s">
        <v>195</v>
      </c>
      <c r="B85" s="9" t="str">
        <f>entity&amp;" - "&amp;D85&amp; "Budgeted Cash Flow"</f>
        <v>Centlec - Table D5 Budgeted Cash Flow</v>
      </c>
      <c r="C85" s="9"/>
      <c r="D85" s="14" t="s">
        <v>495</v>
      </c>
    </row>
    <row r="86" spans="1:4" x14ac:dyDescent="0.2">
      <c r="A86" s="11" t="s">
        <v>197</v>
      </c>
      <c r="B86" s="4" t="str">
        <f>entity&amp;" - "&amp;D86&amp;"Measurable performance targets"</f>
        <v>Centlec - Supporting Table SD1 Measurable performance targets</v>
      </c>
      <c r="C86" s="4"/>
      <c r="D86" s="13" t="s">
        <v>548</v>
      </c>
    </row>
    <row r="87" spans="1:4" x14ac:dyDescent="0.2">
      <c r="A87" s="11" t="s">
        <v>220</v>
      </c>
      <c r="B87" s="4" t="str">
        <f>entity&amp;" - "&amp;D87&amp; " Financial and non-financial indicators"</f>
        <v>Centlec - Supporting Table SD2 Financial and non-financial indicators</v>
      </c>
      <c r="C87" s="4"/>
      <c r="D87" s="13" t="s">
        <v>549</v>
      </c>
    </row>
    <row r="88" spans="1:4" x14ac:dyDescent="0.2">
      <c r="A88" s="11" t="s">
        <v>196</v>
      </c>
      <c r="B88" s="4" t="str">
        <f>entity&amp;" - "&amp;D88&amp;" Budgeted Investment Portfolio"</f>
        <v>Centlec - Supporting Table SD3 Budgeted Investment Portfolio</v>
      </c>
      <c r="C88" s="4"/>
      <c r="D88" s="13" t="s">
        <v>550</v>
      </c>
    </row>
    <row r="89" spans="1:4" x14ac:dyDescent="0.2">
      <c r="A89" s="11" t="s">
        <v>770</v>
      </c>
      <c r="B89" s="4" t="str">
        <f>entity&amp;" - "&amp;D89&amp;" Board member allowances and staff benefits"</f>
        <v>Centlec - Supporting Table SD4 Board member allowances and staff benefits</v>
      </c>
      <c r="C89" s="4"/>
      <c r="D89" s="13" t="s">
        <v>551</v>
      </c>
    </row>
    <row r="90" spans="1:4" x14ac:dyDescent="0.2">
      <c r="A90" s="11" t="s">
        <v>771</v>
      </c>
      <c r="B90" s="4" t="str">
        <f>entity&amp;" - "&amp;D90&amp;" Summary of personnel numbers"</f>
        <v>Centlec - Supporting Table SD5 Summary of personnel numbers</v>
      </c>
      <c r="C90" s="4"/>
      <c r="D90" s="13" t="s">
        <v>552</v>
      </c>
    </row>
    <row r="91" spans="1:4" x14ac:dyDescent="0.2">
      <c r="A91" s="11" t="s">
        <v>334</v>
      </c>
      <c r="B91" s="4" t="str">
        <f>entity&amp;" - "&amp;D91&amp;" Budgeted monthly cash and revenue/expenditure"</f>
        <v>Centlec - Supporting Table SD6 Budgeted monthly cash and revenue/expenditure</v>
      </c>
      <c r="C91" s="4"/>
      <c r="D91" s="13" t="s">
        <v>553</v>
      </c>
    </row>
    <row r="92" spans="1:4" x14ac:dyDescent="0.2">
      <c r="A92" s="11" t="s">
        <v>772</v>
      </c>
      <c r="B92" s="4" t="str">
        <f>entity&amp;" - "&amp;D92&amp;" Capital expenditure on new assets by asset class"</f>
        <v>Centlec - Supporting Table SD7a Capital expenditure on new assets by asset class</v>
      </c>
      <c r="C92" s="4"/>
      <c r="D92" s="13" t="s">
        <v>777</v>
      </c>
    </row>
    <row r="93" spans="1:4" x14ac:dyDescent="0.2">
      <c r="A93" s="11" t="s">
        <v>773</v>
      </c>
      <c r="B93" s="4" t="str">
        <f>entity&amp;" - "&amp;D93&amp;" Capital expenditure on renewal of existing assets by asset class"</f>
        <v>Centlec - Supporting Table SD7b Capital expenditure on renewal of existing assets by asset class</v>
      </c>
      <c r="C93" s="4"/>
      <c r="D93" s="13" t="s">
        <v>778</v>
      </c>
    </row>
    <row r="94" spans="1:4" x14ac:dyDescent="0.2">
      <c r="A94" s="11" t="s">
        <v>774</v>
      </c>
      <c r="B94" s="4" t="str">
        <f>entity&amp;" - "&amp;D94&amp;" Expenditure on repairs and maintenance by asset class"</f>
        <v>Centlec - Supporting Table SD7c Expenditure on repairs and maintenance by asset class</v>
      </c>
      <c r="C94" s="4"/>
      <c r="D94" s="13" t="s">
        <v>779</v>
      </c>
    </row>
    <row r="95" spans="1:4" x14ac:dyDescent="0.2">
      <c r="A95" s="506" t="s">
        <v>971</v>
      </c>
      <c r="B95" s="4" t="str">
        <f>entity&amp;" - "&amp;D95&amp;" Depreciation by asset class"</f>
        <v>Centlec - Supporting Table SD7d Depreciation by asset class</v>
      </c>
      <c r="C95" s="4"/>
      <c r="D95" s="507" t="s">
        <v>973</v>
      </c>
    </row>
    <row r="96" spans="1:4" x14ac:dyDescent="0.2">
      <c r="A96" s="506" t="s">
        <v>972</v>
      </c>
      <c r="B96" s="4" t="str">
        <f>entity&amp;" - "&amp;D96&amp;" Capital expenditure on upgrading of existing assets by asset class"</f>
        <v>Centlec - Supporting Table SD7e Capital expenditure on upgrading of existing assets by asset class</v>
      </c>
      <c r="C96" s="4"/>
      <c r="D96" s="507" t="s">
        <v>974</v>
      </c>
    </row>
    <row r="97" spans="1:4" x14ac:dyDescent="0.2">
      <c r="A97" s="11" t="s">
        <v>775</v>
      </c>
      <c r="B97" s="4" t="str">
        <f>entity&amp;" - "&amp;D97&amp;" Future financial implications of the capital expenditure budget"</f>
        <v>Centlec - Supporting Table SD8 Future financial implications of the capital expenditure budget</v>
      </c>
      <c r="C97" s="4"/>
      <c r="D97" s="13" t="s">
        <v>780</v>
      </c>
    </row>
    <row r="98" spans="1:4" x14ac:dyDescent="0.2">
      <c r="A98" s="11" t="s">
        <v>776</v>
      </c>
      <c r="B98" s="4" t="str">
        <f>entity&amp;" - "&amp;D98&amp;" Detailed capital budget"</f>
        <v>Centlec - Supporting Table SD9 Detailed capital budget</v>
      </c>
      <c r="C98" s="4"/>
      <c r="D98" s="13" t="s">
        <v>554</v>
      </c>
    </row>
    <row r="99" spans="1:4" x14ac:dyDescent="0.2">
      <c r="A99" s="11" t="s">
        <v>386</v>
      </c>
      <c r="B99" s="4" t="str">
        <f>entity&amp;" - "&amp;D99&amp;" Long term contracts"</f>
        <v>Centlec - Supporting Table SD10 Long term contracts</v>
      </c>
      <c r="C99" s="4"/>
      <c r="D99" s="13" t="s">
        <v>555</v>
      </c>
    </row>
    <row r="100" spans="1:4" x14ac:dyDescent="0.2">
      <c r="A100" s="12" t="s">
        <v>387</v>
      </c>
      <c r="B100" s="9" t="str">
        <f>entity&amp;" - "&amp;D100&amp;" External mechanisms"</f>
        <v>Centlec - Supporting Table SD11 External mechanisms</v>
      </c>
      <c r="C100" s="9"/>
      <c r="D100" s="13" t="s">
        <v>556</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tabColor rgb="FFCCFFCC"/>
    <pageSetUpPr fitToPage="1"/>
  </sheetPr>
  <dimension ref="A1:O205"/>
  <sheetViews>
    <sheetView showGridLines="0" zoomScaleNormal="100" workbookViewId="0">
      <pane xSplit="2" ySplit="3" topLeftCell="C148" activePane="bottomRight" state="frozen"/>
      <selection activeCell="A23" sqref="A23"/>
      <selection pane="topRight" activeCell="A23" sqref="A23"/>
      <selection pane="bottomLeft" activeCell="A23" sqref="A23"/>
      <selection pane="bottomRight" activeCell="L161" sqref="L161"/>
    </sheetView>
  </sheetViews>
  <sheetFormatPr defaultRowHeight="12.75" x14ac:dyDescent="0.25"/>
  <cols>
    <col min="1" max="1" width="35.710937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MEB9d</f>
        <v>Centlec - Supporting Table SD7d Depreciation by asset class</v>
      </c>
    </row>
    <row r="2" spans="1:12" ht="25.5" x14ac:dyDescent="0.25">
      <c r="A2" s="451" t="str">
        <f>desc</f>
        <v>Description</v>
      </c>
      <c r="B2" s="452"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2" ht="38.25" x14ac:dyDescent="0.25">
      <c r="A3" s="392" t="s">
        <v>822</v>
      </c>
      <c r="B3" s="321">
        <v>1</v>
      </c>
      <c r="C3" s="322" t="str">
        <f>Head5</f>
        <v>Audited Outcome</v>
      </c>
      <c r="D3" s="323" t="str">
        <f>Head5</f>
        <v>Audited Outcome</v>
      </c>
      <c r="E3" s="324" t="str">
        <f>Head5</f>
        <v>Audited Outcome</v>
      </c>
      <c r="F3" s="449" t="str">
        <f>Head6</f>
        <v>Original Budget</v>
      </c>
      <c r="G3" s="322" t="str">
        <f>Head7</f>
        <v>Adjusted Budget</v>
      </c>
      <c r="H3" s="450" t="str">
        <f>Head8</f>
        <v>Full Year Forecast</v>
      </c>
      <c r="I3" s="449" t="str">
        <f>Head9</f>
        <v>Budget Year 2020/21</v>
      </c>
      <c r="J3" s="322" t="str">
        <f>Head10</f>
        <v>Budget Year +1 2021/22</v>
      </c>
      <c r="K3" s="324" t="str">
        <f>Head11</f>
        <v>Budget Year +2 2022/23</v>
      </c>
    </row>
    <row r="4" spans="1:12" ht="12.75" customHeight="1" x14ac:dyDescent="0.25">
      <c r="A4" s="505" t="s">
        <v>969</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113279039.58</v>
      </c>
      <c r="D6" s="293">
        <f t="shared" ref="D6:K6" si="0">D7+D12+D16+D26+D37+D44+D52+D62+D68</f>
        <v>1941876.31</v>
      </c>
      <c r="E6" s="294">
        <f t="shared" si="0"/>
        <v>107904147.79000001</v>
      </c>
      <c r="F6" s="292">
        <f t="shared" si="0"/>
        <v>53200228</v>
      </c>
      <c r="G6" s="293">
        <f t="shared" si="0"/>
        <v>38445346</v>
      </c>
      <c r="H6" s="291">
        <f t="shared" si="0"/>
        <v>38445346</v>
      </c>
      <c r="I6" s="292">
        <f t="shared" si="0"/>
        <v>40213832</v>
      </c>
      <c r="J6" s="293">
        <f t="shared" si="0"/>
        <v>42144096</v>
      </c>
      <c r="K6" s="294">
        <f t="shared" si="0"/>
        <v>44167012</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302"/>
      <c r="C8" s="475"/>
      <c r="D8" s="475"/>
      <c r="E8" s="476"/>
      <c r="F8" s="477"/>
      <c r="G8" s="475"/>
      <c r="H8" s="478"/>
      <c r="I8" s="477"/>
      <c r="J8" s="475"/>
      <c r="K8" s="476"/>
      <c r="L8" s="474"/>
    </row>
    <row r="9" spans="1:12" s="472" customFormat="1" ht="13.15" customHeight="1" x14ac:dyDescent="0.25">
      <c r="A9" s="303" t="s">
        <v>855</v>
      </c>
      <c r="B9" s="302"/>
      <c r="C9" s="475"/>
      <c r="D9" s="475"/>
      <c r="E9" s="476"/>
      <c r="F9" s="477"/>
      <c r="G9" s="475"/>
      <c r="H9" s="478"/>
      <c r="I9" s="477"/>
      <c r="J9" s="475"/>
      <c r="K9" s="476"/>
      <c r="L9" s="479"/>
    </row>
    <row r="10" spans="1:12" s="472" customFormat="1" ht="13.15" customHeight="1" x14ac:dyDescent="0.25">
      <c r="A10" s="303" t="s">
        <v>856</v>
      </c>
      <c r="B10" s="302"/>
      <c r="C10" s="475"/>
      <c r="D10" s="475"/>
      <c r="E10" s="476"/>
      <c r="F10" s="477"/>
      <c r="G10" s="475"/>
      <c r="H10" s="478"/>
      <c r="I10" s="477"/>
      <c r="J10" s="475"/>
      <c r="K10" s="476"/>
      <c r="L10" s="479"/>
    </row>
    <row r="11" spans="1:12" s="472" customFormat="1" ht="13.15" customHeight="1" x14ac:dyDescent="0.25">
      <c r="A11" s="303" t="s">
        <v>857</v>
      </c>
      <c r="B11" s="302"/>
      <c r="C11" s="475"/>
      <c r="D11" s="475"/>
      <c r="E11" s="476"/>
      <c r="F11" s="477"/>
      <c r="G11" s="475"/>
      <c r="H11" s="478"/>
      <c r="I11" s="477"/>
      <c r="J11" s="475"/>
      <c r="K11" s="476"/>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475"/>
      <c r="D13" s="475"/>
      <c r="E13" s="480"/>
      <c r="F13" s="481"/>
      <c r="G13" s="475"/>
      <c r="H13" s="482"/>
      <c r="I13" s="483"/>
      <c r="J13" s="475"/>
      <c r="K13" s="482"/>
      <c r="L13" s="479"/>
    </row>
    <row r="14" spans="1:12" s="472" customFormat="1" ht="13.15" customHeight="1" x14ac:dyDescent="0.25">
      <c r="A14" s="303" t="s">
        <v>860</v>
      </c>
      <c r="B14" s="302"/>
      <c r="C14" s="475"/>
      <c r="D14" s="475"/>
      <c r="E14" s="480"/>
      <c r="F14" s="481"/>
      <c r="G14" s="475"/>
      <c r="H14" s="482"/>
      <c r="I14" s="483"/>
      <c r="J14" s="475"/>
      <c r="K14" s="482"/>
      <c r="L14" s="479"/>
    </row>
    <row r="15" spans="1:12" s="472" customFormat="1" ht="13.15" customHeight="1" x14ac:dyDescent="0.25">
      <c r="A15" s="303" t="s">
        <v>861</v>
      </c>
      <c r="B15" s="302"/>
      <c r="C15" s="475"/>
      <c r="D15" s="475"/>
      <c r="E15" s="480"/>
      <c r="F15" s="481"/>
      <c r="G15" s="475"/>
      <c r="H15" s="482"/>
      <c r="I15" s="483"/>
      <c r="J15" s="475"/>
      <c r="K15" s="482"/>
      <c r="L15" s="479"/>
    </row>
    <row r="16" spans="1:12" s="472" customFormat="1" ht="13.15" customHeight="1" x14ac:dyDescent="0.25">
      <c r="A16" s="285" t="s">
        <v>862</v>
      </c>
      <c r="B16" s="302"/>
      <c r="C16" s="422">
        <f t="shared" ref="C16:K16" si="3">SUM(C17:C25)</f>
        <v>113279039.58</v>
      </c>
      <c r="D16" s="422">
        <f t="shared" si="3"/>
        <v>1941876.31</v>
      </c>
      <c r="E16" s="423">
        <f t="shared" si="3"/>
        <v>107904147.79000001</v>
      </c>
      <c r="F16" s="424">
        <f t="shared" si="3"/>
        <v>53200228</v>
      </c>
      <c r="G16" s="422">
        <f t="shared" si="3"/>
        <v>38445346</v>
      </c>
      <c r="H16" s="425">
        <f t="shared" si="3"/>
        <v>38445346</v>
      </c>
      <c r="I16" s="426">
        <f t="shared" si="3"/>
        <v>40213832</v>
      </c>
      <c r="J16" s="422">
        <f t="shared" si="3"/>
        <v>42144096</v>
      </c>
      <c r="K16" s="425">
        <f t="shared" si="3"/>
        <v>44167012</v>
      </c>
      <c r="L16" s="479"/>
    </row>
    <row r="17" spans="1:12" s="472" customFormat="1" ht="13.15" customHeight="1" x14ac:dyDescent="0.25">
      <c r="A17" s="303" t="s">
        <v>863</v>
      </c>
      <c r="B17" s="302"/>
      <c r="C17" s="475"/>
      <c r="D17" s="475"/>
      <c r="E17" s="480"/>
      <c r="F17" s="481"/>
      <c r="G17" s="475"/>
      <c r="H17" s="482"/>
      <c r="I17" s="483"/>
      <c r="J17" s="475"/>
      <c r="K17" s="482"/>
      <c r="L17" s="479"/>
    </row>
    <row r="18" spans="1:12" s="472" customFormat="1" ht="13.15" customHeight="1" x14ac:dyDescent="0.25">
      <c r="A18" s="303" t="s">
        <v>864</v>
      </c>
      <c r="B18" s="302"/>
      <c r="C18" s="475"/>
      <c r="D18" s="475"/>
      <c r="E18" s="480"/>
      <c r="F18" s="481"/>
      <c r="G18" s="475"/>
      <c r="H18" s="482"/>
      <c r="I18" s="483"/>
      <c r="J18" s="475"/>
      <c r="K18" s="482"/>
      <c r="L18" s="479"/>
    </row>
    <row r="19" spans="1:12" s="472" customFormat="1" ht="13.15" customHeight="1" x14ac:dyDescent="0.25">
      <c r="A19" s="303" t="s">
        <v>865</v>
      </c>
      <c r="B19" s="302"/>
      <c r="C19" s="475"/>
      <c r="D19" s="475"/>
      <c r="E19" s="480"/>
      <c r="F19" s="481"/>
      <c r="G19" s="475"/>
      <c r="H19" s="482"/>
      <c r="I19" s="483"/>
      <c r="J19" s="475"/>
      <c r="K19" s="482"/>
      <c r="L19" s="479"/>
    </row>
    <row r="20" spans="1:12" s="472" customFormat="1" ht="13.15" customHeight="1" x14ac:dyDescent="0.25">
      <c r="A20" s="303" t="s">
        <v>866</v>
      </c>
      <c r="B20" s="302"/>
      <c r="C20" s="475"/>
      <c r="D20" s="475"/>
      <c r="E20" s="480"/>
      <c r="F20" s="481"/>
      <c r="G20" s="475"/>
      <c r="H20" s="482"/>
      <c r="I20" s="483"/>
      <c r="J20" s="475"/>
      <c r="K20" s="482"/>
      <c r="L20" s="479"/>
    </row>
    <row r="21" spans="1:12" s="472" customFormat="1" ht="13.15" customHeight="1" x14ac:dyDescent="0.25">
      <c r="A21" s="303" t="s">
        <v>867</v>
      </c>
      <c r="B21" s="302"/>
      <c r="C21" s="475"/>
      <c r="D21" s="475"/>
      <c r="E21" s="480"/>
      <c r="F21" s="481"/>
      <c r="G21" s="475"/>
      <c r="H21" s="482"/>
      <c r="I21" s="483"/>
      <c r="J21" s="475"/>
      <c r="K21" s="482"/>
      <c r="L21" s="479"/>
    </row>
    <row r="22" spans="1:12" s="472" customFormat="1" ht="13.15" customHeight="1" x14ac:dyDescent="0.25">
      <c r="A22" s="303" t="s">
        <v>868</v>
      </c>
      <c r="B22" s="302"/>
      <c r="C22" s="475"/>
      <c r="D22" s="475"/>
      <c r="E22" s="480"/>
      <c r="F22" s="481"/>
      <c r="G22" s="475"/>
      <c r="H22" s="482"/>
      <c r="I22" s="483"/>
      <c r="J22" s="475"/>
      <c r="K22" s="482"/>
      <c r="L22" s="474"/>
    </row>
    <row r="23" spans="1:12" s="472" customFormat="1" ht="13.15" customHeight="1" x14ac:dyDescent="0.25">
      <c r="A23" s="303" t="s">
        <v>869</v>
      </c>
      <c r="B23" s="302"/>
      <c r="C23" s="475"/>
      <c r="D23" s="475"/>
      <c r="E23" s="480"/>
      <c r="F23" s="481"/>
      <c r="G23" s="475"/>
      <c r="H23" s="482"/>
      <c r="I23" s="483"/>
      <c r="J23" s="475"/>
      <c r="K23" s="482"/>
      <c r="L23" s="479"/>
    </row>
    <row r="24" spans="1:12" s="472" customFormat="1" ht="13.15" customHeight="1" x14ac:dyDescent="0.25">
      <c r="A24" s="303" t="s">
        <v>870</v>
      </c>
      <c r="B24" s="302"/>
      <c r="C24" s="475">
        <v>113279039.58</v>
      </c>
      <c r="D24" s="475">
        <v>1941876.31</v>
      </c>
      <c r="E24" s="480">
        <v>107904147.79000001</v>
      </c>
      <c r="F24" s="481">
        <v>53200228</v>
      </c>
      <c r="G24" s="475">
        <v>38445346</v>
      </c>
      <c r="H24" s="475">
        <v>38445346</v>
      </c>
      <c r="I24" s="483">
        <v>40213832</v>
      </c>
      <c r="J24" s="475">
        <v>42144096</v>
      </c>
      <c r="K24" s="482">
        <v>44167012</v>
      </c>
      <c r="L24" s="479"/>
    </row>
    <row r="25" spans="1:12" s="472" customFormat="1" ht="13.15" customHeight="1" x14ac:dyDescent="0.25">
      <c r="A25" s="303" t="s">
        <v>857</v>
      </c>
      <c r="B25" s="302"/>
      <c r="C25" s="475"/>
      <c r="D25" s="475"/>
      <c r="E25" s="480"/>
      <c r="F25" s="481"/>
      <c r="G25" s="475"/>
      <c r="H25" s="482"/>
      <c r="I25" s="483"/>
      <c r="J25" s="475"/>
      <c r="K25" s="482"/>
      <c r="L25" s="479"/>
    </row>
    <row r="26" spans="1:12" ht="13.15" customHeight="1" x14ac:dyDescent="0.25">
      <c r="A26" s="284" t="s">
        <v>871</v>
      </c>
      <c r="B26" s="454"/>
      <c r="C26" s="422">
        <f>SUM(C27:C36)</f>
        <v>0</v>
      </c>
      <c r="D26" s="422">
        <f t="shared" ref="D26:K26" si="4">SUM(D27:D36)</f>
        <v>0</v>
      </c>
      <c r="E26" s="423">
        <f t="shared" si="4"/>
        <v>0</v>
      </c>
      <c r="F26" s="424">
        <f t="shared" si="4"/>
        <v>0</v>
      </c>
      <c r="G26" s="422">
        <f t="shared" si="4"/>
        <v>0</v>
      </c>
      <c r="H26" s="425">
        <f t="shared" si="4"/>
        <v>0</v>
      </c>
      <c r="I26" s="426">
        <f t="shared" si="4"/>
        <v>0</v>
      </c>
      <c r="J26" s="422">
        <f t="shared" si="4"/>
        <v>0</v>
      </c>
      <c r="K26" s="425">
        <f t="shared" si="4"/>
        <v>0</v>
      </c>
      <c r="L26" s="438"/>
    </row>
    <row r="27" spans="1:12" ht="13.15" customHeight="1" x14ac:dyDescent="0.25">
      <c r="A27" s="303" t="s">
        <v>872</v>
      </c>
      <c r="B27" s="302"/>
      <c r="C27" s="475"/>
      <c r="D27" s="475"/>
      <c r="E27" s="480"/>
      <c r="F27" s="481"/>
      <c r="G27" s="475"/>
      <c r="H27" s="482"/>
      <c r="I27" s="483"/>
      <c r="J27" s="475"/>
      <c r="K27" s="482"/>
      <c r="L27" s="438"/>
    </row>
    <row r="28" spans="1:12" ht="13.15" customHeight="1" x14ac:dyDescent="0.25">
      <c r="A28" s="303" t="s">
        <v>873</v>
      </c>
      <c r="B28" s="302"/>
      <c r="C28" s="475"/>
      <c r="D28" s="475"/>
      <c r="E28" s="480"/>
      <c r="F28" s="481"/>
      <c r="G28" s="475"/>
      <c r="H28" s="482"/>
      <c r="I28" s="483"/>
      <c r="J28" s="475"/>
      <c r="K28" s="482"/>
      <c r="L28" s="479"/>
    </row>
    <row r="29" spans="1:12" ht="13.15" customHeight="1" x14ac:dyDescent="0.25">
      <c r="A29" s="303" t="s">
        <v>874</v>
      </c>
      <c r="B29" s="302"/>
      <c r="C29" s="475"/>
      <c r="D29" s="475"/>
      <c r="E29" s="480"/>
      <c r="F29" s="481"/>
      <c r="G29" s="475"/>
      <c r="H29" s="482"/>
      <c r="I29" s="483"/>
      <c r="J29" s="475"/>
      <c r="K29" s="482"/>
      <c r="L29" s="479"/>
    </row>
    <row r="30" spans="1:12" ht="13.15" customHeight="1" x14ac:dyDescent="0.25">
      <c r="A30" s="303" t="s">
        <v>875</v>
      </c>
      <c r="B30" s="302"/>
      <c r="C30" s="475"/>
      <c r="D30" s="475"/>
      <c r="E30" s="480"/>
      <c r="F30" s="481"/>
      <c r="G30" s="475"/>
      <c r="H30" s="482"/>
      <c r="I30" s="483"/>
      <c r="J30" s="475"/>
      <c r="K30" s="482"/>
      <c r="L30" s="479"/>
    </row>
    <row r="31" spans="1:12" ht="13.15" customHeight="1" x14ac:dyDescent="0.25">
      <c r="A31" s="303" t="s">
        <v>876</v>
      </c>
      <c r="B31" s="302"/>
      <c r="C31" s="475"/>
      <c r="D31" s="475"/>
      <c r="E31" s="480"/>
      <c r="F31" s="481"/>
      <c r="G31" s="475"/>
      <c r="H31" s="482"/>
      <c r="I31" s="483"/>
      <c r="J31" s="475"/>
      <c r="K31" s="482"/>
      <c r="L31" s="479"/>
    </row>
    <row r="32" spans="1:12" ht="13.15" customHeight="1" x14ac:dyDescent="0.25">
      <c r="A32" s="303" t="s">
        <v>877</v>
      </c>
      <c r="B32" s="302"/>
      <c r="C32" s="475"/>
      <c r="D32" s="475"/>
      <c r="E32" s="480"/>
      <c r="F32" s="481"/>
      <c r="G32" s="475"/>
      <c r="H32" s="482"/>
      <c r="I32" s="483"/>
      <c r="J32" s="475"/>
      <c r="K32" s="482"/>
      <c r="L32" s="479"/>
    </row>
    <row r="33" spans="1:15" ht="13.15" customHeight="1" x14ac:dyDescent="0.25">
      <c r="A33" s="303" t="s">
        <v>878</v>
      </c>
      <c r="B33" s="302"/>
      <c r="C33" s="475"/>
      <c r="D33" s="475"/>
      <c r="E33" s="480"/>
      <c r="F33" s="481"/>
      <c r="G33" s="475"/>
      <c r="H33" s="482"/>
      <c r="I33" s="483"/>
      <c r="J33" s="475"/>
      <c r="K33" s="482"/>
      <c r="L33" s="479"/>
    </row>
    <row r="34" spans="1:15" ht="13.15" customHeight="1" x14ac:dyDescent="0.25">
      <c r="A34" s="303" t="s">
        <v>879</v>
      </c>
      <c r="B34" s="302"/>
      <c r="C34" s="475"/>
      <c r="D34" s="475"/>
      <c r="E34" s="480"/>
      <c r="F34" s="481"/>
      <c r="G34" s="475"/>
      <c r="H34" s="482"/>
      <c r="I34" s="483"/>
      <c r="J34" s="475"/>
      <c r="K34" s="482"/>
      <c r="L34" s="479"/>
    </row>
    <row r="35" spans="1:15" ht="13.15" customHeight="1" x14ac:dyDescent="0.25">
      <c r="A35" s="303" t="s">
        <v>880</v>
      </c>
      <c r="B35" s="302"/>
      <c r="C35" s="475"/>
      <c r="D35" s="475"/>
      <c r="E35" s="480"/>
      <c r="F35" s="481"/>
      <c r="G35" s="475"/>
      <c r="H35" s="482"/>
      <c r="I35" s="483"/>
      <c r="J35" s="475"/>
      <c r="K35" s="482"/>
      <c r="L35" s="479"/>
    </row>
    <row r="36" spans="1:15" ht="13.15" customHeight="1" x14ac:dyDescent="0.25">
      <c r="A36" s="303" t="s">
        <v>857</v>
      </c>
      <c r="B36" s="302"/>
      <c r="C36" s="475"/>
      <c r="D36" s="475"/>
      <c r="E36" s="480"/>
      <c r="F36" s="481"/>
      <c r="G36" s="475"/>
      <c r="H36" s="482"/>
      <c r="I36" s="483"/>
      <c r="J36" s="475"/>
      <c r="K36" s="482"/>
      <c r="L36" s="479"/>
    </row>
    <row r="37" spans="1:15" ht="13.15" customHeight="1" x14ac:dyDescent="0.25">
      <c r="A37" s="284" t="s">
        <v>881</v>
      </c>
      <c r="B37" s="302"/>
      <c r="C37" s="422">
        <f>SUM(C38:C43)</f>
        <v>0</v>
      </c>
      <c r="D37" s="422">
        <f t="shared" ref="D37:K37" si="5">SUM(D38:D43)</f>
        <v>0</v>
      </c>
      <c r="E37" s="423">
        <f t="shared" si="5"/>
        <v>0</v>
      </c>
      <c r="F37" s="424">
        <f t="shared" si="5"/>
        <v>0</v>
      </c>
      <c r="G37" s="422">
        <f t="shared" si="5"/>
        <v>0</v>
      </c>
      <c r="H37" s="425">
        <f t="shared" si="5"/>
        <v>0</v>
      </c>
      <c r="I37" s="426">
        <f t="shared" si="5"/>
        <v>0</v>
      </c>
      <c r="J37" s="422">
        <f t="shared" si="5"/>
        <v>0</v>
      </c>
      <c r="K37" s="425">
        <f t="shared" si="5"/>
        <v>0</v>
      </c>
      <c r="L37" s="479"/>
      <c r="O37" s="438"/>
    </row>
    <row r="38" spans="1:15" ht="13.15" customHeight="1" x14ac:dyDescent="0.25">
      <c r="A38" s="303" t="s">
        <v>882</v>
      </c>
      <c r="B38" s="302"/>
      <c r="C38" s="475"/>
      <c r="D38" s="475"/>
      <c r="E38" s="480"/>
      <c r="F38" s="481"/>
      <c r="G38" s="475"/>
      <c r="H38" s="482"/>
      <c r="I38" s="483"/>
      <c r="J38" s="475"/>
      <c r="K38" s="482"/>
      <c r="L38" s="479"/>
    </row>
    <row r="39" spans="1:15" ht="13.15" customHeight="1" x14ac:dyDescent="0.25">
      <c r="A39" s="303" t="s">
        <v>497</v>
      </c>
      <c r="B39" s="302"/>
      <c r="C39" s="475"/>
      <c r="D39" s="475"/>
      <c r="E39" s="480"/>
      <c r="F39" s="481"/>
      <c r="G39" s="475"/>
      <c r="H39" s="482"/>
      <c r="I39" s="483"/>
      <c r="J39" s="475"/>
      <c r="K39" s="482"/>
      <c r="L39" s="479"/>
    </row>
    <row r="40" spans="1:15" ht="13.15" customHeight="1" x14ac:dyDescent="0.25">
      <c r="A40" s="303" t="s">
        <v>883</v>
      </c>
      <c r="B40" s="302"/>
      <c r="C40" s="475"/>
      <c r="D40" s="475"/>
      <c r="E40" s="480"/>
      <c r="F40" s="481"/>
      <c r="G40" s="475"/>
      <c r="H40" s="482"/>
      <c r="I40" s="483"/>
      <c r="J40" s="475"/>
      <c r="K40" s="482"/>
      <c r="L40" s="438"/>
    </row>
    <row r="41" spans="1:15" ht="13.15" customHeight="1" x14ac:dyDescent="0.25">
      <c r="A41" s="303" t="s">
        <v>884</v>
      </c>
      <c r="B41" s="302"/>
      <c r="C41" s="475"/>
      <c r="D41" s="475"/>
      <c r="E41" s="480"/>
      <c r="F41" s="481"/>
      <c r="G41" s="475"/>
      <c r="H41" s="482"/>
      <c r="I41" s="483"/>
      <c r="J41" s="475"/>
      <c r="K41" s="482"/>
      <c r="L41" s="479"/>
    </row>
    <row r="42" spans="1:15" ht="13.15" customHeight="1" x14ac:dyDescent="0.25">
      <c r="A42" s="303" t="s">
        <v>885</v>
      </c>
      <c r="B42" s="302"/>
      <c r="C42" s="475"/>
      <c r="D42" s="475"/>
      <c r="E42" s="480"/>
      <c r="F42" s="481"/>
      <c r="G42" s="475"/>
      <c r="H42" s="482"/>
      <c r="I42" s="483"/>
      <c r="J42" s="475"/>
      <c r="K42" s="482"/>
      <c r="L42" s="438"/>
    </row>
    <row r="43" spans="1:15" ht="13.15" customHeight="1" x14ac:dyDescent="0.25">
      <c r="A43" s="303" t="s">
        <v>857</v>
      </c>
      <c r="B43" s="302"/>
      <c r="C43" s="475"/>
      <c r="D43" s="475"/>
      <c r="E43" s="480"/>
      <c r="F43" s="481"/>
      <c r="G43" s="475"/>
      <c r="H43" s="482"/>
      <c r="I43" s="483"/>
      <c r="J43" s="475"/>
      <c r="K43" s="482"/>
      <c r="L43" s="438"/>
    </row>
    <row r="44" spans="1:15" ht="13.15" customHeight="1" x14ac:dyDescent="0.25">
      <c r="A44" s="284" t="s">
        <v>886</v>
      </c>
      <c r="B44" s="302"/>
      <c r="C44" s="422">
        <f>SUM(C45:C51)</f>
        <v>0</v>
      </c>
      <c r="D44" s="422">
        <f t="shared" ref="D44:K44" si="6">SUM(D45:D51)</f>
        <v>0</v>
      </c>
      <c r="E44" s="423">
        <f t="shared" si="6"/>
        <v>0</v>
      </c>
      <c r="F44" s="424">
        <f t="shared" si="6"/>
        <v>0</v>
      </c>
      <c r="G44" s="422">
        <f t="shared" si="6"/>
        <v>0</v>
      </c>
      <c r="H44" s="425">
        <f t="shared" si="6"/>
        <v>0</v>
      </c>
      <c r="I44" s="426">
        <f t="shared" si="6"/>
        <v>0</v>
      </c>
      <c r="J44" s="422">
        <f t="shared" si="6"/>
        <v>0</v>
      </c>
      <c r="K44" s="425">
        <f t="shared" si="6"/>
        <v>0</v>
      </c>
      <c r="L44" s="438"/>
    </row>
    <row r="45" spans="1:15" ht="13.15" customHeight="1" x14ac:dyDescent="0.25">
      <c r="A45" s="303" t="s">
        <v>887</v>
      </c>
      <c r="B45" s="302"/>
      <c r="C45" s="475"/>
      <c r="D45" s="475"/>
      <c r="E45" s="480"/>
      <c r="F45" s="481"/>
      <c r="G45" s="475"/>
      <c r="H45" s="482"/>
      <c r="I45" s="483"/>
      <c r="J45" s="475"/>
      <c r="K45" s="482"/>
      <c r="L45" s="438"/>
    </row>
    <row r="46" spans="1:15" ht="13.15" customHeight="1" x14ac:dyDescent="0.25">
      <c r="A46" s="303" t="s">
        <v>888</v>
      </c>
      <c r="B46" s="302"/>
      <c r="C46" s="475"/>
      <c r="D46" s="475"/>
      <c r="E46" s="480"/>
      <c r="F46" s="481"/>
      <c r="G46" s="475"/>
      <c r="H46" s="482"/>
      <c r="I46" s="483"/>
      <c r="J46" s="475"/>
      <c r="K46" s="482"/>
      <c r="L46" s="438"/>
    </row>
    <row r="47" spans="1:15" ht="13.15" customHeight="1" x14ac:dyDescent="0.25">
      <c r="A47" s="303" t="s">
        <v>889</v>
      </c>
      <c r="B47" s="302"/>
      <c r="C47" s="475"/>
      <c r="D47" s="475"/>
      <c r="E47" s="480"/>
      <c r="F47" s="481"/>
      <c r="G47" s="475"/>
      <c r="H47" s="482"/>
      <c r="I47" s="483"/>
      <c r="J47" s="475"/>
      <c r="K47" s="482"/>
      <c r="L47" s="438"/>
    </row>
    <row r="48" spans="1:15" ht="13.15" customHeight="1" x14ac:dyDescent="0.25">
      <c r="A48" s="303" t="s">
        <v>890</v>
      </c>
      <c r="B48" s="302"/>
      <c r="C48" s="475"/>
      <c r="D48" s="475"/>
      <c r="E48" s="480"/>
      <c r="F48" s="481"/>
      <c r="G48" s="475"/>
      <c r="H48" s="482"/>
      <c r="I48" s="483"/>
      <c r="J48" s="475"/>
      <c r="K48" s="482"/>
      <c r="L48" s="479"/>
    </row>
    <row r="49" spans="1:12" ht="13.15" customHeight="1" x14ac:dyDescent="0.25">
      <c r="A49" s="303" t="s">
        <v>891</v>
      </c>
      <c r="B49" s="302"/>
      <c r="C49" s="475"/>
      <c r="D49" s="475"/>
      <c r="E49" s="480"/>
      <c r="F49" s="481"/>
      <c r="G49" s="475"/>
      <c r="H49" s="482"/>
      <c r="I49" s="483"/>
      <c r="J49" s="475"/>
      <c r="K49" s="482"/>
      <c r="L49" s="438"/>
    </row>
    <row r="50" spans="1:12" ht="13.15" customHeight="1" x14ac:dyDescent="0.25">
      <c r="A50" s="303" t="s">
        <v>892</v>
      </c>
      <c r="B50" s="302"/>
      <c r="C50" s="475"/>
      <c r="D50" s="475"/>
      <c r="E50" s="480"/>
      <c r="F50" s="481"/>
      <c r="G50" s="475"/>
      <c r="H50" s="482"/>
      <c r="I50" s="483"/>
      <c r="J50" s="475"/>
      <c r="K50" s="482"/>
      <c r="L50" s="438"/>
    </row>
    <row r="51" spans="1:12" ht="13.15" customHeight="1" x14ac:dyDescent="0.25">
      <c r="A51" s="303" t="s">
        <v>857</v>
      </c>
      <c r="B51" s="302"/>
      <c r="C51" s="475"/>
      <c r="D51" s="475"/>
      <c r="E51" s="480"/>
      <c r="F51" s="481"/>
      <c r="G51" s="475"/>
      <c r="H51" s="482"/>
      <c r="I51" s="483"/>
      <c r="J51" s="475"/>
      <c r="K51" s="482"/>
      <c r="L51" s="438"/>
    </row>
    <row r="52" spans="1:12" ht="13.15" customHeight="1" x14ac:dyDescent="0.25">
      <c r="A52" s="285" t="s">
        <v>893</v>
      </c>
      <c r="B52" s="302"/>
      <c r="C52" s="422">
        <f t="shared" ref="C52:K52" si="7">SUM(C53:C61)</f>
        <v>0</v>
      </c>
      <c r="D52" s="422">
        <f t="shared" si="7"/>
        <v>0</v>
      </c>
      <c r="E52" s="423">
        <f t="shared" si="7"/>
        <v>0</v>
      </c>
      <c r="F52" s="424">
        <f t="shared" si="7"/>
        <v>0</v>
      </c>
      <c r="G52" s="422">
        <f t="shared" si="7"/>
        <v>0</v>
      </c>
      <c r="H52" s="425">
        <f t="shared" si="7"/>
        <v>0</v>
      </c>
      <c r="I52" s="426">
        <f t="shared" si="7"/>
        <v>0</v>
      </c>
      <c r="J52" s="422">
        <f t="shared" si="7"/>
        <v>0</v>
      </c>
      <c r="K52" s="425">
        <f t="shared" si="7"/>
        <v>0</v>
      </c>
      <c r="L52" s="479"/>
    </row>
    <row r="53" spans="1:12" ht="13.15" customHeight="1" x14ac:dyDescent="0.25">
      <c r="A53" s="303" t="s">
        <v>894</v>
      </c>
      <c r="B53" s="302"/>
      <c r="C53" s="475"/>
      <c r="D53" s="475"/>
      <c r="E53" s="480"/>
      <c r="F53" s="481"/>
      <c r="G53" s="475"/>
      <c r="H53" s="482"/>
      <c r="I53" s="483"/>
      <c r="J53" s="475"/>
      <c r="K53" s="482"/>
      <c r="L53" s="438"/>
    </row>
    <row r="54" spans="1:12" ht="13.15" customHeight="1" x14ac:dyDescent="0.25">
      <c r="A54" s="303" t="s">
        <v>895</v>
      </c>
      <c r="B54" s="302"/>
      <c r="C54" s="475"/>
      <c r="D54" s="475"/>
      <c r="E54" s="480"/>
      <c r="F54" s="481"/>
      <c r="G54" s="475"/>
      <c r="H54" s="482"/>
      <c r="I54" s="483"/>
      <c r="J54" s="475"/>
      <c r="K54" s="482"/>
      <c r="L54" s="479"/>
    </row>
    <row r="55" spans="1:12" ht="13.15" customHeight="1" x14ac:dyDescent="0.25">
      <c r="A55" s="303" t="s">
        <v>896</v>
      </c>
      <c r="B55" s="302"/>
      <c r="C55" s="475"/>
      <c r="D55" s="475"/>
      <c r="E55" s="480"/>
      <c r="F55" s="481"/>
      <c r="G55" s="475"/>
      <c r="H55" s="482"/>
      <c r="I55" s="483"/>
      <c r="J55" s="475"/>
      <c r="K55" s="482"/>
      <c r="L55" s="479"/>
    </row>
    <row r="56" spans="1:12" ht="13.15" customHeight="1" x14ac:dyDescent="0.25">
      <c r="A56" s="303" t="s">
        <v>859</v>
      </c>
      <c r="B56" s="302"/>
      <c r="C56" s="475"/>
      <c r="D56" s="475"/>
      <c r="E56" s="480"/>
      <c r="F56" s="481"/>
      <c r="G56" s="475"/>
      <c r="H56" s="482"/>
      <c r="I56" s="483"/>
      <c r="J56" s="475"/>
      <c r="K56" s="482"/>
      <c r="L56" s="479"/>
    </row>
    <row r="57" spans="1:12" ht="13.15" customHeight="1" x14ac:dyDescent="0.25">
      <c r="A57" s="303" t="s">
        <v>860</v>
      </c>
      <c r="B57" s="302"/>
      <c r="C57" s="475"/>
      <c r="D57" s="475"/>
      <c r="E57" s="480"/>
      <c r="F57" s="481"/>
      <c r="G57" s="475"/>
      <c r="H57" s="482"/>
      <c r="I57" s="483"/>
      <c r="J57" s="475"/>
      <c r="K57" s="482"/>
      <c r="L57" s="479"/>
    </row>
    <row r="58" spans="1:12" ht="13.15" customHeight="1" x14ac:dyDescent="0.25">
      <c r="A58" s="303" t="s">
        <v>861</v>
      </c>
      <c r="B58" s="302"/>
      <c r="C58" s="475"/>
      <c r="D58" s="475"/>
      <c r="E58" s="480"/>
      <c r="F58" s="481"/>
      <c r="G58" s="475"/>
      <c r="H58" s="482"/>
      <c r="I58" s="483"/>
      <c r="J58" s="475"/>
      <c r="K58" s="482"/>
      <c r="L58" s="474"/>
    </row>
    <row r="59" spans="1:12" ht="13.15" customHeight="1" x14ac:dyDescent="0.25">
      <c r="A59" s="303" t="s">
        <v>867</v>
      </c>
      <c r="B59" s="302"/>
      <c r="C59" s="475"/>
      <c r="D59" s="475"/>
      <c r="E59" s="480"/>
      <c r="F59" s="481"/>
      <c r="G59" s="475"/>
      <c r="H59" s="482"/>
      <c r="I59" s="483"/>
      <c r="J59" s="475"/>
      <c r="K59" s="482"/>
      <c r="L59" s="479"/>
    </row>
    <row r="60" spans="1:12" ht="13.15" customHeight="1" x14ac:dyDescent="0.25">
      <c r="A60" s="303" t="s">
        <v>870</v>
      </c>
      <c r="B60" s="302"/>
      <c r="C60" s="475"/>
      <c r="D60" s="475"/>
      <c r="E60" s="480"/>
      <c r="F60" s="481"/>
      <c r="G60" s="475"/>
      <c r="H60" s="482"/>
      <c r="I60" s="483"/>
      <c r="J60" s="475"/>
      <c r="K60" s="482"/>
      <c r="L60" s="479"/>
    </row>
    <row r="61" spans="1:12" ht="13.15" customHeight="1" x14ac:dyDescent="0.25">
      <c r="A61" s="303" t="s">
        <v>857</v>
      </c>
      <c r="B61" s="302"/>
      <c r="C61" s="475"/>
      <c r="D61" s="475"/>
      <c r="E61" s="480"/>
      <c r="F61" s="481"/>
      <c r="G61" s="475"/>
      <c r="H61" s="482"/>
      <c r="I61" s="483"/>
      <c r="J61" s="475"/>
      <c r="K61" s="482"/>
      <c r="L61" s="479"/>
    </row>
    <row r="62" spans="1:12" ht="13.15" customHeight="1" x14ac:dyDescent="0.25">
      <c r="A62" s="284" t="s">
        <v>897</v>
      </c>
      <c r="B62" s="302"/>
      <c r="C62" s="422">
        <f>SUM(C63:C67)</f>
        <v>0</v>
      </c>
      <c r="D62" s="422">
        <f t="shared" ref="D62:K62" si="8">SUM(D63:D67)</f>
        <v>0</v>
      </c>
      <c r="E62" s="423">
        <f t="shared" si="8"/>
        <v>0</v>
      </c>
      <c r="F62" s="424">
        <f t="shared" si="8"/>
        <v>0</v>
      </c>
      <c r="G62" s="422">
        <f t="shared" si="8"/>
        <v>0</v>
      </c>
      <c r="H62" s="425">
        <f t="shared" si="8"/>
        <v>0</v>
      </c>
      <c r="I62" s="426">
        <f t="shared" si="8"/>
        <v>0</v>
      </c>
      <c r="J62" s="422">
        <f t="shared" si="8"/>
        <v>0</v>
      </c>
      <c r="K62" s="425">
        <f t="shared" si="8"/>
        <v>0</v>
      </c>
      <c r="L62" s="479"/>
    </row>
    <row r="63" spans="1:12" ht="13.15" customHeight="1" x14ac:dyDescent="0.25">
      <c r="A63" s="303" t="s">
        <v>898</v>
      </c>
      <c r="B63" s="302"/>
      <c r="C63" s="475"/>
      <c r="D63" s="475"/>
      <c r="E63" s="480"/>
      <c r="F63" s="481"/>
      <c r="G63" s="475"/>
      <c r="H63" s="482"/>
      <c r="I63" s="483"/>
      <c r="J63" s="475"/>
      <c r="K63" s="482"/>
      <c r="L63" s="479"/>
    </row>
    <row r="64" spans="1:12" ht="13.15" customHeight="1" x14ac:dyDescent="0.25">
      <c r="A64" s="303" t="s">
        <v>899</v>
      </c>
      <c r="B64" s="302"/>
      <c r="C64" s="475"/>
      <c r="D64" s="475"/>
      <c r="E64" s="480"/>
      <c r="F64" s="481"/>
      <c r="G64" s="475"/>
      <c r="H64" s="482"/>
      <c r="I64" s="483"/>
      <c r="J64" s="475"/>
      <c r="K64" s="482"/>
      <c r="L64" s="438"/>
    </row>
    <row r="65" spans="1:12" ht="13.15" customHeight="1" x14ac:dyDescent="0.25">
      <c r="A65" s="303" t="s">
        <v>900</v>
      </c>
      <c r="B65" s="302"/>
      <c r="C65" s="475"/>
      <c r="D65" s="475"/>
      <c r="E65" s="480"/>
      <c r="F65" s="481"/>
      <c r="G65" s="475"/>
      <c r="H65" s="482"/>
      <c r="I65" s="483"/>
      <c r="J65" s="475"/>
      <c r="K65" s="482"/>
      <c r="L65" s="438"/>
    </row>
    <row r="66" spans="1:12" ht="13.15" customHeight="1" x14ac:dyDescent="0.25">
      <c r="A66" s="303" t="s">
        <v>901</v>
      </c>
      <c r="B66" s="302"/>
      <c r="C66" s="475"/>
      <c r="D66" s="475"/>
      <c r="E66" s="480"/>
      <c r="F66" s="481"/>
      <c r="G66" s="475"/>
      <c r="H66" s="482"/>
      <c r="I66" s="483"/>
      <c r="J66" s="475"/>
      <c r="K66" s="482"/>
      <c r="L66" s="438"/>
    </row>
    <row r="67" spans="1:12" ht="13.15" customHeight="1" x14ac:dyDescent="0.25">
      <c r="A67" s="303" t="s">
        <v>857</v>
      </c>
      <c r="B67" s="302"/>
      <c r="C67" s="475"/>
      <c r="D67" s="475"/>
      <c r="E67" s="480"/>
      <c r="F67" s="481"/>
      <c r="G67" s="475"/>
      <c r="H67" s="482"/>
      <c r="I67" s="483"/>
      <c r="J67" s="475"/>
      <c r="K67" s="482"/>
      <c r="L67" s="438"/>
    </row>
    <row r="68" spans="1:12" ht="13.15" customHeight="1" x14ac:dyDescent="0.25">
      <c r="A68" s="285" t="s">
        <v>902</v>
      </c>
      <c r="B68" s="302"/>
      <c r="C68" s="422">
        <f>SUM(C69:C72)</f>
        <v>0</v>
      </c>
      <c r="D68" s="422">
        <f t="shared" ref="D68:K68" si="9">SUM(D69:D72)</f>
        <v>0</v>
      </c>
      <c r="E68" s="422">
        <f t="shared" si="9"/>
        <v>0</v>
      </c>
      <c r="F68" s="424">
        <f t="shared" si="9"/>
        <v>0</v>
      </c>
      <c r="G68" s="422">
        <f t="shared" si="9"/>
        <v>0</v>
      </c>
      <c r="H68" s="425">
        <f t="shared" si="9"/>
        <v>0</v>
      </c>
      <c r="I68" s="426">
        <f t="shared" si="9"/>
        <v>0</v>
      </c>
      <c r="J68" s="422">
        <f t="shared" si="9"/>
        <v>0</v>
      </c>
      <c r="K68" s="425">
        <f t="shared" si="9"/>
        <v>0</v>
      </c>
      <c r="L68" s="438"/>
    </row>
    <row r="69" spans="1:12" ht="13.15" customHeight="1" x14ac:dyDescent="0.25">
      <c r="A69" s="303" t="s">
        <v>903</v>
      </c>
      <c r="B69" s="302"/>
      <c r="C69" s="475"/>
      <c r="D69" s="475"/>
      <c r="E69" s="478"/>
      <c r="F69" s="477"/>
      <c r="G69" s="475"/>
      <c r="H69" s="478"/>
      <c r="I69" s="477"/>
      <c r="J69" s="475"/>
      <c r="K69" s="482"/>
      <c r="L69" s="438"/>
    </row>
    <row r="70" spans="1:12" ht="13.15" customHeight="1" x14ac:dyDescent="0.25">
      <c r="A70" s="303" t="s">
        <v>904</v>
      </c>
      <c r="B70" s="302"/>
      <c r="C70" s="475"/>
      <c r="D70" s="475"/>
      <c r="E70" s="476"/>
      <c r="F70" s="477"/>
      <c r="G70" s="475"/>
      <c r="H70" s="478"/>
      <c r="I70" s="477"/>
      <c r="J70" s="475"/>
      <c r="K70" s="482"/>
      <c r="L70" s="438"/>
    </row>
    <row r="71" spans="1:12" ht="13.15" customHeight="1" x14ac:dyDescent="0.25">
      <c r="A71" s="303" t="s">
        <v>905</v>
      </c>
      <c r="B71" s="302"/>
      <c r="C71" s="475"/>
      <c r="D71" s="475"/>
      <c r="E71" s="476"/>
      <c r="F71" s="477"/>
      <c r="G71" s="475"/>
      <c r="H71" s="478"/>
      <c r="I71" s="477"/>
      <c r="J71" s="475"/>
      <c r="K71" s="476"/>
      <c r="L71" s="438"/>
    </row>
    <row r="72" spans="1:12" ht="13.15" customHeight="1" x14ac:dyDescent="0.25">
      <c r="A72" s="303" t="s">
        <v>857</v>
      </c>
      <c r="B72" s="302"/>
      <c r="C72" s="475"/>
      <c r="D72" s="475"/>
      <c r="E72" s="476"/>
      <c r="F72" s="477"/>
      <c r="G72" s="475"/>
      <c r="H72" s="478"/>
      <c r="I72" s="477"/>
      <c r="J72" s="475"/>
      <c r="K72" s="476"/>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f t="shared" si="10"/>
        <v>2502590.86</v>
      </c>
      <c r="F74" s="292">
        <f t="shared" si="10"/>
        <v>0</v>
      </c>
      <c r="G74" s="293">
        <f t="shared" si="10"/>
        <v>0</v>
      </c>
      <c r="H74" s="291">
        <f t="shared" si="10"/>
        <v>0</v>
      </c>
      <c r="I74" s="292">
        <f t="shared" si="10"/>
        <v>0</v>
      </c>
      <c r="J74" s="293">
        <f t="shared" si="10"/>
        <v>0</v>
      </c>
      <c r="K74" s="294">
        <f t="shared" si="10"/>
        <v>0</v>
      </c>
      <c r="L74" s="438"/>
    </row>
    <row r="75" spans="1:12" ht="13.15" customHeight="1" x14ac:dyDescent="0.25">
      <c r="A75" s="285" t="s">
        <v>907</v>
      </c>
      <c r="B75" s="302"/>
      <c r="C75" s="417">
        <f>SUM(C76:C97)</f>
        <v>0</v>
      </c>
      <c r="D75" s="417">
        <f t="shared" ref="D75:K75" si="11">SUM(D76:D97)</f>
        <v>0</v>
      </c>
      <c r="E75" s="418">
        <f t="shared" si="11"/>
        <v>2502590.86</v>
      </c>
      <c r="F75" s="419">
        <f t="shared" si="11"/>
        <v>0</v>
      </c>
      <c r="G75" s="417">
        <f t="shared" si="11"/>
        <v>0</v>
      </c>
      <c r="H75" s="420">
        <f t="shared" si="11"/>
        <v>0</v>
      </c>
      <c r="I75" s="419">
        <f t="shared" si="11"/>
        <v>0</v>
      </c>
      <c r="J75" s="417">
        <f t="shared" si="11"/>
        <v>0</v>
      </c>
      <c r="K75" s="420">
        <f t="shared" si="11"/>
        <v>0</v>
      </c>
      <c r="L75" s="438"/>
    </row>
    <row r="76" spans="1:12" ht="13.15" customHeight="1" x14ac:dyDescent="0.25">
      <c r="A76" s="303" t="s">
        <v>908</v>
      </c>
      <c r="B76" s="302"/>
      <c r="C76" s="475"/>
      <c r="D76" s="475"/>
      <c r="E76" s="476">
        <v>2502590.86</v>
      </c>
      <c r="F76" s="477">
        <v>0</v>
      </c>
      <c r="G76" s="475">
        <v>0</v>
      </c>
      <c r="H76" s="478"/>
      <c r="I76" s="477"/>
      <c r="J76" s="475"/>
      <c r="K76" s="476"/>
      <c r="L76" s="438"/>
    </row>
    <row r="77" spans="1:12" ht="13.15" customHeight="1" x14ac:dyDescent="0.25">
      <c r="A77" s="303" t="s">
        <v>909</v>
      </c>
      <c r="B77" s="302"/>
      <c r="C77" s="475"/>
      <c r="D77" s="475"/>
      <c r="E77" s="476"/>
      <c r="F77" s="477"/>
      <c r="G77" s="475"/>
      <c r="H77" s="478"/>
      <c r="I77" s="477"/>
      <c r="J77" s="475"/>
      <c r="K77" s="476"/>
      <c r="L77" s="438"/>
    </row>
    <row r="78" spans="1:12" ht="13.15" customHeight="1" x14ac:dyDescent="0.25">
      <c r="A78" s="303" t="s">
        <v>910</v>
      </c>
      <c r="B78" s="302"/>
      <c r="C78" s="475"/>
      <c r="D78" s="475"/>
      <c r="E78" s="476"/>
      <c r="F78" s="477"/>
      <c r="G78" s="475"/>
      <c r="H78" s="478"/>
      <c r="I78" s="477"/>
      <c r="J78" s="475"/>
      <c r="K78" s="476"/>
      <c r="L78" s="438"/>
    </row>
    <row r="79" spans="1:12" ht="13.15" customHeight="1" x14ac:dyDescent="0.25">
      <c r="A79" s="303" t="s">
        <v>911</v>
      </c>
      <c r="B79" s="302"/>
      <c r="C79" s="475"/>
      <c r="D79" s="475"/>
      <c r="E79" s="476"/>
      <c r="F79" s="477"/>
      <c r="G79" s="475"/>
      <c r="H79" s="478"/>
      <c r="I79" s="477"/>
      <c r="J79" s="475"/>
      <c r="K79" s="476"/>
      <c r="L79" s="438"/>
    </row>
    <row r="80" spans="1:12" ht="13.15" customHeight="1" x14ac:dyDescent="0.25">
      <c r="A80" s="303" t="s">
        <v>912</v>
      </c>
      <c r="B80" s="302"/>
      <c r="C80" s="475"/>
      <c r="D80" s="475"/>
      <c r="E80" s="476"/>
      <c r="F80" s="477"/>
      <c r="G80" s="475"/>
      <c r="H80" s="478"/>
      <c r="I80" s="477"/>
      <c r="J80" s="475"/>
      <c r="K80" s="476"/>
      <c r="L80" s="438"/>
    </row>
    <row r="81" spans="1:12" ht="13.15" customHeight="1" x14ac:dyDescent="0.25">
      <c r="A81" s="303" t="s">
        <v>913</v>
      </c>
      <c r="B81" s="302"/>
      <c r="C81" s="475"/>
      <c r="D81" s="475"/>
      <c r="E81" s="476"/>
      <c r="F81" s="477"/>
      <c r="G81" s="475"/>
      <c r="H81" s="478"/>
      <c r="I81" s="477"/>
      <c r="J81" s="475"/>
      <c r="K81" s="476"/>
      <c r="L81" s="438"/>
    </row>
    <row r="82" spans="1:12" ht="13.15" customHeight="1" x14ac:dyDescent="0.25">
      <c r="A82" s="303" t="s">
        <v>914</v>
      </c>
      <c r="B82" s="302"/>
      <c r="C82" s="475"/>
      <c r="D82" s="475"/>
      <c r="E82" s="476"/>
      <c r="F82" s="477"/>
      <c r="G82" s="475"/>
      <c r="H82" s="478"/>
      <c r="I82" s="477"/>
      <c r="J82" s="475"/>
      <c r="K82" s="476"/>
      <c r="L82" s="438"/>
    </row>
    <row r="83" spans="1:12" ht="13.15" customHeight="1" x14ac:dyDescent="0.25">
      <c r="A83" s="303" t="s">
        <v>915</v>
      </c>
      <c r="B83" s="302"/>
      <c r="C83" s="475"/>
      <c r="D83" s="475"/>
      <c r="E83" s="476"/>
      <c r="F83" s="477"/>
      <c r="G83" s="475"/>
      <c r="H83" s="478"/>
      <c r="I83" s="477"/>
      <c r="J83" s="475"/>
      <c r="K83" s="476"/>
      <c r="L83" s="438"/>
    </row>
    <row r="84" spans="1:12" s="376" customFormat="1" ht="13.15" customHeight="1" x14ac:dyDescent="0.25">
      <c r="A84" s="303" t="s">
        <v>916</v>
      </c>
      <c r="B84" s="302"/>
      <c r="C84" s="475"/>
      <c r="D84" s="475"/>
      <c r="E84" s="476"/>
      <c r="F84" s="477"/>
      <c r="G84" s="475"/>
      <c r="H84" s="478"/>
      <c r="I84" s="477"/>
      <c r="J84" s="475"/>
      <c r="K84" s="476"/>
      <c r="L84" s="484"/>
    </row>
    <row r="85" spans="1:12" s="376" customFormat="1" ht="13.15" customHeight="1" x14ac:dyDescent="0.25">
      <c r="A85" s="303" t="s">
        <v>89</v>
      </c>
      <c r="B85" s="302"/>
      <c r="C85" s="475"/>
      <c r="D85" s="475"/>
      <c r="E85" s="476"/>
      <c r="F85" s="477"/>
      <c r="G85" s="475"/>
      <c r="H85" s="478"/>
      <c r="I85" s="477"/>
      <c r="J85" s="475"/>
      <c r="K85" s="476"/>
    </row>
    <row r="86" spans="1:12" s="376" customFormat="1" ht="13.15" customHeight="1" x14ac:dyDescent="0.25">
      <c r="A86" s="303" t="s">
        <v>917</v>
      </c>
      <c r="B86" s="302"/>
      <c r="C86" s="475"/>
      <c r="D86" s="475"/>
      <c r="E86" s="476"/>
      <c r="F86" s="477"/>
      <c r="G86" s="475"/>
      <c r="H86" s="478"/>
      <c r="I86" s="477"/>
      <c r="J86" s="475"/>
      <c r="K86" s="476"/>
    </row>
    <row r="87" spans="1:12" ht="13.15" customHeight="1" x14ac:dyDescent="0.25">
      <c r="A87" s="303" t="s">
        <v>918</v>
      </c>
      <c r="B87" s="302"/>
      <c r="C87" s="475"/>
      <c r="D87" s="475"/>
      <c r="E87" s="476"/>
      <c r="F87" s="477"/>
      <c r="G87" s="475"/>
      <c r="H87" s="478"/>
      <c r="I87" s="477"/>
      <c r="J87" s="475"/>
      <c r="K87" s="476"/>
    </row>
    <row r="88" spans="1:12" ht="13.15" customHeight="1" x14ac:dyDescent="0.25">
      <c r="A88" s="303" t="s">
        <v>1021</v>
      </c>
      <c r="B88" s="302"/>
      <c r="C88" s="475"/>
      <c r="D88" s="475"/>
      <c r="E88" s="476"/>
      <c r="F88" s="477"/>
      <c r="G88" s="475"/>
      <c r="H88" s="478"/>
      <c r="I88" s="477"/>
      <c r="J88" s="475"/>
      <c r="K88" s="476"/>
    </row>
    <row r="89" spans="1:12" ht="13.15" customHeight="1" x14ac:dyDescent="0.25">
      <c r="A89" s="303" t="s">
        <v>919</v>
      </c>
      <c r="B89" s="302"/>
      <c r="C89" s="475"/>
      <c r="D89" s="475"/>
      <c r="E89" s="476"/>
      <c r="F89" s="477"/>
      <c r="G89" s="475"/>
      <c r="H89" s="478"/>
      <c r="I89" s="477"/>
      <c r="J89" s="475"/>
      <c r="K89" s="476"/>
    </row>
    <row r="90" spans="1:12" ht="13.15" customHeight="1" x14ac:dyDescent="0.25">
      <c r="A90" s="303" t="s">
        <v>920</v>
      </c>
      <c r="B90" s="302"/>
      <c r="C90" s="475"/>
      <c r="D90" s="475"/>
      <c r="E90" s="476"/>
      <c r="F90" s="477"/>
      <c r="G90" s="475"/>
      <c r="H90" s="478"/>
      <c r="I90" s="477"/>
      <c r="J90" s="475"/>
      <c r="K90" s="476"/>
    </row>
    <row r="91" spans="1:12" ht="13.15" customHeight="1" x14ac:dyDescent="0.25">
      <c r="A91" s="303" t="s">
        <v>921</v>
      </c>
      <c r="B91" s="302"/>
      <c r="C91" s="475"/>
      <c r="D91" s="475"/>
      <c r="E91" s="476"/>
      <c r="F91" s="477"/>
      <c r="G91" s="475"/>
      <c r="H91" s="478"/>
      <c r="I91" s="477"/>
      <c r="J91" s="475"/>
      <c r="K91" s="476"/>
    </row>
    <row r="92" spans="1:12" ht="13.15" customHeight="1" x14ac:dyDescent="0.25">
      <c r="A92" s="303" t="s">
        <v>11</v>
      </c>
      <c r="B92" s="302"/>
      <c r="C92" s="475"/>
      <c r="D92" s="475"/>
      <c r="E92" s="476"/>
      <c r="F92" s="477"/>
      <c r="G92" s="475"/>
      <c r="H92" s="478"/>
      <c r="I92" s="477"/>
      <c r="J92" s="475"/>
      <c r="K92" s="476"/>
    </row>
    <row r="93" spans="1:12" ht="13.15" customHeight="1" x14ac:dyDescent="0.25">
      <c r="A93" s="303" t="s">
        <v>922</v>
      </c>
      <c r="B93" s="302"/>
      <c r="C93" s="475"/>
      <c r="D93" s="475"/>
      <c r="E93" s="476"/>
      <c r="F93" s="477"/>
      <c r="G93" s="475"/>
      <c r="H93" s="478"/>
      <c r="I93" s="477"/>
      <c r="J93" s="475"/>
      <c r="K93" s="476"/>
    </row>
    <row r="94" spans="1:12" ht="13.15" customHeight="1" x14ac:dyDescent="0.25">
      <c r="A94" s="303" t="s">
        <v>10</v>
      </c>
      <c r="B94" s="302"/>
      <c r="C94" s="475"/>
      <c r="D94" s="475"/>
      <c r="E94" s="476"/>
      <c r="F94" s="477"/>
      <c r="G94" s="475"/>
      <c r="H94" s="478"/>
      <c r="I94" s="477"/>
      <c r="J94" s="475"/>
      <c r="K94" s="476"/>
    </row>
    <row r="95" spans="1:12" ht="13.15" customHeight="1" x14ac:dyDescent="0.25">
      <c r="A95" s="303" t="s">
        <v>923</v>
      </c>
      <c r="B95" s="302"/>
      <c r="C95" s="475"/>
      <c r="D95" s="475"/>
      <c r="E95" s="476"/>
      <c r="F95" s="477"/>
      <c r="G95" s="475"/>
      <c r="H95" s="478"/>
      <c r="I95" s="477"/>
      <c r="J95" s="475"/>
      <c r="K95" s="476"/>
    </row>
    <row r="96" spans="1:12" ht="13.15" customHeight="1" x14ac:dyDescent="0.25">
      <c r="A96" s="303" t="s">
        <v>924</v>
      </c>
      <c r="B96" s="302"/>
      <c r="C96" s="475"/>
      <c r="D96" s="475"/>
      <c r="E96" s="476"/>
      <c r="F96" s="477"/>
      <c r="G96" s="475"/>
      <c r="H96" s="478"/>
      <c r="I96" s="477"/>
      <c r="J96" s="475"/>
      <c r="K96" s="476"/>
    </row>
    <row r="97" spans="1:11" ht="13.15" customHeight="1" x14ac:dyDescent="0.25">
      <c r="A97" s="303" t="s">
        <v>857</v>
      </c>
      <c r="B97" s="302"/>
      <c r="C97" s="475"/>
      <c r="D97" s="475"/>
      <c r="E97" s="476"/>
      <c r="F97" s="477"/>
      <c r="G97" s="475"/>
      <c r="H97" s="478"/>
      <c r="I97" s="477"/>
      <c r="J97" s="475"/>
      <c r="K97" s="476"/>
    </row>
    <row r="98" spans="1:11" ht="13.15" customHeight="1" x14ac:dyDescent="0.25">
      <c r="A98" s="285" t="s">
        <v>925</v>
      </c>
      <c r="B98" s="302"/>
      <c r="C98" s="422">
        <f>SUM(C99:C101)</f>
        <v>0</v>
      </c>
      <c r="D98" s="422">
        <f t="shared" ref="D98:K98" si="12">SUM(D99:D101)</f>
        <v>0</v>
      </c>
      <c r="E98" s="422">
        <f t="shared" si="12"/>
        <v>0</v>
      </c>
      <c r="F98" s="424">
        <f t="shared" si="12"/>
        <v>0</v>
      </c>
      <c r="G98" s="422">
        <f t="shared" si="12"/>
        <v>0</v>
      </c>
      <c r="H98" s="425">
        <f t="shared" si="12"/>
        <v>0</v>
      </c>
      <c r="I98" s="426">
        <f t="shared" si="12"/>
        <v>0</v>
      </c>
      <c r="J98" s="422">
        <f t="shared" si="12"/>
        <v>0</v>
      </c>
      <c r="K98" s="425">
        <f t="shared" si="12"/>
        <v>0</v>
      </c>
    </row>
    <row r="99" spans="1:11" ht="13.15" customHeight="1" x14ac:dyDescent="0.25">
      <c r="A99" s="303" t="s">
        <v>926</v>
      </c>
      <c r="B99" s="302"/>
      <c r="C99" s="475"/>
      <c r="D99" s="475"/>
      <c r="E99" s="478"/>
      <c r="F99" s="477"/>
      <c r="G99" s="475"/>
      <c r="H99" s="478"/>
      <c r="I99" s="477"/>
      <c r="J99" s="475"/>
      <c r="K99" s="482"/>
    </row>
    <row r="100" spans="1:11" ht="13.15" customHeight="1" x14ac:dyDescent="0.25">
      <c r="A100" s="303" t="s">
        <v>927</v>
      </c>
      <c r="B100" s="302"/>
      <c r="C100" s="475"/>
      <c r="D100" s="475"/>
      <c r="E100" s="476"/>
      <c r="F100" s="477"/>
      <c r="G100" s="475"/>
      <c r="H100" s="478"/>
      <c r="I100" s="477"/>
      <c r="J100" s="475"/>
      <c r="K100" s="482"/>
    </row>
    <row r="101" spans="1:11" ht="13.15" customHeight="1" x14ac:dyDescent="0.25">
      <c r="A101" s="303" t="s">
        <v>857</v>
      </c>
      <c r="B101" s="302"/>
      <c r="C101" s="475"/>
      <c r="D101" s="475"/>
      <c r="E101" s="476"/>
      <c r="F101" s="477"/>
      <c r="G101" s="475"/>
      <c r="H101" s="478"/>
      <c r="I101" s="477"/>
      <c r="J101" s="475"/>
      <c r="K101" s="476"/>
    </row>
    <row r="102" spans="1:11" ht="5.0999999999999996" customHeight="1" x14ac:dyDescent="0.25">
      <c r="A102" s="305"/>
      <c r="B102" s="302"/>
      <c r="C102" s="25"/>
      <c r="D102" s="25"/>
      <c r="E102" s="306"/>
      <c r="F102" s="307"/>
      <c r="G102" s="25"/>
      <c r="H102" s="24"/>
      <c r="I102" s="307"/>
      <c r="J102" s="25"/>
      <c r="K102" s="306"/>
    </row>
    <row r="103" spans="1:11" ht="13.15" customHeight="1" x14ac:dyDescent="0.25">
      <c r="A103" s="301" t="s">
        <v>185</v>
      </c>
      <c r="B103" s="302"/>
      <c r="C103" s="25">
        <f>SUM(C104:C108)</f>
        <v>0</v>
      </c>
      <c r="D103" s="25">
        <f t="shared" ref="D103:K103" si="13">SUM(D104:D108)</f>
        <v>0</v>
      </c>
      <c r="E103" s="306">
        <f t="shared" si="13"/>
        <v>0</v>
      </c>
      <c r="F103" s="307">
        <f t="shared" si="13"/>
        <v>0</v>
      </c>
      <c r="G103" s="25">
        <f t="shared" si="13"/>
        <v>0</v>
      </c>
      <c r="H103" s="24">
        <f t="shared" si="13"/>
        <v>0</v>
      </c>
      <c r="I103" s="307">
        <f t="shared" si="13"/>
        <v>0</v>
      </c>
      <c r="J103" s="25">
        <f t="shared" si="13"/>
        <v>0</v>
      </c>
      <c r="K103" s="306">
        <f t="shared" si="13"/>
        <v>0</v>
      </c>
    </row>
    <row r="104" spans="1:11" ht="13.15" customHeight="1" x14ac:dyDescent="0.25">
      <c r="A104" s="285" t="s">
        <v>928</v>
      </c>
      <c r="B104" s="302"/>
      <c r="C104" s="485"/>
      <c r="D104" s="485"/>
      <c r="E104" s="486"/>
      <c r="F104" s="487"/>
      <c r="G104" s="485"/>
      <c r="H104" s="488"/>
      <c r="I104" s="487"/>
      <c r="J104" s="485"/>
      <c r="K104" s="486"/>
    </row>
    <row r="105" spans="1:11" ht="13.15" customHeight="1" x14ac:dyDescent="0.25">
      <c r="A105" s="284" t="s">
        <v>929</v>
      </c>
      <c r="B105" s="302"/>
      <c r="C105" s="489"/>
      <c r="D105" s="489"/>
      <c r="E105" s="490"/>
      <c r="F105" s="491"/>
      <c r="G105" s="489"/>
      <c r="H105" s="492"/>
      <c r="I105" s="491"/>
      <c r="J105" s="489"/>
      <c r="K105" s="490"/>
    </row>
    <row r="106" spans="1:11" ht="13.15" customHeight="1" x14ac:dyDescent="0.25">
      <c r="A106" s="285" t="s">
        <v>930</v>
      </c>
      <c r="B106" s="302"/>
      <c r="C106" s="489"/>
      <c r="D106" s="489"/>
      <c r="E106" s="490"/>
      <c r="F106" s="491"/>
      <c r="G106" s="489"/>
      <c r="H106" s="492"/>
      <c r="I106" s="491"/>
      <c r="J106" s="489"/>
      <c r="K106" s="490"/>
    </row>
    <row r="107" spans="1:11" ht="13.15" customHeight="1" x14ac:dyDescent="0.25">
      <c r="A107" s="285" t="s">
        <v>931</v>
      </c>
      <c r="B107" s="302"/>
      <c r="C107" s="489"/>
      <c r="D107" s="489"/>
      <c r="E107" s="490"/>
      <c r="F107" s="491"/>
      <c r="G107" s="489"/>
      <c r="H107" s="492"/>
      <c r="I107" s="491"/>
      <c r="J107" s="489"/>
      <c r="K107" s="490"/>
    </row>
    <row r="108" spans="1:11" ht="13.15" customHeight="1" x14ac:dyDescent="0.25">
      <c r="A108" s="284" t="s">
        <v>932</v>
      </c>
      <c r="B108" s="302"/>
      <c r="C108" s="489"/>
      <c r="D108" s="489"/>
      <c r="E108" s="490"/>
      <c r="F108" s="491"/>
      <c r="G108" s="489"/>
      <c r="H108" s="492"/>
      <c r="I108" s="491"/>
      <c r="J108" s="489"/>
      <c r="K108" s="490"/>
    </row>
    <row r="109" spans="1:11" ht="5.0999999999999996" customHeight="1" x14ac:dyDescent="0.25">
      <c r="A109" s="493"/>
      <c r="B109" s="302"/>
      <c r="C109" s="25"/>
      <c r="D109" s="25"/>
      <c r="E109" s="306"/>
      <c r="F109" s="307"/>
      <c r="G109" s="25"/>
      <c r="H109" s="24"/>
      <c r="I109" s="307"/>
      <c r="J109" s="25"/>
      <c r="K109" s="306"/>
    </row>
    <row r="110" spans="1:11" ht="13.15" customHeight="1" x14ac:dyDescent="0.25">
      <c r="A110" s="494" t="s">
        <v>186</v>
      </c>
      <c r="B110" s="302"/>
      <c r="C110" s="28">
        <f>+C111+C114</f>
        <v>0</v>
      </c>
      <c r="D110" s="28">
        <f t="shared" ref="D110:K110" si="14">+D111+D114</f>
        <v>0</v>
      </c>
      <c r="E110" s="308">
        <f t="shared" si="14"/>
        <v>0</v>
      </c>
      <c r="F110" s="309">
        <f t="shared" si="14"/>
        <v>0</v>
      </c>
      <c r="G110" s="28">
        <f t="shared" si="14"/>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f t="shared" si="15"/>
        <v>0</v>
      </c>
      <c r="F111" s="419">
        <f t="shared" si="15"/>
        <v>0</v>
      </c>
      <c r="G111" s="417">
        <f t="shared" si="15"/>
        <v>0</v>
      </c>
      <c r="H111" s="420">
        <f t="shared" si="15"/>
        <v>0</v>
      </c>
      <c r="I111" s="421">
        <f t="shared" si="15"/>
        <v>0</v>
      </c>
      <c r="J111" s="417">
        <f t="shared" si="15"/>
        <v>0</v>
      </c>
      <c r="K111" s="420">
        <f t="shared" si="15"/>
        <v>0</v>
      </c>
    </row>
    <row r="112" spans="1:11" ht="13.15" customHeight="1" x14ac:dyDescent="0.25">
      <c r="A112" s="303" t="s">
        <v>934</v>
      </c>
      <c r="B112" s="302"/>
      <c r="C112" s="475"/>
      <c r="D112" s="475"/>
      <c r="E112" s="478"/>
      <c r="F112" s="477"/>
      <c r="G112" s="475"/>
      <c r="H112" s="478"/>
      <c r="I112" s="477"/>
      <c r="J112" s="475"/>
      <c r="K112" s="482"/>
    </row>
    <row r="113" spans="1:11" ht="13.15" customHeight="1" x14ac:dyDescent="0.25">
      <c r="A113" s="303" t="s">
        <v>935</v>
      </c>
      <c r="B113" s="302"/>
      <c r="C113" s="475"/>
      <c r="D113" s="475"/>
      <c r="E113" s="476"/>
      <c r="F113" s="477"/>
      <c r="G113" s="475"/>
      <c r="H113" s="478"/>
      <c r="I113" s="477"/>
      <c r="J113" s="475"/>
      <c r="K113" s="482"/>
    </row>
    <row r="114" spans="1:11" ht="13.15" customHeight="1" x14ac:dyDescent="0.25">
      <c r="A114" s="285" t="s">
        <v>936</v>
      </c>
      <c r="B114" s="302"/>
      <c r="C114" s="422">
        <f>SUM(C115:C116)</f>
        <v>0</v>
      </c>
      <c r="D114" s="422">
        <f t="shared" ref="D114:K114" si="16">SUM(D115:D116)</f>
        <v>0</v>
      </c>
      <c r="E114" s="422">
        <f t="shared" si="16"/>
        <v>0</v>
      </c>
      <c r="F114" s="424">
        <f t="shared" si="16"/>
        <v>0</v>
      </c>
      <c r="G114" s="422">
        <f t="shared" si="16"/>
        <v>0</v>
      </c>
      <c r="H114" s="425">
        <f t="shared" si="16"/>
        <v>0</v>
      </c>
      <c r="I114" s="426">
        <f t="shared" si="16"/>
        <v>0</v>
      </c>
      <c r="J114" s="422">
        <f t="shared" si="16"/>
        <v>0</v>
      </c>
      <c r="K114" s="425">
        <f t="shared" si="16"/>
        <v>0</v>
      </c>
    </row>
    <row r="115" spans="1:11" ht="13.15" customHeight="1" x14ac:dyDescent="0.25">
      <c r="A115" s="303" t="s">
        <v>934</v>
      </c>
      <c r="B115" s="302"/>
      <c r="C115" s="475"/>
      <c r="D115" s="475"/>
      <c r="E115" s="478"/>
      <c r="F115" s="477"/>
      <c r="G115" s="475"/>
      <c r="H115" s="478"/>
      <c r="I115" s="477"/>
      <c r="J115" s="475"/>
      <c r="K115" s="482"/>
    </row>
    <row r="116" spans="1:11" ht="13.15" customHeight="1" x14ac:dyDescent="0.25">
      <c r="A116" s="303" t="s">
        <v>935</v>
      </c>
      <c r="B116" s="302"/>
      <c r="C116" s="475"/>
      <c r="D116" s="475"/>
      <c r="E116" s="476"/>
      <c r="F116" s="477"/>
      <c r="G116" s="475"/>
      <c r="H116" s="478"/>
      <c r="I116" s="477"/>
      <c r="J116" s="475"/>
      <c r="K116" s="482"/>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0</v>
      </c>
      <c r="D118" s="28">
        <f t="shared" ref="D118:K118" si="17">+D119+D131</f>
        <v>0</v>
      </c>
      <c r="E118" s="308">
        <f t="shared" si="17"/>
        <v>0</v>
      </c>
      <c r="F118" s="309">
        <f t="shared" si="17"/>
        <v>0</v>
      </c>
      <c r="G118" s="28">
        <f t="shared" si="17"/>
        <v>0</v>
      </c>
      <c r="H118" s="27">
        <f t="shared" si="17"/>
        <v>0</v>
      </c>
      <c r="I118" s="309">
        <f t="shared" si="17"/>
        <v>0</v>
      </c>
      <c r="J118" s="28">
        <f t="shared" si="17"/>
        <v>0</v>
      </c>
      <c r="K118" s="308">
        <f t="shared" si="17"/>
        <v>0</v>
      </c>
    </row>
    <row r="119" spans="1:11" ht="13.15" customHeight="1" x14ac:dyDescent="0.25">
      <c r="A119" s="285" t="s">
        <v>937</v>
      </c>
      <c r="B119" s="302"/>
      <c r="C119" s="417">
        <f>SUM(C120:C130)</f>
        <v>0</v>
      </c>
      <c r="D119" s="417">
        <f t="shared" ref="D119:K119" si="18">SUM(D120:D130)</f>
        <v>0</v>
      </c>
      <c r="E119" s="417">
        <f t="shared" si="18"/>
        <v>0</v>
      </c>
      <c r="F119" s="419">
        <f t="shared" si="18"/>
        <v>0</v>
      </c>
      <c r="G119" s="417">
        <f t="shared" si="18"/>
        <v>0</v>
      </c>
      <c r="H119" s="420">
        <f t="shared" si="18"/>
        <v>0</v>
      </c>
      <c r="I119" s="421">
        <f t="shared" si="18"/>
        <v>0</v>
      </c>
      <c r="J119" s="417">
        <f t="shared" si="18"/>
        <v>0</v>
      </c>
      <c r="K119" s="420">
        <f t="shared" si="18"/>
        <v>0</v>
      </c>
    </row>
    <row r="120" spans="1:11" ht="13.15" customHeight="1" x14ac:dyDescent="0.25">
      <c r="A120" s="303" t="s">
        <v>938</v>
      </c>
      <c r="B120" s="302"/>
      <c r="C120" s="475"/>
      <c r="D120" s="475"/>
      <c r="E120" s="478"/>
      <c r="F120" s="477"/>
      <c r="G120" s="475"/>
      <c r="H120" s="478"/>
      <c r="I120" s="477"/>
      <c r="J120" s="475"/>
      <c r="K120" s="482"/>
    </row>
    <row r="121" spans="1:11" ht="13.15" customHeight="1" x14ac:dyDescent="0.25">
      <c r="A121" s="303" t="s">
        <v>939</v>
      </c>
      <c r="B121" s="302"/>
      <c r="C121" s="475"/>
      <c r="D121" s="475"/>
      <c r="E121" s="478"/>
      <c r="F121" s="477"/>
      <c r="G121" s="475"/>
      <c r="H121" s="478"/>
      <c r="I121" s="477"/>
      <c r="J121" s="475"/>
      <c r="K121" s="482"/>
    </row>
    <row r="122" spans="1:11" ht="13.15" customHeight="1" x14ac:dyDescent="0.25">
      <c r="A122" s="303" t="s">
        <v>940</v>
      </c>
      <c r="B122" s="302"/>
      <c r="C122" s="475"/>
      <c r="D122" s="475"/>
      <c r="E122" s="478"/>
      <c r="F122" s="477"/>
      <c r="G122" s="475"/>
      <c r="H122" s="478"/>
      <c r="I122" s="477"/>
      <c r="J122" s="475"/>
      <c r="K122" s="482"/>
    </row>
    <row r="123" spans="1:11" ht="13.15" customHeight="1" x14ac:dyDescent="0.25">
      <c r="A123" s="303" t="s">
        <v>941</v>
      </c>
      <c r="B123" s="302"/>
      <c r="C123" s="475"/>
      <c r="D123" s="475"/>
      <c r="E123" s="478"/>
      <c r="F123" s="477"/>
      <c r="G123" s="475"/>
      <c r="H123" s="478"/>
      <c r="I123" s="477"/>
      <c r="J123" s="475"/>
      <c r="K123" s="482"/>
    </row>
    <row r="124" spans="1:11" ht="13.15" customHeight="1" x14ac:dyDescent="0.25">
      <c r="A124" s="303" t="s">
        <v>942</v>
      </c>
      <c r="B124" s="302"/>
      <c r="C124" s="475"/>
      <c r="D124" s="475"/>
      <c r="E124" s="478"/>
      <c r="F124" s="477"/>
      <c r="G124" s="475"/>
      <c r="H124" s="478"/>
      <c r="I124" s="477"/>
      <c r="J124" s="475"/>
      <c r="K124" s="482"/>
    </row>
    <row r="125" spans="1:11" ht="13.15" customHeight="1" x14ac:dyDescent="0.25">
      <c r="A125" s="303" t="s">
        <v>943</v>
      </c>
      <c r="B125" s="302"/>
      <c r="C125" s="475"/>
      <c r="D125" s="475"/>
      <c r="E125" s="478"/>
      <c r="F125" s="477"/>
      <c r="G125" s="475"/>
      <c r="H125" s="478"/>
      <c r="I125" s="477"/>
      <c r="J125" s="475"/>
      <c r="K125" s="482"/>
    </row>
    <row r="126" spans="1:11" ht="13.15" customHeight="1" x14ac:dyDescent="0.25">
      <c r="A126" s="303" t="s">
        <v>944</v>
      </c>
      <c r="B126" s="302"/>
      <c r="C126" s="475"/>
      <c r="D126" s="475"/>
      <c r="E126" s="478"/>
      <c r="F126" s="477"/>
      <c r="G126" s="475"/>
      <c r="H126" s="478"/>
      <c r="I126" s="477"/>
      <c r="J126" s="475"/>
      <c r="K126" s="482"/>
    </row>
    <row r="127" spans="1:11" ht="13.15" customHeight="1" x14ac:dyDescent="0.25">
      <c r="A127" s="303" t="s">
        <v>945</v>
      </c>
      <c r="B127" s="302"/>
      <c r="C127" s="475"/>
      <c r="D127" s="475"/>
      <c r="E127" s="478"/>
      <c r="F127" s="477"/>
      <c r="G127" s="475"/>
      <c r="H127" s="478"/>
      <c r="I127" s="477"/>
      <c r="J127" s="475"/>
      <c r="K127" s="482"/>
    </row>
    <row r="128" spans="1:11" ht="13.15" customHeight="1" x14ac:dyDescent="0.25">
      <c r="A128" s="303" t="s">
        <v>946</v>
      </c>
      <c r="B128" s="302"/>
      <c r="C128" s="475"/>
      <c r="D128" s="475"/>
      <c r="E128" s="478"/>
      <c r="F128" s="477"/>
      <c r="G128" s="475"/>
      <c r="H128" s="478"/>
      <c r="I128" s="477"/>
      <c r="J128" s="475"/>
      <c r="K128" s="482"/>
    </row>
    <row r="129" spans="1:11" ht="13.15" customHeight="1" x14ac:dyDescent="0.25">
      <c r="A129" s="303" t="s">
        <v>947</v>
      </c>
      <c r="B129" s="302"/>
      <c r="C129" s="475"/>
      <c r="D129" s="475"/>
      <c r="E129" s="478"/>
      <c r="F129" s="477"/>
      <c r="G129" s="475"/>
      <c r="H129" s="478"/>
      <c r="I129" s="477"/>
      <c r="J129" s="475"/>
      <c r="K129" s="482"/>
    </row>
    <row r="130" spans="1:11" ht="13.15" customHeight="1" x14ac:dyDescent="0.25">
      <c r="A130" s="303" t="s">
        <v>857</v>
      </c>
      <c r="B130" s="302"/>
      <c r="C130" s="475"/>
      <c r="D130" s="475"/>
      <c r="E130" s="478"/>
      <c r="F130" s="477"/>
      <c r="G130" s="475"/>
      <c r="H130" s="478"/>
      <c r="I130" s="477"/>
      <c r="J130" s="475"/>
      <c r="K130" s="482"/>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475"/>
      <c r="D132" s="475"/>
      <c r="E132" s="478"/>
      <c r="F132" s="477"/>
      <c r="G132" s="475"/>
      <c r="H132" s="478"/>
      <c r="I132" s="477"/>
      <c r="J132" s="475"/>
      <c r="K132" s="482"/>
    </row>
    <row r="133" spans="1:11" ht="13.15" customHeight="1" x14ac:dyDescent="0.25">
      <c r="A133" s="303" t="s">
        <v>950</v>
      </c>
      <c r="B133" s="302"/>
      <c r="C133" s="475"/>
      <c r="D133" s="475"/>
      <c r="E133" s="478"/>
      <c r="F133" s="477"/>
      <c r="G133" s="475"/>
      <c r="H133" s="478"/>
      <c r="I133" s="477"/>
      <c r="J133" s="475"/>
      <c r="K133" s="482"/>
    </row>
    <row r="134" spans="1:11" ht="13.15" customHeight="1" x14ac:dyDescent="0.25">
      <c r="A134" s="303" t="s">
        <v>857</v>
      </c>
      <c r="B134" s="302"/>
      <c r="C134" s="475"/>
      <c r="D134" s="475"/>
      <c r="E134" s="478"/>
      <c r="F134" s="477"/>
      <c r="G134" s="475"/>
      <c r="H134" s="478"/>
      <c r="I134" s="477"/>
      <c r="J134" s="475"/>
      <c r="K134" s="482"/>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25">
        <f t="shared" ref="C136:K136" si="20">SUM(C137:C137)</f>
        <v>0</v>
      </c>
      <c r="D136" s="25">
        <f t="shared" si="20"/>
        <v>0</v>
      </c>
      <c r="E136" s="306">
        <f t="shared" si="20"/>
        <v>0</v>
      </c>
      <c r="F136" s="307">
        <f t="shared" si="20"/>
        <v>0</v>
      </c>
      <c r="G136" s="25">
        <f t="shared" si="20"/>
        <v>0</v>
      </c>
      <c r="H136" s="24">
        <f t="shared" si="20"/>
        <v>0</v>
      </c>
      <c r="I136" s="307">
        <f t="shared" si="20"/>
        <v>0</v>
      </c>
      <c r="J136" s="25">
        <f t="shared" si="20"/>
        <v>0</v>
      </c>
      <c r="K136" s="306">
        <f t="shared" si="20"/>
        <v>0</v>
      </c>
    </row>
    <row r="137" spans="1:11" ht="13.15" customHeight="1" x14ac:dyDescent="0.25">
      <c r="A137" s="285" t="s">
        <v>951</v>
      </c>
      <c r="B137" s="302"/>
      <c r="C137" s="495"/>
      <c r="D137" s="495"/>
      <c r="E137" s="496"/>
      <c r="F137" s="497"/>
      <c r="G137" s="495"/>
      <c r="H137" s="498"/>
      <c r="I137" s="497"/>
      <c r="J137" s="495"/>
      <c r="K137" s="496"/>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25">
        <f>+C140+C141</f>
        <v>10904263.98</v>
      </c>
      <c r="D139" s="25">
        <f t="shared" ref="D139:K139" si="21">+D140+D141</f>
        <v>11274673.309999999</v>
      </c>
      <c r="E139" s="306">
        <f t="shared" si="21"/>
        <v>11454127.08</v>
      </c>
      <c r="F139" s="307">
        <f t="shared" si="21"/>
        <v>13902980</v>
      </c>
      <c r="G139" s="25">
        <f t="shared" si="21"/>
        <v>3559217</v>
      </c>
      <c r="H139" s="24">
        <f t="shared" si="21"/>
        <v>3559217</v>
      </c>
      <c r="I139" s="307">
        <f t="shared" si="21"/>
        <v>3722940.9819999998</v>
      </c>
      <c r="J139" s="25">
        <f t="shared" si="21"/>
        <v>3901642.1491359998</v>
      </c>
      <c r="K139" s="306">
        <f t="shared" si="21"/>
        <v>4088920.972294528</v>
      </c>
    </row>
    <row r="140" spans="1:11" ht="13.15" customHeight="1" x14ac:dyDescent="0.25">
      <c r="A140" s="284" t="s">
        <v>953</v>
      </c>
      <c r="B140" s="302"/>
      <c r="C140" s="495"/>
      <c r="D140" s="495"/>
      <c r="E140" s="496"/>
      <c r="F140" s="497"/>
      <c r="G140" s="495"/>
      <c r="H140" s="498"/>
      <c r="I140" s="497"/>
      <c r="J140" s="495"/>
      <c r="K140" s="496"/>
    </row>
    <row r="141" spans="1:11" ht="13.15" customHeight="1" x14ac:dyDescent="0.25">
      <c r="A141" s="284" t="s">
        <v>954</v>
      </c>
      <c r="B141" s="302"/>
      <c r="C141" s="422">
        <f>SUM(C142:C147)</f>
        <v>10904263.98</v>
      </c>
      <c r="D141" s="422">
        <f t="shared" ref="D141:K141" si="22">SUM(D142:D147)</f>
        <v>11274673.309999999</v>
      </c>
      <c r="E141" s="422">
        <f t="shared" si="22"/>
        <v>11454127.08</v>
      </c>
      <c r="F141" s="424">
        <f t="shared" si="22"/>
        <v>13902980</v>
      </c>
      <c r="G141" s="422">
        <f t="shared" si="22"/>
        <v>3559217</v>
      </c>
      <c r="H141" s="425">
        <f t="shared" si="22"/>
        <v>3559217</v>
      </c>
      <c r="I141" s="426">
        <f t="shared" si="22"/>
        <v>3722940.9819999998</v>
      </c>
      <c r="J141" s="422">
        <f t="shared" si="22"/>
        <v>3901642.1491359998</v>
      </c>
      <c r="K141" s="425">
        <f t="shared" si="22"/>
        <v>4088920.972294528</v>
      </c>
    </row>
    <row r="142" spans="1:11" ht="13.15" customHeight="1" x14ac:dyDescent="0.25">
      <c r="A142" s="303" t="s">
        <v>955</v>
      </c>
      <c r="B142" s="302"/>
      <c r="C142" s="475"/>
      <c r="D142" s="475"/>
      <c r="E142" s="478"/>
      <c r="F142" s="477"/>
      <c r="G142" s="475"/>
      <c r="H142" s="478"/>
      <c r="I142" s="477"/>
      <c r="J142" s="475"/>
      <c r="K142" s="482"/>
    </row>
    <row r="143" spans="1:11" ht="13.15" customHeight="1" x14ac:dyDescent="0.25">
      <c r="A143" s="303" t="s">
        <v>956</v>
      </c>
      <c r="B143" s="302"/>
      <c r="C143" s="475"/>
      <c r="D143" s="475"/>
      <c r="E143" s="478"/>
      <c r="F143" s="477"/>
      <c r="G143" s="475"/>
      <c r="H143" s="478"/>
      <c r="I143" s="477"/>
      <c r="J143" s="475"/>
      <c r="K143" s="482"/>
    </row>
    <row r="144" spans="1:11" ht="13.15" customHeight="1" x14ac:dyDescent="0.25">
      <c r="A144" s="303" t="s">
        <v>957</v>
      </c>
      <c r="B144" s="302"/>
      <c r="C144" s="475"/>
      <c r="D144" s="475"/>
      <c r="E144" s="478"/>
      <c r="F144" s="477"/>
      <c r="G144" s="475"/>
      <c r="H144" s="478"/>
      <c r="I144" s="477"/>
      <c r="J144" s="475"/>
      <c r="K144" s="482"/>
    </row>
    <row r="145" spans="1:11" ht="13.15" customHeight="1" x14ac:dyDescent="0.25">
      <c r="A145" s="303" t="s">
        <v>958</v>
      </c>
      <c r="B145" s="302"/>
      <c r="C145" s="475">
        <v>10904263.98</v>
      </c>
      <c r="D145" s="475">
        <v>11274673.309999999</v>
      </c>
      <c r="E145" s="478">
        <v>11454127.08</v>
      </c>
      <c r="F145" s="477">
        <v>13902980</v>
      </c>
      <c r="G145" s="475">
        <v>3559217</v>
      </c>
      <c r="H145" s="475">
        <v>3559217</v>
      </c>
      <c r="I145" s="477">
        <v>3722940.9819999998</v>
      </c>
      <c r="J145" s="475">
        <v>3901642.1491359998</v>
      </c>
      <c r="K145" s="482">
        <v>4088920.972294528</v>
      </c>
    </row>
    <row r="146" spans="1:11" ht="13.15" customHeight="1" x14ac:dyDescent="0.25">
      <c r="A146" s="303" t="s">
        <v>959</v>
      </c>
      <c r="B146" s="302"/>
      <c r="C146" s="475"/>
      <c r="D146" s="475"/>
      <c r="E146" s="478"/>
      <c r="F146" s="477"/>
      <c r="G146" s="475"/>
      <c r="H146" s="478"/>
      <c r="I146" s="477"/>
      <c r="J146" s="475"/>
      <c r="K146" s="482"/>
    </row>
    <row r="147" spans="1:11" ht="13.15" customHeight="1" x14ac:dyDescent="0.25">
      <c r="A147" s="303" t="s">
        <v>960</v>
      </c>
      <c r="B147" s="302"/>
      <c r="C147" s="475"/>
      <c r="D147" s="475"/>
      <c r="E147" s="478"/>
      <c r="F147" s="477"/>
      <c r="G147" s="475"/>
      <c r="H147" s="478"/>
      <c r="I147" s="477"/>
      <c r="J147" s="475"/>
      <c r="K147" s="482"/>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25">
        <f t="shared" ref="C149:K149" si="23">SUM(C150:C150)</f>
        <v>0</v>
      </c>
      <c r="D149" s="25">
        <f t="shared" si="23"/>
        <v>0</v>
      </c>
      <c r="E149" s="306">
        <f t="shared" si="23"/>
        <v>0</v>
      </c>
      <c r="F149" s="307">
        <f t="shared" si="23"/>
        <v>0</v>
      </c>
      <c r="G149" s="25">
        <f t="shared" si="23"/>
        <v>0</v>
      </c>
      <c r="H149" s="24">
        <f t="shared" si="23"/>
        <v>0</v>
      </c>
      <c r="I149" s="307">
        <f t="shared" si="23"/>
        <v>0</v>
      </c>
      <c r="J149" s="25">
        <f t="shared" si="23"/>
        <v>0</v>
      </c>
      <c r="K149" s="306">
        <f t="shared" si="23"/>
        <v>0</v>
      </c>
    </row>
    <row r="150" spans="1:11" ht="13.15" customHeight="1" x14ac:dyDescent="0.25">
      <c r="A150" s="285" t="s">
        <v>961</v>
      </c>
      <c r="B150" s="302"/>
      <c r="C150" s="495"/>
      <c r="D150" s="495"/>
      <c r="E150" s="496"/>
      <c r="F150" s="497"/>
      <c r="G150" s="495"/>
      <c r="H150" s="498"/>
      <c r="I150" s="497"/>
      <c r="J150" s="495"/>
      <c r="K150" s="496"/>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25">
        <f t="shared" ref="C152:K152" si="24">SUM(C153:C153)</f>
        <v>7975704.7300000004</v>
      </c>
      <c r="D152" s="25">
        <f t="shared" si="24"/>
        <v>110493933.89</v>
      </c>
      <c r="E152" s="306">
        <f t="shared" si="24"/>
        <v>7149378.79</v>
      </c>
      <c r="F152" s="307">
        <f t="shared" si="24"/>
        <v>13086987</v>
      </c>
      <c r="G152" s="25">
        <f t="shared" si="24"/>
        <v>10771575</v>
      </c>
      <c r="H152" s="24">
        <f t="shared" si="24"/>
        <v>10771575</v>
      </c>
      <c r="I152" s="307">
        <f t="shared" si="24"/>
        <v>11267067</v>
      </c>
      <c r="J152" s="25">
        <f t="shared" si="24"/>
        <v>11807887</v>
      </c>
      <c r="K152" s="306">
        <f t="shared" si="24"/>
        <v>12374665</v>
      </c>
    </row>
    <row r="153" spans="1:11" ht="13.15" customHeight="1" x14ac:dyDescent="0.25">
      <c r="A153" s="285" t="s">
        <v>962</v>
      </c>
      <c r="B153" s="302"/>
      <c r="C153" s="495">
        <v>7975704.7300000004</v>
      </c>
      <c r="D153" s="495">
        <v>110493933.89</v>
      </c>
      <c r="E153" s="496">
        <v>7149378.79</v>
      </c>
      <c r="F153" s="497">
        <v>13086987</v>
      </c>
      <c r="G153" s="495">
        <v>10771575</v>
      </c>
      <c r="H153" s="495">
        <v>10771575</v>
      </c>
      <c r="I153" s="497">
        <v>11267067</v>
      </c>
      <c r="J153" s="495">
        <v>11807887</v>
      </c>
      <c r="K153" s="496">
        <v>12374665</v>
      </c>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25">
        <f t="shared" ref="C155:K155" si="25">SUM(C156:C156)</f>
        <v>0</v>
      </c>
      <c r="D155" s="25">
        <f t="shared" si="25"/>
        <v>7821288.6500000004</v>
      </c>
      <c r="E155" s="306">
        <f t="shared" si="25"/>
        <v>155884.51999999999</v>
      </c>
      <c r="F155" s="307">
        <f t="shared" si="25"/>
        <v>454215</v>
      </c>
      <c r="G155" s="25">
        <f t="shared" si="25"/>
        <v>343091</v>
      </c>
      <c r="H155" s="24">
        <f t="shared" si="25"/>
        <v>343091</v>
      </c>
      <c r="I155" s="307">
        <f t="shared" si="25"/>
        <v>358873.18599999999</v>
      </c>
      <c r="J155" s="25">
        <f t="shared" si="25"/>
        <v>376099.09892799996</v>
      </c>
      <c r="K155" s="306">
        <f t="shared" si="25"/>
        <v>394151.85567654396</v>
      </c>
    </row>
    <row r="156" spans="1:11" ht="13.15" customHeight="1" x14ac:dyDescent="0.25">
      <c r="A156" s="285" t="s">
        <v>963</v>
      </c>
      <c r="B156" s="302"/>
      <c r="C156" s="495"/>
      <c r="D156" s="495">
        <v>7821288.6500000004</v>
      </c>
      <c r="E156" s="496">
        <v>155884.51999999999</v>
      </c>
      <c r="F156" s="497">
        <v>454215</v>
      </c>
      <c r="G156" s="495">
        <v>343091</v>
      </c>
      <c r="H156" s="495">
        <v>343091</v>
      </c>
      <c r="I156" s="497">
        <v>358873.18599999999</v>
      </c>
      <c r="J156" s="495">
        <v>376099.09892799996</v>
      </c>
      <c r="K156" s="496">
        <v>394151.85567654396</v>
      </c>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25">
        <f t="shared" ref="C158:K158" si="26">SUM(C159:C159)</f>
        <v>9195549.8100000005</v>
      </c>
      <c r="D158" s="25">
        <f t="shared" si="26"/>
        <v>2667551.91</v>
      </c>
      <c r="E158" s="306">
        <f t="shared" si="26"/>
        <v>5885595.8700000001</v>
      </c>
      <c r="F158" s="307">
        <f t="shared" si="26"/>
        <v>24304397</v>
      </c>
      <c r="G158" s="25">
        <f t="shared" si="26"/>
        <v>17768199</v>
      </c>
      <c r="H158" s="24">
        <f t="shared" si="26"/>
        <v>17768199</v>
      </c>
      <c r="I158" s="307">
        <f t="shared" si="26"/>
        <v>18585536</v>
      </c>
      <c r="J158" s="25">
        <f t="shared" si="26"/>
        <v>19477642</v>
      </c>
      <c r="K158" s="306">
        <f t="shared" si="26"/>
        <v>20412569</v>
      </c>
    </row>
    <row r="159" spans="1:11" ht="13.15" customHeight="1" x14ac:dyDescent="0.25">
      <c r="A159" s="285" t="s">
        <v>964</v>
      </c>
      <c r="B159" s="302"/>
      <c r="C159" s="495">
        <v>9195549.8100000005</v>
      </c>
      <c r="D159" s="495">
        <v>2667551.91</v>
      </c>
      <c r="E159" s="496">
        <v>5885595.8700000001</v>
      </c>
      <c r="F159" s="497">
        <v>24304397</v>
      </c>
      <c r="G159" s="495">
        <v>17768199</v>
      </c>
      <c r="H159" s="495">
        <v>17768199</v>
      </c>
      <c r="I159" s="497">
        <v>18585536</v>
      </c>
      <c r="J159" s="495">
        <v>19477642</v>
      </c>
      <c r="K159" s="496">
        <v>20412569</v>
      </c>
    </row>
    <row r="160" spans="1:11" ht="5.0999999999999996" customHeight="1" x14ac:dyDescent="0.25">
      <c r="A160" s="305"/>
      <c r="B160" s="302"/>
      <c r="C160" s="25"/>
      <c r="D160" s="25"/>
      <c r="E160" s="306"/>
      <c r="F160" s="307"/>
      <c r="G160" s="25"/>
      <c r="H160" s="24"/>
      <c r="I160" s="307"/>
      <c r="J160" s="25"/>
      <c r="K160" s="306"/>
    </row>
    <row r="161" spans="1:11" ht="13.15" customHeight="1" x14ac:dyDescent="0.25">
      <c r="A161" s="301" t="s">
        <v>979</v>
      </c>
      <c r="B161" s="302"/>
      <c r="C161" s="25">
        <f t="shared" ref="C161:K161" si="27">SUM(C162:C162)</f>
        <v>0</v>
      </c>
      <c r="D161" s="25">
        <f t="shared" si="27"/>
        <v>0</v>
      </c>
      <c r="E161" s="306">
        <f t="shared" si="27"/>
        <v>0</v>
      </c>
      <c r="F161" s="307">
        <f t="shared" si="27"/>
        <v>0</v>
      </c>
      <c r="G161" s="25">
        <f t="shared" si="27"/>
        <v>0</v>
      </c>
      <c r="H161" s="24">
        <f t="shared" si="27"/>
        <v>0</v>
      </c>
      <c r="I161" s="307">
        <f t="shared" si="27"/>
        <v>0</v>
      </c>
      <c r="J161" s="25">
        <f t="shared" si="27"/>
        <v>0</v>
      </c>
      <c r="K161" s="306">
        <f t="shared" si="27"/>
        <v>0</v>
      </c>
    </row>
    <row r="162" spans="1:11" ht="13.15" customHeight="1" x14ac:dyDescent="0.25">
      <c r="A162" s="285" t="s">
        <v>979</v>
      </c>
      <c r="B162" s="302"/>
      <c r="C162" s="495"/>
      <c r="D162" s="495"/>
      <c r="E162" s="496"/>
      <c r="F162" s="497"/>
      <c r="G162" s="495"/>
      <c r="H162" s="498"/>
      <c r="I162" s="497"/>
      <c r="J162" s="495"/>
      <c r="K162" s="496"/>
    </row>
    <row r="163" spans="1:11" ht="5.0999999999999996" customHeight="1" x14ac:dyDescent="0.25">
      <c r="A163" s="305"/>
      <c r="B163" s="302"/>
      <c r="C163" s="25"/>
      <c r="D163" s="25"/>
      <c r="E163" s="306"/>
      <c r="F163" s="307"/>
      <c r="G163" s="25"/>
      <c r="H163" s="24"/>
      <c r="I163" s="307"/>
      <c r="J163" s="25"/>
      <c r="K163" s="306"/>
    </row>
    <row r="164" spans="1:11" ht="13.15" customHeight="1" x14ac:dyDescent="0.25">
      <c r="A164" s="301" t="s">
        <v>965</v>
      </c>
      <c r="B164" s="302"/>
      <c r="C164" s="25">
        <f t="shared" ref="C164:K164" si="28">SUM(C165:C165)</f>
        <v>0</v>
      </c>
      <c r="D164" s="25">
        <f t="shared" si="28"/>
        <v>0</v>
      </c>
      <c r="E164" s="306">
        <f t="shared" si="28"/>
        <v>0</v>
      </c>
      <c r="F164" s="307">
        <f t="shared" si="28"/>
        <v>0</v>
      </c>
      <c r="G164" s="25">
        <f t="shared" si="28"/>
        <v>0</v>
      </c>
      <c r="H164" s="24">
        <f t="shared" si="28"/>
        <v>0</v>
      </c>
      <c r="I164" s="307">
        <f t="shared" si="28"/>
        <v>0</v>
      </c>
      <c r="J164" s="25">
        <f t="shared" si="28"/>
        <v>0</v>
      </c>
      <c r="K164" s="306">
        <f t="shared" si="28"/>
        <v>0</v>
      </c>
    </row>
    <row r="165" spans="1:11" ht="13.15" customHeight="1" x14ac:dyDescent="0.25">
      <c r="A165" s="285" t="s">
        <v>965</v>
      </c>
      <c r="B165" s="302"/>
      <c r="C165" s="495"/>
      <c r="D165" s="495"/>
      <c r="E165" s="496"/>
      <c r="F165" s="497"/>
      <c r="G165" s="495"/>
      <c r="H165" s="498"/>
      <c r="I165" s="497"/>
      <c r="J165" s="495"/>
      <c r="K165" s="496"/>
    </row>
    <row r="166" spans="1:11" ht="5.0999999999999996" customHeight="1" x14ac:dyDescent="0.25">
      <c r="A166" s="305"/>
      <c r="B166" s="302"/>
      <c r="C166" s="25"/>
      <c r="D166" s="25"/>
      <c r="E166" s="306"/>
      <c r="F166" s="307"/>
      <c r="G166" s="25"/>
      <c r="H166" s="24"/>
      <c r="I166" s="307"/>
      <c r="J166" s="25"/>
      <c r="K166" s="306"/>
    </row>
    <row r="167" spans="1:11" ht="13.15" customHeight="1" x14ac:dyDescent="0.25">
      <c r="A167" s="505" t="s">
        <v>970</v>
      </c>
      <c r="B167" s="500"/>
      <c r="C167" s="31">
        <f>C6+C74+C103+C110+C118+C136+C139+C149+C152+C155+C158+C161+C164</f>
        <v>141354558.09999999</v>
      </c>
      <c r="D167" s="31">
        <f t="shared" ref="D167:K167" si="29">D6+D74+D103+D110+D118+D136+D139+D149+D152+D155+D158+D161+D164</f>
        <v>134199324.07000001</v>
      </c>
      <c r="E167" s="501">
        <f t="shared" si="29"/>
        <v>135051724.91</v>
      </c>
      <c r="F167" s="502">
        <f t="shared" si="29"/>
        <v>104948807</v>
      </c>
      <c r="G167" s="31">
        <f t="shared" si="29"/>
        <v>70887428</v>
      </c>
      <c r="H167" s="503">
        <f t="shared" si="29"/>
        <v>70887428</v>
      </c>
      <c r="I167" s="502">
        <f t="shared" si="29"/>
        <v>74148249.167999998</v>
      </c>
      <c r="J167" s="31">
        <f t="shared" si="29"/>
        <v>77707366.248063996</v>
      </c>
      <c r="K167" s="501">
        <f t="shared" si="29"/>
        <v>81437318.827971071</v>
      </c>
    </row>
    <row r="168" spans="1:11" ht="12.75" customHeight="1" x14ac:dyDescent="0.25">
      <c r="A168" s="33"/>
      <c r="B168" s="34"/>
      <c r="C168" s="37"/>
      <c r="D168" s="37"/>
      <c r="E168" s="37"/>
      <c r="F168" s="37"/>
      <c r="G168" s="37"/>
      <c r="H168" s="37"/>
      <c r="I168" s="37"/>
      <c r="J168" s="37"/>
      <c r="K168" s="37"/>
    </row>
    <row r="169" spans="1:11" ht="12.75" customHeight="1" x14ac:dyDescent="0.25">
      <c r="A169" s="45"/>
      <c r="B169" s="34"/>
      <c r="C169" s="36"/>
      <c r="D169" s="36"/>
      <c r="E169" s="37"/>
      <c r="F169" s="37"/>
      <c r="G169" s="37"/>
      <c r="H169" s="37"/>
      <c r="I169" s="37"/>
      <c r="J169" s="37"/>
      <c r="K169" s="37"/>
    </row>
    <row r="170" spans="1:11" ht="11.25" customHeight="1" x14ac:dyDescent="0.25">
      <c r="A170" s="40"/>
      <c r="B170" s="34"/>
      <c r="C170" s="36"/>
      <c r="D170" s="36"/>
      <c r="E170" s="37"/>
      <c r="F170" s="37"/>
      <c r="G170" s="37"/>
      <c r="H170" s="37"/>
      <c r="I170" s="37"/>
      <c r="J170" s="37"/>
      <c r="K170" s="37"/>
    </row>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printOptions horizontalCentered="1"/>
  <pageMargins left="0.37" right="0.14000000000000001" top="0.79" bottom="0.6" header="0.51181102362204722" footer="0.51"/>
  <pageSetup paperSize="9" scale="3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tabColor rgb="FFCCFFCC"/>
    <pageSetUpPr fitToPage="1"/>
  </sheetPr>
  <dimension ref="A1:O204"/>
  <sheetViews>
    <sheetView showGridLines="0" zoomScaleNormal="100" workbookViewId="0">
      <pane xSplit="2" ySplit="3" topLeftCell="C164" activePane="bottomRight" state="frozen"/>
      <selection activeCell="A23" sqref="A23"/>
      <selection pane="topRight" activeCell="A23" sqref="A23"/>
      <selection pane="bottomLeft" activeCell="A23" sqref="A23"/>
      <selection pane="bottomRight" activeCell="L179" sqref="L179"/>
    </sheetView>
  </sheetViews>
  <sheetFormatPr defaultRowHeight="12.75" x14ac:dyDescent="0.25"/>
  <cols>
    <col min="1" max="1" width="35.710937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MEB9e</f>
        <v>Centlec - Supporting Table SD7e Capital expenditure on upgrading of existing assets by asset class</v>
      </c>
    </row>
    <row r="2" spans="1:12" ht="25.5" x14ac:dyDescent="0.25">
      <c r="A2" s="451" t="str">
        <f>desc</f>
        <v>Description</v>
      </c>
      <c r="B2" s="452" t="str">
        <f>head27</f>
        <v>Ref</v>
      </c>
      <c r="C2" s="97" t="str">
        <f>head1b</f>
        <v>2016/17</v>
      </c>
      <c r="D2" s="20" t="str">
        <f>head1A</f>
        <v>2017/18</v>
      </c>
      <c r="E2" s="92" t="str">
        <f>Head1</f>
        <v>2018/19</v>
      </c>
      <c r="F2" s="118" t="str">
        <f>Head2</f>
        <v>Current Year 2019/20</v>
      </c>
      <c r="G2" s="116"/>
      <c r="H2" s="117"/>
      <c r="I2" s="118" t="str">
        <f>Head3a</f>
        <v>Medium Term Revenue and Expenditure Framework</v>
      </c>
      <c r="J2" s="116"/>
      <c r="K2" s="117"/>
    </row>
    <row r="3" spans="1:12" ht="38.25" x14ac:dyDescent="0.25">
      <c r="A3" s="392" t="s">
        <v>822</v>
      </c>
      <c r="B3" s="321">
        <v>1</v>
      </c>
      <c r="C3" s="322" t="str">
        <f>Head5</f>
        <v>Audited Outcome</v>
      </c>
      <c r="D3" s="323" t="str">
        <f>Head5</f>
        <v>Audited Outcome</v>
      </c>
      <c r="E3" s="324" t="str">
        <f>Head5</f>
        <v>Audited Outcome</v>
      </c>
      <c r="F3" s="449" t="str">
        <f>Head6</f>
        <v>Original Budget</v>
      </c>
      <c r="G3" s="322" t="str">
        <f>Head7</f>
        <v>Adjusted Budget</v>
      </c>
      <c r="H3" s="450" t="str">
        <f>Head8</f>
        <v>Full Year Forecast</v>
      </c>
      <c r="I3" s="449" t="str">
        <f>Head9</f>
        <v>Budget Year 2020/21</v>
      </c>
      <c r="J3" s="322" t="str">
        <f>Head10</f>
        <v>Budget Year +1 2021/22</v>
      </c>
      <c r="K3" s="324" t="str">
        <f>Head11</f>
        <v>Budget Year +2 2022/23</v>
      </c>
    </row>
    <row r="4" spans="1:12" ht="12.75" customHeight="1" x14ac:dyDescent="0.25">
      <c r="A4" s="21" t="s">
        <v>967</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12770829.709999999</v>
      </c>
      <c r="D6" s="293">
        <f t="shared" ref="D6:K6" si="0">D7+D12+D16+D26+D37+D44+D52+D62+D68</f>
        <v>25933060.18</v>
      </c>
      <c r="E6" s="294">
        <f t="shared" si="0"/>
        <v>9922731.6999999993</v>
      </c>
      <c r="F6" s="292">
        <f t="shared" si="0"/>
        <v>19835057</v>
      </c>
      <c r="G6" s="293">
        <f t="shared" si="0"/>
        <v>17235057</v>
      </c>
      <c r="H6" s="291">
        <f t="shared" si="0"/>
        <v>17235057</v>
      </c>
      <c r="I6" s="292">
        <f t="shared" si="0"/>
        <v>18521514</v>
      </c>
      <c r="J6" s="293">
        <f t="shared" si="0"/>
        <v>19410546</v>
      </c>
      <c r="K6" s="294">
        <f t="shared" si="0"/>
        <v>20342253</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302"/>
      <c r="C8" s="475"/>
      <c r="D8" s="475"/>
      <c r="E8" s="476"/>
      <c r="F8" s="477"/>
      <c r="G8" s="475"/>
      <c r="H8" s="478"/>
      <c r="I8" s="477"/>
      <c r="J8" s="475"/>
      <c r="K8" s="476"/>
      <c r="L8" s="474"/>
    </row>
    <row r="9" spans="1:12" s="472" customFormat="1" ht="13.15" customHeight="1" x14ac:dyDescent="0.25">
      <c r="A9" s="303" t="s">
        <v>855</v>
      </c>
      <c r="B9" s="302"/>
      <c r="C9" s="475"/>
      <c r="D9" s="475"/>
      <c r="E9" s="476"/>
      <c r="F9" s="477"/>
      <c r="G9" s="475"/>
      <c r="H9" s="478"/>
      <c r="I9" s="477"/>
      <c r="J9" s="475"/>
      <c r="K9" s="476"/>
      <c r="L9" s="479"/>
    </row>
    <row r="10" spans="1:12" s="472" customFormat="1" ht="13.15" customHeight="1" x14ac:dyDescent="0.25">
      <c r="A10" s="303" t="s">
        <v>856</v>
      </c>
      <c r="B10" s="302"/>
      <c r="C10" s="475"/>
      <c r="D10" s="475"/>
      <c r="E10" s="476"/>
      <c r="F10" s="477"/>
      <c r="G10" s="475"/>
      <c r="H10" s="478"/>
      <c r="I10" s="477"/>
      <c r="J10" s="475"/>
      <c r="K10" s="476"/>
      <c r="L10" s="479"/>
    </row>
    <row r="11" spans="1:12" s="472" customFormat="1" ht="13.15" customHeight="1" x14ac:dyDescent="0.25">
      <c r="A11" s="303" t="s">
        <v>857</v>
      </c>
      <c r="B11" s="302"/>
      <c r="C11" s="475"/>
      <c r="D11" s="475"/>
      <c r="E11" s="476"/>
      <c r="F11" s="477"/>
      <c r="G11" s="475"/>
      <c r="H11" s="478"/>
      <c r="I11" s="477"/>
      <c r="J11" s="475"/>
      <c r="K11" s="476"/>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475"/>
      <c r="D13" s="475"/>
      <c r="E13" s="480"/>
      <c r="F13" s="481"/>
      <c r="G13" s="475"/>
      <c r="H13" s="482"/>
      <c r="I13" s="483"/>
      <c r="J13" s="475"/>
      <c r="K13" s="482"/>
      <c r="L13" s="479"/>
    </row>
    <row r="14" spans="1:12" s="472" customFormat="1" ht="13.15" customHeight="1" x14ac:dyDescent="0.25">
      <c r="A14" s="303" t="s">
        <v>860</v>
      </c>
      <c r="B14" s="302"/>
      <c r="C14" s="475"/>
      <c r="D14" s="475"/>
      <c r="E14" s="480"/>
      <c r="F14" s="481"/>
      <c r="G14" s="475"/>
      <c r="H14" s="482"/>
      <c r="I14" s="483"/>
      <c r="J14" s="475"/>
      <c r="K14" s="482"/>
      <c r="L14" s="479"/>
    </row>
    <row r="15" spans="1:12" s="472" customFormat="1" ht="13.15" customHeight="1" x14ac:dyDescent="0.25">
      <c r="A15" s="303" t="s">
        <v>861</v>
      </c>
      <c r="B15" s="302"/>
      <c r="C15" s="475"/>
      <c r="D15" s="475"/>
      <c r="E15" s="480"/>
      <c r="F15" s="481"/>
      <c r="G15" s="475"/>
      <c r="H15" s="482"/>
      <c r="I15" s="483"/>
      <c r="J15" s="475"/>
      <c r="K15" s="482"/>
      <c r="L15" s="479"/>
    </row>
    <row r="16" spans="1:12" s="472" customFormat="1" ht="13.15" customHeight="1" x14ac:dyDescent="0.25">
      <c r="A16" s="285" t="s">
        <v>862</v>
      </c>
      <c r="B16" s="302"/>
      <c r="C16" s="422">
        <f t="shared" ref="C16:K16" si="3">SUM(C17:C25)</f>
        <v>12770829.709999999</v>
      </c>
      <c r="D16" s="422">
        <f t="shared" si="3"/>
        <v>25933060.18</v>
      </c>
      <c r="E16" s="423">
        <f t="shared" si="3"/>
        <v>9922731.6999999993</v>
      </c>
      <c r="F16" s="424">
        <f t="shared" si="3"/>
        <v>19835057</v>
      </c>
      <c r="G16" s="422">
        <f t="shared" si="3"/>
        <v>17235057</v>
      </c>
      <c r="H16" s="425">
        <f t="shared" si="3"/>
        <v>17235057</v>
      </c>
      <c r="I16" s="426">
        <f t="shared" si="3"/>
        <v>18521514</v>
      </c>
      <c r="J16" s="422">
        <f t="shared" si="3"/>
        <v>19410546</v>
      </c>
      <c r="K16" s="425">
        <f t="shared" si="3"/>
        <v>20342253</v>
      </c>
      <c r="L16" s="479"/>
    </row>
    <row r="17" spans="1:12" s="472" customFormat="1" ht="13.15" customHeight="1" x14ac:dyDescent="0.25">
      <c r="A17" s="303" t="s">
        <v>863</v>
      </c>
      <c r="B17" s="302"/>
      <c r="C17" s="475"/>
      <c r="D17" s="475"/>
      <c r="E17" s="480"/>
      <c r="F17" s="481"/>
      <c r="G17" s="475"/>
      <c r="H17" s="482"/>
      <c r="I17" s="483"/>
      <c r="J17" s="475"/>
      <c r="K17" s="482"/>
      <c r="L17" s="479"/>
    </row>
    <row r="18" spans="1:12" s="472" customFormat="1" ht="13.15" customHeight="1" x14ac:dyDescent="0.25">
      <c r="A18" s="303" t="s">
        <v>864</v>
      </c>
      <c r="B18" s="302"/>
      <c r="C18" s="475"/>
      <c r="D18" s="475"/>
      <c r="E18" s="480"/>
      <c r="F18" s="481"/>
      <c r="G18" s="475"/>
      <c r="H18" s="482"/>
      <c r="I18" s="483"/>
      <c r="J18" s="475"/>
      <c r="K18" s="482"/>
      <c r="L18" s="479"/>
    </row>
    <row r="19" spans="1:12" s="472" customFormat="1" ht="13.15" customHeight="1" x14ac:dyDescent="0.25">
      <c r="A19" s="303" t="s">
        <v>865</v>
      </c>
      <c r="B19" s="302"/>
      <c r="C19" s="475"/>
      <c r="D19" s="475"/>
      <c r="E19" s="480"/>
      <c r="F19" s="481"/>
      <c r="G19" s="475"/>
      <c r="H19" s="482"/>
      <c r="I19" s="483"/>
      <c r="J19" s="475"/>
      <c r="K19" s="482"/>
      <c r="L19" s="479"/>
    </row>
    <row r="20" spans="1:12" s="472" customFormat="1" ht="13.15" customHeight="1" x14ac:dyDescent="0.25">
      <c r="A20" s="303" t="s">
        <v>866</v>
      </c>
      <c r="B20" s="302"/>
      <c r="C20" s="475"/>
      <c r="D20" s="475"/>
      <c r="E20" s="480">
        <v>0</v>
      </c>
      <c r="F20" s="481">
        <v>628326</v>
      </c>
      <c r="G20" s="475">
        <v>328326</v>
      </c>
      <c r="H20" s="475">
        <v>328326</v>
      </c>
      <c r="I20" s="483">
        <v>1000000</v>
      </c>
      <c r="J20" s="475">
        <v>1048000</v>
      </c>
      <c r="K20" s="482">
        <v>1098304</v>
      </c>
      <c r="L20" s="479"/>
    </row>
    <row r="21" spans="1:12" s="472" customFormat="1" ht="13.15" customHeight="1" x14ac:dyDescent="0.25">
      <c r="A21" s="303" t="s">
        <v>867</v>
      </c>
      <c r="B21" s="302"/>
      <c r="C21" s="475"/>
      <c r="D21" s="475"/>
      <c r="E21" s="480"/>
      <c r="F21" s="481"/>
      <c r="G21" s="475"/>
      <c r="H21" s="475"/>
      <c r="I21" s="483"/>
      <c r="J21" s="475"/>
      <c r="K21" s="482"/>
      <c r="L21" s="479"/>
    </row>
    <row r="22" spans="1:12" s="472" customFormat="1" ht="13.15" customHeight="1" x14ac:dyDescent="0.25">
      <c r="A22" s="303" t="s">
        <v>868</v>
      </c>
      <c r="B22" s="302"/>
      <c r="C22" s="475"/>
      <c r="D22" s="475"/>
      <c r="E22" s="480"/>
      <c r="F22" s="481"/>
      <c r="G22" s="475"/>
      <c r="H22" s="475"/>
      <c r="I22" s="483"/>
      <c r="J22" s="475"/>
      <c r="K22" s="482"/>
      <c r="L22" s="474"/>
    </row>
    <row r="23" spans="1:12" s="472" customFormat="1" ht="13.15" customHeight="1" x14ac:dyDescent="0.25">
      <c r="A23" s="303" t="s">
        <v>869</v>
      </c>
      <c r="B23" s="302"/>
      <c r="C23" s="475">
        <v>12770829.709999999</v>
      </c>
      <c r="D23" s="475">
        <v>19737179.149999999</v>
      </c>
      <c r="E23" s="480">
        <v>9450820.5800000001</v>
      </c>
      <c r="F23" s="481">
        <v>10826178</v>
      </c>
      <c r="G23" s="475">
        <v>8526178</v>
      </c>
      <c r="H23" s="475">
        <v>8526178</v>
      </c>
      <c r="I23" s="483">
        <v>8521514</v>
      </c>
      <c r="J23" s="475">
        <v>8930546</v>
      </c>
      <c r="K23" s="482">
        <v>9359213</v>
      </c>
      <c r="L23" s="479"/>
    </row>
    <row r="24" spans="1:12" s="472" customFormat="1" ht="13.15" customHeight="1" x14ac:dyDescent="0.25">
      <c r="A24" s="303" t="s">
        <v>870</v>
      </c>
      <c r="B24" s="302"/>
      <c r="C24" s="475"/>
      <c r="D24" s="475">
        <v>6195881.0299999993</v>
      </c>
      <c r="E24" s="480">
        <v>471911.12</v>
      </c>
      <c r="F24" s="481">
        <v>8380553</v>
      </c>
      <c r="G24" s="475">
        <v>8380553</v>
      </c>
      <c r="H24" s="475">
        <v>8380553</v>
      </c>
      <c r="I24" s="483">
        <v>9000000</v>
      </c>
      <c r="J24" s="475">
        <v>9432000</v>
      </c>
      <c r="K24" s="482">
        <v>9884736</v>
      </c>
      <c r="L24" s="479"/>
    </row>
    <row r="25" spans="1:12" s="472" customFormat="1" ht="13.15" customHeight="1" x14ac:dyDescent="0.25">
      <c r="A25" s="303" t="s">
        <v>857</v>
      </c>
      <c r="B25" s="302"/>
      <c r="C25" s="475"/>
      <c r="D25" s="475"/>
      <c r="E25" s="480"/>
      <c r="F25" s="481"/>
      <c r="G25" s="475"/>
      <c r="H25" s="482"/>
      <c r="I25" s="483"/>
      <c r="J25" s="475"/>
      <c r="K25" s="482"/>
      <c r="L25" s="479"/>
    </row>
    <row r="26" spans="1:12" ht="13.15" customHeight="1" x14ac:dyDescent="0.25">
      <c r="A26" s="284" t="s">
        <v>871</v>
      </c>
      <c r="B26" s="454"/>
      <c r="C26" s="422">
        <f>SUM(C27:C36)</f>
        <v>0</v>
      </c>
      <c r="D26" s="422">
        <f t="shared" ref="D26:K26" si="4">SUM(D27:D36)</f>
        <v>0</v>
      </c>
      <c r="E26" s="423">
        <f t="shared" si="4"/>
        <v>0</v>
      </c>
      <c r="F26" s="424">
        <f t="shared" si="4"/>
        <v>0</v>
      </c>
      <c r="G26" s="422">
        <f t="shared" si="4"/>
        <v>0</v>
      </c>
      <c r="H26" s="425">
        <f t="shared" si="4"/>
        <v>0</v>
      </c>
      <c r="I26" s="426">
        <f t="shared" si="4"/>
        <v>0</v>
      </c>
      <c r="J26" s="422">
        <f t="shared" si="4"/>
        <v>0</v>
      </c>
      <c r="K26" s="425">
        <f t="shared" si="4"/>
        <v>0</v>
      </c>
      <c r="L26" s="438"/>
    </row>
    <row r="27" spans="1:12" ht="13.15" customHeight="1" x14ac:dyDescent="0.25">
      <c r="A27" s="303" t="s">
        <v>872</v>
      </c>
      <c r="B27" s="302"/>
      <c r="C27" s="475"/>
      <c r="D27" s="475"/>
      <c r="E27" s="480"/>
      <c r="F27" s="481"/>
      <c r="G27" s="475"/>
      <c r="H27" s="482"/>
      <c r="I27" s="483"/>
      <c r="J27" s="475"/>
      <c r="K27" s="482"/>
      <c r="L27" s="438"/>
    </row>
    <row r="28" spans="1:12" ht="13.15" customHeight="1" x14ac:dyDescent="0.25">
      <c r="A28" s="303" t="s">
        <v>873</v>
      </c>
      <c r="B28" s="302"/>
      <c r="C28" s="475"/>
      <c r="D28" s="475"/>
      <c r="E28" s="480"/>
      <c r="F28" s="481"/>
      <c r="G28" s="475"/>
      <c r="H28" s="482"/>
      <c r="I28" s="483"/>
      <c r="J28" s="475"/>
      <c r="K28" s="482"/>
      <c r="L28" s="479"/>
    </row>
    <row r="29" spans="1:12" ht="13.15" customHeight="1" x14ac:dyDescent="0.25">
      <c r="A29" s="303" t="s">
        <v>874</v>
      </c>
      <c r="B29" s="302"/>
      <c r="C29" s="475"/>
      <c r="D29" s="475"/>
      <c r="E29" s="480"/>
      <c r="F29" s="481"/>
      <c r="G29" s="475"/>
      <c r="H29" s="482"/>
      <c r="I29" s="483"/>
      <c r="J29" s="475"/>
      <c r="K29" s="482"/>
      <c r="L29" s="479"/>
    </row>
    <row r="30" spans="1:12" ht="13.15" customHeight="1" x14ac:dyDescent="0.25">
      <c r="A30" s="303" t="s">
        <v>875</v>
      </c>
      <c r="B30" s="302"/>
      <c r="C30" s="475"/>
      <c r="D30" s="475"/>
      <c r="E30" s="480"/>
      <c r="F30" s="481"/>
      <c r="G30" s="475"/>
      <c r="H30" s="482"/>
      <c r="I30" s="483"/>
      <c r="J30" s="475"/>
      <c r="K30" s="482"/>
      <c r="L30" s="479"/>
    </row>
    <row r="31" spans="1:12" ht="13.15" customHeight="1" x14ac:dyDescent="0.25">
      <c r="A31" s="303" t="s">
        <v>876</v>
      </c>
      <c r="B31" s="302"/>
      <c r="C31" s="475"/>
      <c r="D31" s="475"/>
      <c r="E31" s="480"/>
      <c r="F31" s="481"/>
      <c r="G31" s="475"/>
      <c r="H31" s="482"/>
      <c r="I31" s="483"/>
      <c r="J31" s="475"/>
      <c r="K31" s="482"/>
      <c r="L31" s="479"/>
    </row>
    <row r="32" spans="1:12" ht="13.15" customHeight="1" x14ac:dyDescent="0.25">
      <c r="A32" s="303" t="s">
        <v>877</v>
      </c>
      <c r="B32" s="302"/>
      <c r="C32" s="475"/>
      <c r="D32" s="475"/>
      <c r="E32" s="480"/>
      <c r="F32" s="481"/>
      <c r="G32" s="475"/>
      <c r="H32" s="482"/>
      <c r="I32" s="483"/>
      <c r="J32" s="475"/>
      <c r="K32" s="482"/>
      <c r="L32" s="479"/>
    </row>
    <row r="33" spans="1:15" ht="13.15" customHeight="1" x14ac:dyDescent="0.25">
      <c r="A33" s="303" t="s">
        <v>878</v>
      </c>
      <c r="B33" s="302"/>
      <c r="C33" s="475"/>
      <c r="D33" s="475"/>
      <c r="E33" s="480"/>
      <c r="F33" s="481"/>
      <c r="G33" s="475"/>
      <c r="H33" s="482"/>
      <c r="I33" s="483"/>
      <c r="J33" s="475"/>
      <c r="K33" s="482"/>
      <c r="L33" s="479"/>
    </row>
    <row r="34" spans="1:15" ht="13.15" customHeight="1" x14ac:dyDescent="0.25">
      <c r="A34" s="303" t="s">
        <v>879</v>
      </c>
      <c r="B34" s="302"/>
      <c r="C34" s="475"/>
      <c r="D34" s="475"/>
      <c r="E34" s="480"/>
      <c r="F34" s="481"/>
      <c r="G34" s="475"/>
      <c r="H34" s="482"/>
      <c r="I34" s="483"/>
      <c r="J34" s="475"/>
      <c r="K34" s="482"/>
      <c r="L34" s="479"/>
    </row>
    <row r="35" spans="1:15" ht="13.15" customHeight="1" x14ac:dyDescent="0.25">
      <c r="A35" s="303" t="s">
        <v>880</v>
      </c>
      <c r="B35" s="302"/>
      <c r="C35" s="475"/>
      <c r="D35" s="475"/>
      <c r="E35" s="480"/>
      <c r="F35" s="481"/>
      <c r="G35" s="475"/>
      <c r="H35" s="482"/>
      <c r="I35" s="483"/>
      <c r="J35" s="475"/>
      <c r="K35" s="482"/>
      <c r="L35" s="479"/>
    </row>
    <row r="36" spans="1:15" ht="13.15" customHeight="1" x14ac:dyDescent="0.25">
      <c r="A36" s="303" t="s">
        <v>857</v>
      </c>
      <c r="B36" s="302"/>
      <c r="C36" s="475"/>
      <c r="D36" s="475"/>
      <c r="E36" s="480"/>
      <c r="F36" s="481"/>
      <c r="G36" s="475"/>
      <c r="H36" s="482"/>
      <c r="I36" s="483"/>
      <c r="J36" s="475"/>
      <c r="K36" s="482"/>
      <c r="L36" s="479"/>
    </row>
    <row r="37" spans="1:15" ht="13.15" customHeight="1" x14ac:dyDescent="0.25">
      <c r="A37" s="284" t="s">
        <v>881</v>
      </c>
      <c r="B37" s="302"/>
      <c r="C37" s="422">
        <f>SUM(C38:C43)</f>
        <v>0</v>
      </c>
      <c r="D37" s="422">
        <f t="shared" ref="D37:K37" si="5">SUM(D38:D43)</f>
        <v>0</v>
      </c>
      <c r="E37" s="423">
        <f t="shared" si="5"/>
        <v>0</v>
      </c>
      <c r="F37" s="424">
        <f t="shared" si="5"/>
        <v>0</v>
      </c>
      <c r="G37" s="422">
        <f t="shared" si="5"/>
        <v>0</v>
      </c>
      <c r="H37" s="425">
        <f t="shared" si="5"/>
        <v>0</v>
      </c>
      <c r="I37" s="426">
        <f t="shared" si="5"/>
        <v>0</v>
      </c>
      <c r="J37" s="422">
        <f t="shared" si="5"/>
        <v>0</v>
      </c>
      <c r="K37" s="425">
        <f t="shared" si="5"/>
        <v>0</v>
      </c>
      <c r="L37" s="479"/>
      <c r="O37" s="438"/>
    </row>
    <row r="38" spans="1:15" ht="13.15" customHeight="1" x14ac:dyDescent="0.25">
      <c r="A38" s="303" t="s">
        <v>882</v>
      </c>
      <c r="B38" s="302"/>
      <c r="C38" s="475"/>
      <c r="D38" s="475"/>
      <c r="E38" s="480"/>
      <c r="F38" s="481"/>
      <c r="G38" s="475"/>
      <c r="H38" s="482"/>
      <c r="I38" s="483"/>
      <c r="J38" s="475"/>
      <c r="K38" s="482"/>
      <c r="L38" s="479"/>
    </row>
    <row r="39" spans="1:15" ht="13.15" customHeight="1" x14ac:dyDescent="0.25">
      <c r="A39" s="303" t="s">
        <v>497</v>
      </c>
      <c r="B39" s="302"/>
      <c r="C39" s="475"/>
      <c r="D39" s="475"/>
      <c r="E39" s="480"/>
      <c r="F39" s="481"/>
      <c r="G39" s="475"/>
      <c r="H39" s="482"/>
      <c r="I39" s="483"/>
      <c r="J39" s="475"/>
      <c r="K39" s="482"/>
      <c r="L39" s="479"/>
    </row>
    <row r="40" spans="1:15" ht="13.15" customHeight="1" x14ac:dyDescent="0.25">
      <c r="A40" s="303" t="s">
        <v>883</v>
      </c>
      <c r="B40" s="302"/>
      <c r="C40" s="475"/>
      <c r="D40" s="475"/>
      <c r="E40" s="480"/>
      <c r="F40" s="481"/>
      <c r="G40" s="475"/>
      <c r="H40" s="482"/>
      <c r="I40" s="483"/>
      <c r="J40" s="475"/>
      <c r="K40" s="482"/>
      <c r="L40" s="438"/>
    </row>
    <row r="41" spans="1:15" ht="13.15" customHeight="1" x14ac:dyDescent="0.25">
      <c r="A41" s="303" t="s">
        <v>884</v>
      </c>
      <c r="B41" s="302"/>
      <c r="C41" s="475"/>
      <c r="D41" s="475"/>
      <c r="E41" s="480"/>
      <c r="F41" s="481"/>
      <c r="G41" s="475"/>
      <c r="H41" s="482"/>
      <c r="I41" s="483"/>
      <c r="J41" s="475"/>
      <c r="K41" s="482"/>
      <c r="L41" s="479"/>
    </row>
    <row r="42" spans="1:15" ht="13.15" customHeight="1" x14ac:dyDescent="0.25">
      <c r="A42" s="303" t="s">
        <v>885</v>
      </c>
      <c r="B42" s="302"/>
      <c r="C42" s="475"/>
      <c r="D42" s="475"/>
      <c r="E42" s="480"/>
      <c r="F42" s="481"/>
      <c r="G42" s="475"/>
      <c r="H42" s="482"/>
      <c r="I42" s="483"/>
      <c r="J42" s="475"/>
      <c r="K42" s="482"/>
      <c r="L42" s="438"/>
    </row>
    <row r="43" spans="1:15" ht="13.15" customHeight="1" x14ac:dyDescent="0.25">
      <c r="A43" s="303" t="s">
        <v>857</v>
      </c>
      <c r="B43" s="302"/>
      <c r="C43" s="475"/>
      <c r="D43" s="475"/>
      <c r="E43" s="480"/>
      <c r="F43" s="481"/>
      <c r="G43" s="475"/>
      <c r="H43" s="482"/>
      <c r="I43" s="483"/>
      <c r="J43" s="475"/>
      <c r="K43" s="482"/>
      <c r="L43" s="438"/>
    </row>
    <row r="44" spans="1:15" ht="13.15" customHeight="1" x14ac:dyDescent="0.25">
      <c r="A44" s="284" t="s">
        <v>886</v>
      </c>
      <c r="B44" s="302"/>
      <c r="C44" s="422">
        <f>SUM(C45:C51)</f>
        <v>0</v>
      </c>
      <c r="D44" s="422">
        <f t="shared" ref="D44:K44" si="6">SUM(D45:D51)</f>
        <v>0</v>
      </c>
      <c r="E44" s="423">
        <f t="shared" si="6"/>
        <v>0</v>
      </c>
      <c r="F44" s="424">
        <f t="shared" si="6"/>
        <v>0</v>
      </c>
      <c r="G44" s="422">
        <f t="shared" si="6"/>
        <v>0</v>
      </c>
      <c r="H44" s="425">
        <f t="shared" si="6"/>
        <v>0</v>
      </c>
      <c r="I44" s="426">
        <f t="shared" si="6"/>
        <v>0</v>
      </c>
      <c r="J44" s="422">
        <f t="shared" si="6"/>
        <v>0</v>
      </c>
      <c r="K44" s="425">
        <f t="shared" si="6"/>
        <v>0</v>
      </c>
      <c r="L44" s="438"/>
    </row>
    <row r="45" spans="1:15" ht="13.15" customHeight="1" x14ac:dyDescent="0.25">
      <c r="A45" s="303" t="s">
        <v>887</v>
      </c>
      <c r="B45" s="302"/>
      <c r="C45" s="475"/>
      <c r="D45" s="475"/>
      <c r="E45" s="480"/>
      <c r="F45" s="481"/>
      <c r="G45" s="475"/>
      <c r="H45" s="482"/>
      <c r="I45" s="483"/>
      <c r="J45" s="475"/>
      <c r="K45" s="482"/>
      <c r="L45" s="438"/>
    </row>
    <row r="46" spans="1:15" ht="13.15" customHeight="1" x14ac:dyDescent="0.25">
      <c r="A46" s="303" t="s">
        <v>888</v>
      </c>
      <c r="B46" s="302"/>
      <c r="C46" s="475"/>
      <c r="D46" s="475"/>
      <c r="E46" s="480"/>
      <c r="F46" s="481"/>
      <c r="G46" s="475"/>
      <c r="H46" s="482"/>
      <c r="I46" s="483"/>
      <c r="J46" s="475"/>
      <c r="K46" s="482"/>
      <c r="L46" s="438"/>
    </row>
    <row r="47" spans="1:15" ht="13.15" customHeight="1" x14ac:dyDescent="0.25">
      <c r="A47" s="303" t="s">
        <v>889</v>
      </c>
      <c r="B47" s="302"/>
      <c r="C47" s="475"/>
      <c r="D47" s="475"/>
      <c r="E47" s="480"/>
      <c r="F47" s="481"/>
      <c r="G47" s="475"/>
      <c r="H47" s="482"/>
      <c r="I47" s="483"/>
      <c r="J47" s="475"/>
      <c r="K47" s="482"/>
      <c r="L47" s="438"/>
    </row>
    <row r="48" spans="1:15" ht="13.15" customHeight="1" x14ac:dyDescent="0.25">
      <c r="A48" s="303" t="s">
        <v>890</v>
      </c>
      <c r="B48" s="302"/>
      <c r="C48" s="475"/>
      <c r="D48" s="475"/>
      <c r="E48" s="480"/>
      <c r="F48" s="481"/>
      <c r="G48" s="475"/>
      <c r="H48" s="482"/>
      <c r="I48" s="483"/>
      <c r="J48" s="475"/>
      <c r="K48" s="482"/>
      <c r="L48" s="479"/>
    </row>
    <row r="49" spans="1:12" ht="13.15" customHeight="1" x14ac:dyDescent="0.25">
      <c r="A49" s="303" t="s">
        <v>891</v>
      </c>
      <c r="B49" s="302"/>
      <c r="C49" s="475"/>
      <c r="D49" s="475"/>
      <c r="E49" s="480"/>
      <c r="F49" s="481"/>
      <c r="G49" s="475"/>
      <c r="H49" s="482"/>
      <c r="I49" s="483"/>
      <c r="J49" s="475"/>
      <c r="K49" s="482"/>
      <c r="L49" s="438"/>
    </row>
    <row r="50" spans="1:12" ht="13.15" customHeight="1" x14ac:dyDescent="0.25">
      <c r="A50" s="303" t="s">
        <v>892</v>
      </c>
      <c r="B50" s="302"/>
      <c r="C50" s="475"/>
      <c r="D50" s="475"/>
      <c r="E50" s="480"/>
      <c r="F50" s="481"/>
      <c r="G50" s="475"/>
      <c r="H50" s="482"/>
      <c r="I50" s="483"/>
      <c r="J50" s="475"/>
      <c r="K50" s="482"/>
      <c r="L50" s="438"/>
    </row>
    <row r="51" spans="1:12" ht="13.15" customHeight="1" x14ac:dyDescent="0.25">
      <c r="A51" s="303" t="s">
        <v>857</v>
      </c>
      <c r="B51" s="302"/>
      <c r="C51" s="475"/>
      <c r="D51" s="475"/>
      <c r="E51" s="480"/>
      <c r="F51" s="481"/>
      <c r="G51" s="475"/>
      <c r="H51" s="482"/>
      <c r="I51" s="483"/>
      <c r="J51" s="475"/>
      <c r="K51" s="482"/>
      <c r="L51" s="438"/>
    </row>
    <row r="52" spans="1:12" ht="13.15" customHeight="1" x14ac:dyDescent="0.25">
      <c r="A52" s="285" t="s">
        <v>893</v>
      </c>
      <c r="B52" s="302"/>
      <c r="C52" s="422">
        <f t="shared" ref="C52:K52" si="7">SUM(C53:C61)</f>
        <v>0</v>
      </c>
      <c r="D52" s="422">
        <f t="shared" si="7"/>
        <v>0</v>
      </c>
      <c r="E52" s="423">
        <f t="shared" si="7"/>
        <v>0</v>
      </c>
      <c r="F52" s="424">
        <f t="shared" si="7"/>
        <v>0</v>
      </c>
      <c r="G52" s="422">
        <f t="shared" si="7"/>
        <v>0</v>
      </c>
      <c r="H52" s="425">
        <f t="shared" si="7"/>
        <v>0</v>
      </c>
      <c r="I52" s="426">
        <f t="shared" si="7"/>
        <v>0</v>
      </c>
      <c r="J52" s="422">
        <f t="shared" si="7"/>
        <v>0</v>
      </c>
      <c r="K52" s="425">
        <f t="shared" si="7"/>
        <v>0</v>
      </c>
      <c r="L52" s="479"/>
    </row>
    <row r="53" spans="1:12" ht="13.15" customHeight="1" x14ac:dyDescent="0.25">
      <c r="A53" s="303" t="s">
        <v>894</v>
      </c>
      <c r="B53" s="302"/>
      <c r="C53" s="475"/>
      <c r="D53" s="475"/>
      <c r="E53" s="480"/>
      <c r="F53" s="481"/>
      <c r="G53" s="475"/>
      <c r="H53" s="482"/>
      <c r="I53" s="483"/>
      <c r="J53" s="475"/>
      <c r="K53" s="482"/>
      <c r="L53" s="438"/>
    </row>
    <row r="54" spans="1:12" ht="13.15" customHeight="1" x14ac:dyDescent="0.25">
      <c r="A54" s="303" t="s">
        <v>895</v>
      </c>
      <c r="B54" s="302"/>
      <c r="C54" s="475"/>
      <c r="D54" s="475"/>
      <c r="E54" s="480"/>
      <c r="F54" s="481"/>
      <c r="G54" s="475"/>
      <c r="H54" s="482"/>
      <c r="I54" s="483"/>
      <c r="J54" s="475"/>
      <c r="K54" s="482"/>
      <c r="L54" s="479"/>
    </row>
    <row r="55" spans="1:12" ht="13.15" customHeight="1" x14ac:dyDescent="0.25">
      <c r="A55" s="303" t="s">
        <v>896</v>
      </c>
      <c r="B55" s="302"/>
      <c r="C55" s="475"/>
      <c r="D55" s="475"/>
      <c r="E55" s="480"/>
      <c r="F55" s="481"/>
      <c r="G55" s="475"/>
      <c r="H55" s="482"/>
      <c r="I55" s="483"/>
      <c r="J55" s="475"/>
      <c r="K55" s="482"/>
      <c r="L55" s="479"/>
    </row>
    <row r="56" spans="1:12" ht="13.15" customHeight="1" x14ac:dyDescent="0.25">
      <c r="A56" s="303" t="s">
        <v>859</v>
      </c>
      <c r="B56" s="302"/>
      <c r="C56" s="475"/>
      <c r="D56" s="475"/>
      <c r="E56" s="480"/>
      <c r="F56" s="481"/>
      <c r="G56" s="475"/>
      <c r="H56" s="482"/>
      <c r="I56" s="483"/>
      <c r="J56" s="475"/>
      <c r="K56" s="482"/>
      <c r="L56" s="479"/>
    </row>
    <row r="57" spans="1:12" ht="13.15" customHeight="1" x14ac:dyDescent="0.25">
      <c r="A57" s="303" t="s">
        <v>860</v>
      </c>
      <c r="B57" s="302"/>
      <c r="C57" s="475"/>
      <c r="D57" s="475"/>
      <c r="E57" s="480"/>
      <c r="F57" s="481"/>
      <c r="G57" s="475"/>
      <c r="H57" s="482"/>
      <c r="I57" s="483"/>
      <c r="J57" s="475"/>
      <c r="K57" s="482"/>
      <c r="L57" s="479"/>
    </row>
    <row r="58" spans="1:12" ht="13.15" customHeight="1" x14ac:dyDescent="0.25">
      <c r="A58" s="303" t="s">
        <v>861</v>
      </c>
      <c r="B58" s="302"/>
      <c r="C58" s="475"/>
      <c r="D58" s="475"/>
      <c r="E58" s="480"/>
      <c r="F58" s="481"/>
      <c r="G58" s="475"/>
      <c r="H58" s="482"/>
      <c r="I58" s="483"/>
      <c r="J58" s="475"/>
      <c r="K58" s="482"/>
      <c r="L58" s="474"/>
    </row>
    <row r="59" spans="1:12" ht="13.15" customHeight="1" x14ac:dyDescent="0.25">
      <c r="A59" s="303" t="s">
        <v>867</v>
      </c>
      <c r="B59" s="302"/>
      <c r="C59" s="475"/>
      <c r="D59" s="475"/>
      <c r="E59" s="480"/>
      <c r="F59" s="481"/>
      <c r="G59" s="475"/>
      <c r="H59" s="482"/>
      <c r="I59" s="483"/>
      <c r="J59" s="475"/>
      <c r="K59" s="482"/>
      <c r="L59" s="479"/>
    </row>
    <row r="60" spans="1:12" ht="13.15" customHeight="1" x14ac:dyDescent="0.25">
      <c r="A60" s="303" t="s">
        <v>870</v>
      </c>
      <c r="B60" s="302"/>
      <c r="C60" s="475"/>
      <c r="D60" s="475"/>
      <c r="E60" s="480"/>
      <c r="F60" s="481"/>
      <c r="G60" s="475"/>
      <c r="H60" s="482"/>
      <c r="I60" s="483"/>
      <c r="J60" s="475"/>
      <c r="K60" s="482"/>
      <c r="L60" s="479"/>
    </row>
    <row r="61" spans="1:12" ht="13.15" customHeight="1" x14ac:dyDescent="0.25">
      <c r="A61" s="303" t="s">
        <v>857</v>
      </c>
      <c r="B61" s="302"/>
      <c r="C61" s="475"/>
      <c r="D61" s="475"/>
      <c r="E61" s="480"/>
      <c r="F61" s="481"/>
      <c r="G61" s="475"/>
      <c r="H61" s="482"/>
      <c r="I61" s="483"/>
      <c r="J61" s="475"/>
      <c r="K61" s="482"/>
      <c r="L61" s="479"/>
    </row>
    <row r="62" spans="1:12" ht="13.15" customHeight="1" x14ac:dyDescent="0.25">
      <c r="A62" s="284" t="s">
        <v>897</v>
      </c>
      <c r="B62" s="302"/>
      <c r="C62" s="422">
        <f>SUM(C63:C67)</f>
        <v>0</v>
      </c>
      <c r="D62" s="422">
        <f t="shared" ref="D62:K62" si="8">SUM(D63:D67)</f>
        <v>0</v>
      </c>
      <c r="E62" s="423">
        <f t="shared" si="8"/>
        <v>0</v>
      </c>
      <c r="F62" s="424">
        <f t="shared" si="8"/>
        <v>0</v>
      </c>
      <c r="G62" s="422">
        <f t="shared" si="8"/>
        <v>0</v>
      </c>
      <c r="H62" s="425">
        <f t="shared" si="8"/>
        <v>0</v>
      </c>
      <c r="I62" s="426">
        <f t="shared" si="8"/>
        <v>0</v>
      </c>
      <c r="J62" s="422">
        <f t="shared" si="8"/>
        <v>0</v>
      </c>
      <c r="K62" s="425">
        <f t="shared" si="8"/>
        <v>0</v>
      </c>
      <c r="L62" s="479"/>
    </row>
    <row r="63" spans="1:12" ht="13.15" customHeight="1" x14ac:dyDescent="0.25">
      <c r="A63" s="303" t="s">
        <v>898</v>
      </c>
      <c r="B63" s="302"/>
      <c r="C63" s="475"/>
      <c r="D63" s="475"/>
      <c r="E63" s="480"/>
      <c r="F63" s="481"/>
      <c r="G63" s="475"/>
      <c r="H63" s="482"/>
      <c r="I63" s="483"/>
      <c r="J63" s="475"/>
      <c r="K63" s="482"/>
      <c r="L63" s="479"/>
    </row>
    <row r="64" spans="1:12" ht="13.15" customHeight="1" x14ac:dyDescent="0.25">
      <c r="A64" s="303" t="s">
        <v>899</v>
      </c>
      <c r="B64" s="302"/>
      <c r="C64" s="475"/>
      <c r="D64" s="475"/>
      <c r="E64" s="480"/>
      <c r="F64" s="481"/>
      <c r="G64" s="475"/>
      <c r="H64" s="482"/>
      <c r="I64" s="483"/>
      <c r="J64" s="475"/>
      <c r="K64" s="482"/>
      <c r="L64" s="438"/>
    </row>
    <row r="65" spans="1:12" ht="13.15" customHeight="1" x14ac:dyDescent="0.25">
      <c r="A65" s="303" t="s">
        <v>900</v>
      </c>
      <c r="B65" s="302"/>
      <c r="C65" s="475"/>
      <c r="D65" s="475"/>
      <c r="E65" s="480"/>
      <c r="F65" s="481"/>
      <c r="G65" s="475"/>
      <c r="H65" s="482"/>
      <c r="I65" s="483"/>
      <c r="J65" s="475"/>
      <c r="K65" s="482"/>
      <c r="L65" s="438"/>
    </row>
    <row r="66" spans="1:12" ht="13.15" customHeight="1" x14ac:dyDescent="0.25">
      <c r="A66" s="303" t="s">
        <v>901</v>
      </c>
      <c r="B66" s="302"/>
      <c r="C66" s="475"/>
      <c r="D66" s="475"/>
      <c r="E66" s="480"/>
      <c r="F66" s="481"/>
      <c r="G66" s="475"/>
      <c r="H66" s="482"/>
      <c r="I66" s="483"/>
      <c r="J66" s="475"/>
      <c r="K66" s="482"/>
      <c r="L66" s="438"/>
    </row>
    <row r="67" spans="1:12" ht="13.15" customHeight="1" x14ac:dyDescent="0.25">
      <c r="A67" s="303" t="s">
        <v>857</v>
      </c>
      <c r="B67" s="302"/>
      <c r="C67" s="475"/>
      <c r="D67" s="475"/>
      <c r="E67" s="480"/>
      <c r="F67" s="481"/>
      <c r="G67" s="475"/>
      <c r="H67" s="482"/>
      <c r="I67" s="483"/>
      <c r="J67" s="475"/>
      <c r="K67" s="482"/>
      <c r="L67" s="438"/>
    </row>
    <row r="68" spans="1:12" ht="13.15" customHeight="1" x14ac:dyDescent="0.25">
      <c r="A68" s="285" t="s">
        <v>902</v>
      </c>
      <c r="B68" s="302"/>
      <c r="C68" s="422">
        <f>SUM(C69:C72)</f>
        <v>0</v>
      </c>
      <c r="D68" s="422">
        <f t="shared" ref="D68:K68" si="9">SUM(D69:D72)</f>
        <v>0</v>
      </c>
      <c r="E68" s="422">
        <f t="shared" si="9"/>
        <v>0</v>
      </c>
      <c r="F68" s="424">
        <f t="shared" si="9"/>
        <v>0</v>
      </c>
      <c r="G68" s="422">
        <f t="shared" si="9"/>
        <v>0</v>
      </c>
      <c r="H68" s="425">
        <f t="shared" si="9"/>
        <v>0</v>
      </c>
      <c r="I68" s="426">
        <f t="shared" si="9"/>
        <v>0</v>
      </c>
      <c r="J68" s="422">
        <f t="shared" si="9"/>
        <v>0</v>
      </c>
      <c r="K68" s="425">
        <f t="shared" si="9"/>
        <v>0</v>
      </c>
      <c r="L68" s="438"/>
    </row>
    <row r="69" spans="1:12" ht="13.15" customHeight="1" x14ac:dyDescent="0.25">
      <c r="A69" s="303" t="s">
        <v>903</v>
      </c>
      <c r="B69" s="302"/>
      <c r="C69" s="475"/>
      <c r="D69" s="475"/>
      <c r="E69" s="478"/>
      <c r="F69" s="477"/>
      <c r="G69" s="475"/>
      <c r="H69" s="478"/>
      <c r="I69" s="477"/>
      <c r="J69" s="475"/>
      <c r="K69" s="482"/>
      <c r="L69" s="438"/>
    </row>
    <row r="70" spans="1:12" ht="13.15" customHeight="1" x14ac:dyDescent="0.25">
      <c r="A70" s="303" t="s">
        <v>904</v>
      </c>
      <c r="B70" s="302"/>
      <c r="C70" s="475"/>
      <c r="D70" s="475"/>
      <c r="E70" s="476"/>
      <c r="F70" s="477"/>
      <c r="G70" s="475"/>
      <c r="H70" s="478"/>
      <c r="I70" s="477"/>
      <c r="J70" s="475"/>
      <c r="K70" s="482"/>
      <c r="L70" s="438"/>
    </row>
    <row r="71" spans="1:12" ht="13.15" customHeight="1" x14ac:dyDescent="0.25">
      <c r="A71" s="303" t="s">
        <v>905</v>
      </c>
      <c r="B71" s="302"/>
      <c r="C71" s="475"/>
      <c r="D71" s="475"/>
      <c r="E71" s="476"/>
      <c r="F71" s="477"/>
      <c r="G71" s="475"/>
      <c r="H71" s="478"/>
      <c r="I71" s="477"/>
      <c r="J71" s="475"/>
      <c r="K71" s="476"/>
      <c r="L71" s="438"/>
    </row>
    <row r="72" spans="1:12" ht="13.15" customHeight="1" x14ac:dyDescent="0.25">
      <c r="A72" s="303" t="s">
        <v>857</v>
      </c>
      <c r="B72" s="302"/>
      <c r="C72" s="475"/>
      <c r="D72" s="475"/>
      <c r="E72" s="476"/>
      <c r="F72" s="477"/>
      <c r="G72" s="475"/>
      <c r="H72" s="478"/>
      <c r="I72" s="477"/>
      <c r="J72" s="475"/>
      <c r="K72" s="476"/>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f t="shared" si="10"/>
        <v>0</v>
      </c>
      <c r="F74" s="292">
        <f t="shared" si="10"/>
        <v>0</v>
      </c>
      <c r="G74" s="293">
        <f t="shared" si="10"/>
        <v>0</v>
      </c>
      <c r="H74" s="291">
        <f t="shared" si="10"/>
        <v>0</v>
      </c>
      <c r="I74" s="292">
        <f t="shared" si="10"/>
        <v>0</v>
      </c>
      <c r="J74" s="293">
        <f t="shared" si="10"/>
        <v>0</v>
      </c>
      <c r="K74" s="294">
        <f t="shared" si="10"/>
        <v>0</v>
      </c>
      <c r="L74" s="438"/>
    </row>
    <row r="75" spans="1:12" ht="13.15" customHeight="1" x14ac:dyDescent="0.25">
      <c r="A75" s="285" t="s">
        <v>907</v>
      </c>
      <c r="B75" s="302"/>
      <c r="C75" s="417">
        <f>SUM(C76:C97)</f>
        <v>0</v>
      </c>
      <c r="D75" s="417">
        <f t="shared" ref="D75:K75" si="11">SUM(D76:D97)</f>
        <v>0</v>
      </c>
      <c r="E75" s="418">
        <f t="shared" si="11"/>
        <v>0</v>
      </c>
      <c r="F75" s="419">
        <f t="shared" si="11"/>
        <v>0</v>
      </c>
      <c r="G75" s="417">
        <f t="shared" si="11"/>
        <v>0</v>
      </c>
      <c r="H75" s="420">
        <f t="shared" si="11"/>
        <v>0</v>
      </c>
      <c r="I75" s="419">
        <f t="shared" si="11"/>
        <v>0</v>
      </c>
      <c r="J75" s="417">
        <f t="shared" si="11"/>
        <v>0</v>
      </c>
      <c r="K75" s="420">
        <f t="shared" si="11"/>
        <v>0</v>
      </c>
      <c r="L75" s="438"/>
    </row>
    <row r="76" spans="1:12" ht="13.15" customHeight="1" x14ac:dyDescent="0.25">
      <c r="A76" s="303" t="s">
        <v>908</v>
      </c>
      <c r="B76" s="302"/>
      <c r="C76" s="475"/>
      <c r="D76" s="475"/>
      <c r="E76" s="476"/>
      <c r="F76" s="477"/>
      <c r="G76" s="475"/>
      <c r="H76" s="478"/>
      <c r="I76" s="477"/>
      <c r="J76" s="475"/>
      <c r="K76" s="476"/>
      <c r="L76" s="438"/>
    </row>
    <row r="77" spans="1:12" ht="13.15" customHeight="1" x14ac:dyDescent="0.25">
      <c r="A77" s="303" t="s">
        <v>909</v>
      </c>
      <c r="B77" s="302"/>
      <c r="C77" s="475"/>
      <c r="D77" s="475"/>
      <c r="E77" s="476"/>
      <c r="F77" s="477"/>
      <c r="G77" s="475"/>
      <c r="H77" s="478"/>
      <c r="I77" s="477"/>
      <c r="J77" s="475"/>
      <c r="K77" s="476"/>
      <c r="L77" s="438"/>
    </row>
    <row r="78" spans="1:12" ht="13.15" customHeight="1" x14ac:dyDescent="0.25">
      <c r="A78" s="303" t="s">
        <v>910</v>
      </c>
      <c r="B78" s="302"/>
      <c r="C78" s="475"/>
      <c r="D78" s="475"/>
      <c r="E78" s="476"/>
      <c r="F78" s="477"/>
      <c r="G78" s="475"/>
      <c r="H78" s="478"/>
      <c r="I78" s="477"/>
      <c r="J78" s="475"/>
      <c r="K78" s="476"/>
      <c r="L78" s="438"/>
    </row>
    <row r="79" spans="1:12" ht="13.15" customHeight="1" x14ac:dyDescent="0.25">
      <c r="A79" s="303" t="s">
        <v>911</v>
      </c>
      <c r="B79" s="302"/>
      <c r="C79" s="475"/>
      <c r="D79" s="475"/>
      <c r="E79" s="476"/>
      <c r="F79" s="477"/>
      <c r="G79" s="475"/>
      <c r="H79" s="478"/>
      <c r="I79" s="477"/>
      <c r="J79" s="475"/>
      <c r="K79" s="476"/>
      <c r="L79" s="438"/>
    </row>
    <row r="80" spans="1:12" ht="13.15" customHeight="1" x14ac:dyDescent="0.25">
      <c r="A80" s="303" t="s">
        <v>912</v>
      </c>
      <c r="B80" s="302"/>
      <c r="C80" s="475"/>
      <c r="D80" s="475"/>
      <c r="E80" s="476"/>
      <c r="F80" s="477"/>
      <c r="G80" s="475"/>
      <c r="H80" s="478"/>
      <c r="I80" s="477"/>
      <c r="J80" s="475"/>
      <c r="K80" s="476"/>
      <c r="L80" s="438"/>
    </row>
    <row r="81" spans="1:12" ht="13.15" customHeight="1" x14ac:dyDescent="0.25">
      <c r="A81" s="303" t="s">
        <v>913</v>
      </c>
      <c r="B81" s="302"/>
      <c r="C81" s="475"/>
      <c r="D81" s="475"/>
      <c r="E81" s="476"/>
      <c r="F81" s="477"/>
      <c r="G81" s="475"/>
      <c r="H81" s="478"/>
      <c r="I81" s="477"/>
      <c r="J81" s="475"/>
      <c r="K81" s="476"/>
      <c r="L81" s="438"/>
    </row>
    <row r="82" spans="1:12" ht="13.15" customHeight="1" x14ac:dyDescent="0.25">
      <c r="A82" s="303" t="s">
        <v>914</v>
      </c>
      <c r="B82" s="302"/>
      <c r="C82" s="475"/>
      <c r="D82" s="475"/>
      <c r="E82" s="476"/>
      <c r="F82" s="477"/>
      <c r="G82" s="475"/>
      <c r="H82" s="478"/>
      <c r="I82" s="477"/>
      <c r="J82" s="475"/>
      <c r="K82" s="476"/>
      <c r="L82" s="438"/>
    </row>
    <row r="83" spans="1:12" ht="13.15" customHeight="1" x14ac:dyDescent="0.25">
      <c r="A83" s="303" t="s">
        <v>915</v>
      </c>
      <c r="B83" s="302"/>
      <c r="C83" s="475"/>
      <c r="D83" s="475"/>
      <c r="E83" s="476"/>
      <c r="F83" s="477"/>
      <c r="G83" s="475"/>
      <c r="H83" s="478"/>
      <c r="I83" s="477"/>
      <c r="J83" s="475"/>
      <c r="K83" s="476"/>
      <c r="L83" s="438"/>
    </row>
    <row r="84" spans="1:12" s="376" customFormat="1" ht="13.15" customHeight="1" x14ac:dyDescent="0.25">
      <c r="A84" s="303" t="s">
        <v>916</v>
      </c>
      <c r="B84" s="302"/>
      <c r="C84" s="475"/>
      <c r="D84" s="475"/>
      <c r="E84" s="476"/>
      <c r="F84" s="477"/>
      <c r="G84" s="475"/>
      <c r="H84" s="478"/>
      <c r="I84" s="477"/>
      <c r="J84" s="475"/>
      <c r="K84" s="476"/>
      <c r="L84" s="484"/>
    </row>
    <row r="85" spans="1:12" s="376" customFormat="1" ht="13.15" customHeight="1" x14ac:dyDescent="0.25">
      <c r="A85" s="303" t="s">
        <v>89</v>
      </c>
      <c r="B85" s="302"/>
      <c r="C85" s="475"/>
      <c r="D85" s="475"/>
      <c r="E85" s="476"/>
      <c r="F85" s="477"/>
      <c r="G85" s="475"/>
      <c r="H85" s="478"/>
      <c r="I85" s="477"/>
      <c r="J85" s="475"/>
      <c r="K85" s="476"/>
    </row>
    <row r="86" spans="1:12" s="376" customFormat="1" ht="13.15" customHeight="1" x14ac:dyDescent="0.25">
      <c r="A86" s="303" t="s">
        <v>917</v>
      </c>
      <c r="B86" s="302"/>
      <c r="C86" s="475"/>
      <c r="D86" s="475"/>
      <c r="E86" s="476"/>
      <c r="F86" s="477"/>
      <c r="G86" s="475"/>
      <c r="H86" s="478"/>
      <c r="I86" s="477"/>
      <c r="J86" s="475"/>
      <c r="K86" s="476"/>
    </row>
    <row r="87" spans="1:12" ht="13.15" customHeight="1" x14ac:dyDescent="0.25">
      <c r="A87" s="303" t="s">
        <v>918</v>
      </c>
      <c r="B87" s="302"/>
      <c r="C87" s="475"/>
      <c r="D87" s="475"/>
      <c r="E87" s="476"/>
      <c r="F87" s="477"/>
      <c r="G87" s="475"/>
      <c r="H87" s="478"/>
      <c r="I87" s="477"/>
      <c r="J87" s="475"/>
      <c r="K87" s="476"/>
    </row>
    <row r="88" spans="1:12" ht="13.15" customHeight="1" x14ac:dyDescent="0.25">
      <c r="A88" s="303" t="s">
        <v>1021</v>
      </c>
      <c r="B88" s="302"/>
      <c r="C88" s="475"/>
      <c r="D88" s="475"/>
      <c r="E88" s="476"/>
      <c r="F88" s="477"/>
      <c r="G88" s="475"/>
      <c r="H88" s="478"/>
      <c r="I88" s="477"/>
      <c r="J88" s="475"/>
      <c r="K88" s="476"/>
    </row>
    <row r="89" spans="1:12" ht="13.15" customHeight="1" x14ac:dyDescent="0.25">
      <c r="A89" s="303" t="s">
        <v>919</v>
      </c>
      <c r="B89" s="302"/>
      <c r="C89" s="475"/>
      <c r="D89" s="475"/>
      <c r="E89" s="476"/>
      <c r="F89" s="477"/>
      <c r="G89" s="475"/>
      <c r="H89" s="478"/>
      <c r="I89" s="477"/>
      <c r="J89" s="475"/>
      <c r="K89" s="476"/>
    </row>
    <row r="90" spans="1:12" ht="13.15" customHeight="1" x14ac:dyDescent="0.25">
      <c r="A90" s="303" t="s">
        <v>920</v>
      </c>
      <c r="B90" s="302"/>
      <c r="C90" s="475"/>
      <c r="D90" s="475"/>
      <c r="E90" s="476"/>
      <c r="F90" s="477"/>
      <c r="G90" s="475"/>
      <c r="H90" s="478"/>
      <c r="I90" s="477"/>
      <c r="J90" s="475"/>
      <c r="K90" s="476"/>
    </row>
    <row r="91" spans="1:12" ht="13.15" customHeight="1" x14ac:dyDescent="0.25">
      <c r="A91" s="303" t="s">
        <v>921</v>
      </c>
      <c r="B91" s="302"/>
      <c r="C91" s="475"/>
      <c r="D91" s="475"/>
      <c r="E91" s="476"/>
      <c r="F91" s="477"/>
      <c r="G91" s="475"/>
      <c r="H91" s="478"/>
      <c r="I91" s="477"/>
      <c r="J91" s="475"/>
      <c r="K91" s="476"/>
    </row>
    <row r="92" spans="1:12" ht="13.15" customHeight="1" x14ac:dyDescent="0.25">
      <c r="A92" s="303" t="s">
        <v>11</v>
      </c>
      <c r="B92" s="302"/>
      <c r="C92" s="475"/>
      <c r="D92" s="475"/>
      <c r="E92" s="476"/>
      <c r="F92" s="477"/>
      <c r="G92" s="475"/>
      <c r="H92" s="478"/>
      <c r="I92" s="477"/>
      <c r="J92" s="475"/>
      <c r="K92" s="476"/>
    </row>
    <row r="93" spans="1:12" ht="13.15" customHeight="1" x14ac:dyDescent="0.25">
      <c r="A93" s="303" t="s">
        <v>922</v>
      </c>
      <c r="B93" s="302"/>
      <c r="C93" s="475"/>
      <c r="D93" s="475"/>
      <c r="E93" s="476"/>
      <c r="F93" s="477"/>
      <c r="G93" s="475"/>
      <c r="H93" s="478"/>
      <c r="I93" s="477"/>
      <c r="J93" s="475"/>
      <c r="K93" s="476"/>
    </row>
    <row r="94" spans="1:12" ht="13.15" customHeight="1" x14ac:dyDescent="0.25">
      <c r="A94" s="303" t="s">
        <v>10</v>
      </c>
      <c r="B94" s="302"/>
      <c r="C94" s="475"/>
      <c r="D94" s="475"/>
      <c r="E94" s="476"/>
      <c r="F94" s="477"/>
      <c r="G94" s="475"/>
      <c r="H94" s="478"/>
      <c r="I94" s="477"/>
      <c r="J94" s="475"/>
      <c r="K94" s="476"/>
    </row>
    <row r="95" spans="1:12" ht="13.15" customHeight="1" x14ac:dyDescent="0.25">
      <c r="A95" s="303" t="s">
        <v>923</v>
      </c>
      <c r="B95" s="302"/>
      <c r="C95" s="475"/>
      <c r="D95" s="475"/>
      <c r="E95" s="476"/>
      <c r="F95" s="477"/>
      <c r="G95" s="475"/>
      <c r="H95" s="478"/>
      <c r="I95" s="477"/>
      <c r="J95" s="475"/>
      <c r="K95" s="476"/>
    </row>
    <row r="96" spans="1:12" ht="13.15" customHeight="1" x14ac:dyDescent="0.25">
      <c r="A96" s="303" t="s">
        <v>924</v>
      </c>
      <c r="B96" s="302"/>
      <c r="C96" s="475"/>
      <c r="D96" s="475"/>
      <c r="E96" s="476"/>
      <c r="F96" s="477"/>
      <c r="G96" s="475"/>
      <c r="H96" s="478"/>
      <c r="I96" s="477"/>
      <c r="J96" s="475"/>
      <c r="K96" s="476"/>
    </row>
    <row r="97" spans="1:11" ht="13.15" customHeight="1" x14ac:dyDescent="0.25">
      <c r="A97" s="303" t="s">
        <v>857</v>
      </c>
      <c r="B97" s="302"/>
      <c r="C97" s="475"/>
      <c r="D97" s="475"/>
      <c r="E97" s="476"/>
      <c r="F97" s="477"/>
      <c r="G97" s="475"/>
      <c r="H97" s="478"/>
      <c r="I97" s="477"/>
      <c r="J97" s="475"/>
      <c r="K97" s="476"/>
    </row>
    <row r="98" spans="1:11" ht="13.15" customHeight="1" x14ac:dyDescent="0.25">
      <c r="A98" s="285" t="s">
        <v>925</v>
      </c>
      <c r="B98" s="302"/>
      <c r="C98" s="422">
        <f>SUM(C99:C101)</f>
        <v>0</v>
      </c>
      <c r="D98" s="422">
        <f t="shared" ref="D98:K98" si="12">SUM(D99:D101)</f>
        <v>0</v>
      </c>
      <c r="E98" s="422">
        <f t="shared" si="12"/>
        <v>0</v>
      </c>
      <c r="F98" s="424">
        <f t="shared" si="12"/>
        <v>0</v>
      </c>
      <c r="G98" s="422">
        <f t="shared" si="12"/>
        <v>0</v>
      </c>
      <c r="H98" s="425">
        <f t="shared" si="12"/>
        <v>0</v>
      </c>
      <c r="I98" s="426">
        <f t="shared" si="12"/>
        <v>0</v>
      </c>
      <c r="J98" s="422">
        <f t="shared" si="12"/>
        <v>0</v>
      </c>
      <c r="K98" s="425">
        <f t="shared" si="12"/>
        <v>0</v>
      </c>
    </row>
    <row r="99" spans="1:11" ht="13.15" customHeight="1" x14ac:dyDescent="0.25">
      <c r="A99" s="303" t="s">
        <v>926</v>
      </c>
      <c r="B99" s="302"/>
      <c r="C99" s="475"/>
      <c r="D99" s="475"/>
      <c r="E99" s="478"/>
      <c r="F99" s="477"/>
      <c r="G99" s="475"/>
      <c r="H99" s="478"/>
      <c r="I99" s="477"/>
      <c r="J99" s="475"/>
      <c r="K99" s="482"/>
    </row>
    <row r="100" spans="1:11" ht="13.15" customHeight="1" x14ac:dyDescent="0.25">
      <c r="A100" s="303" t="s">
        <v>927</v>
      </c>
      <c r="B100" s="302"/>
      <c r="C100" s="475"/>
      <c r="D100" s="475"/>
      <c r="E100" s="476"/>
      <c r="F100" s="477"/>
      <c r="G100" s="475"/>
      <c r="H100" s="478"/>
      <c r="I100" s="477"/>
      <c r="J100" s="475"/>
      <c r="K100" s="482"/>
    </row>
    <row r="101" spans="1:11" ht="13.15" customHeight="1" x14ac:dyDescent="0.25">
      <c r="A101" s="303" t="s">
        <v>857</v>
      </c>
      <c r="B101" s="302"/>
      <c r="C101" s="475"/>
      <c r="D101" s="475"/>
      <c r="E101" s="476"/>
      <c r="F101" s="477"/>
      <c r="G101" s="475"/>
      <c r="H101" s="478"/>
      <c r="I101" s="477"/>
      <c r="J101" s="475"/>
      <c r="K101" s="476"/>
    </row>
    <row r="102" spans="1:11" ht="5.0999999999999996" customHeight="1" x14ac:dyDescent="0.25">
      <c r="A102" s="305"/>
      <c r="B102" s="302"/>
      <c r="C102" s="25"/>
      <c r="D102" s="25"/>
      <c r="E102" s="306"/>
      <c r="F102" s="307"/>
      <c r="G102" s="25"/>
      <c r="H102" s="24"/>
      <c r="I102" s="307"/>
      <c r="J102" s="25"/>
      <c r="K102" s="306"/>
    </row>
    <row r="103" spans="1:11" ht="13.15" customHeight="1" x14ac:dyDescent="0.25">
      <c r="A103" s="301" t="s">
        <v>185</v>
      </c>
      <c r="B103" s="302"/>
      <c r="C103" s="25">
        <f>SUM(C104:C108)</f>
        <v>0</v>
      </c>
      <c r="D103" s="25">
        <f t="shared" ref="D103:K103" si="13">SUM(D104:D108)</f>
        <v>0</v>
      </c>
      <c r="E103" s="306">
        <f t="shared" si="13"/>
        <v>0</v>
      </c>
      <c r="F103" s="307">
        <f t="shared" si="13"/>
        <v>0</v>
      </c>
      <c r="G103" s="25">
        <f t="shared" si="13"/>
        <v>0</v>
      </c>
      <c r="H103" s="24">
        <f t="shared" si="13"/>
        <v>0</v>
      </c>
      <c r="I103" s="307">
        <f t="shared" si="13"/>
        <v>0</v>
      </c>
      <c r="J103" s="25">
        <f t="shared" si="13"/>
        <v>0</v>
      </c>
      <c r="K103" s="306">
        <f t="shared" si="13"/>
        <v>0</v>
      </c>
    </row>
    <row r="104" spans="1:11" ht="13.15" customHeight="1" x14ac:dyDescent="0.25">
      <c r="A104" s="285" t="s">
        <v>928</v>
      </c>
      <c r="B104" s="302"/>
      <c r="C104" s="485"/>
      <c r="D104" s="485"/>
      <c r="E104" s="486"/>
      <c r="F104" s="487"/>
      <c r="G104" s="485"/>
      <c r="H104" s="488"/>
      <c r="I104" s="487"/>
      <c r="J104" s="485"/>
      <c r="K104" s="486"/>
    </row>
    <row r="105" spans="1:11" ht="13.15" customHeight="1" x14ac:dyDescent="0.25">
      <c r="A105" s="284" t="s">
        <v>929</v>
      </c>
      <c r="B105" s="302"/>
      <c r="C105" s="489"/>
      <c r="D105" s="489"/>
      <c r="E105" s="490"/>
      <c r="F105" s="491"/>
      <c r="G105" s="489"/>
      <c r="H105" s="492"/>
      <c r="I105" s="491"/>
      <c r="J105" s="489"/>
      <c r="K105" s="490"/>
    </row>
    <row r="106" spans="1:11" ht="13.15" customHeight="1" x14ac:dyDescent="0.25">
      <c r="A106" s="285" t="s">
        <v>930</v>
      </c>
      <c r="B106" s="302"/>
      <c r="C106" s="489"/>
      <c r="D106" s="489"/>
      <c r="E106" s="490"/>
      <c r="F106" s="491"/>
      <c r="G106" s="489"/>
      <c r="H106" s="492"/>
      <c r="I106" s="491"/>
      <c r="J106" s="489"/>
      <c r="K106" s="490"/>
    </row>
    <row r="107" spans="1:11" ht="13.15" customHeight="1" x14ac:dyDescent="0.25">
      <c r="A107" s="285" t="s">
        <v>931</v>
      </c>
      <c r="B107" s="302"/>
      <c r="C107" s="489"/>
      <c r="D107" s="489"/>
      <c r="E107" s="490"/>
      <c r="F107" s="491"/>
      <c r="G107" s="489"/>
      <c r="H107" s="492"/>
      <c r="I107" s="491"/>
      <c r="J107" s="489"/>
      <c r="K107" s="490"/>
    </row>
    <row r="108" spans="1:11" ht="13.15" customHeight="1" x14ac:dyDescent="0.25">
      <c r="A108" s="284" t="s">
        <v>932</v>
      </c>
      <c r="B108" s="302"/>
      <c r="C108" s="489"/>
      <c r="D108" s="489"/>
      <c r="E108" s="490"/>
      <c r="F108" s="491"/>
      <c r="G108" s="489"/>
      <c r="H108" s="492"/>
      <c r="I108" s="491"/>
      <c r="J108" s="489"/>
      <c r="K108" s="490"/>
    </row>
    <row r="109" spans="1:11" ht="5.0999999999999996" customHeight="1" x14ac:dyDescent="0.25">
      <c r="A109" s="493"/>
      <c r="B109" s="302"/>
      <c r="C109" s="25"/>
      <c r="D109" s="25"/>
      <c r="E109" s="306"/>
      <c r="F109" s="307"/>
      <c r="G109" s="25"/>
      <c r="H109" s="24"/>
      <c r="I109" s="307"/>
      <c r="J109" s="25"/>
      <c r="K109" s="306"/>
    </row>
    <row r="110" spans="1:11" ht="13.15" customHeight="1" x14ac:dyDescent="0.25">
      <c r="A110" s="494" t="s">
        <v>186</v>
      </c>
      <c r="B110" s="302"/>
      <c r="C110" s="28">
        <f>+C111+C114</f>
        <v>0</v>
      </c>
      <c r="D110" s="28">
        <f t="shared" ref="D110:K110" si="14">+D111+D114</f>
        <v>0</v>
      </c>
      <c r="E110" s="308">
        <f t="shared" si="14"/>
        <v>0</v>
      </c>
      <c r="F110" s="309">
        <f t="shared" si="14"/>
        <v>0</v>
      </c>
      <c r="G110" s="28">
        <f t="shared" si="14"/>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f t="shared" si="15"/>
        <v>0</v>
      </c>
      <c r="F111" s="419">
        <f t="shared" si="15"/>
        <v>0</v>
      </c>
      <c r="G111" s="417">
        <f t="shared" si="15"/>
        <v>0</v>
      </c>
      <c r="H111" s="420">
        <f t="shared" si="15"/>
        <v>0</v>
      </c>
      <c r="I111" s="421">
        <f t="shared" si="15"/>
        <v>0</v>
      </c>
      <c r="J111" s="417">
        <f t="shared" si="15"/>
        <v>0</v>
      </c>
      <c r="K111" s="420">
        <f t="shared" si="15"/>
        <v>0</v>
      </c>
    </row>
    <row r="112" spans="1:11" ht="13.15" customHeight="1" x14ac:dyDescent="0.25">
      <c r="A112" s="303" t="s">
        <v>934</v>
      </c>
      <c r="B112" s="302"/>
      <c r="C112" s="475"/>
      <c r="D112" s="475"/>
      <c r="E112" s="478"/>
      <c r="F112" s="477"/>
      <c r="G112" s="475"/>
      <c r="H112" s="478"/>
      <c r="I112" s="477"/>
      <c r="J112" s="475"/>
      <c r="K112" s="482"/>
    </row>
    <row r="113" spans="1:11" ht="13.15" customHeight="1" x14ac:dyDescent="0.25">
      <c r="A113" s="303" t="s">
        <v>935</v>
      </c>
      <c r="B113" s="302"/>
      <c r="C113" s="475"/>
      <c r="D113" s="475"/>
      <c r="E113" s="476"/>
      <c r="F113" s="477"/>
      <c r="G113" s="475"/>
      <c r="H113" s="478"/>
      <c r="I113" s="477"/>
      <c r="J113" s="475"/>
      <c r="K113" s="482"/>
    </row>
    <row r="114" spans="1:11" ht="13.15" customHeight="1" x14ac:dyDescent="0.25">
      <c r="A114" s="285" t="s">
        <v>936</v>
      </c>
      <c r="B114" s="302"/>
      <c r="C114" s="422">
        <f>SUM(C115:C116)</f>
        <v>0</v>
      </c>
      <c r="D114" s="422">
        <f t="shared" ref="D114:K114" si="16">SUM(D115:D116)</f>
        <v>0</v>
      </c>
      <c r="E114" s="422">
        <f t="shared" si="16"/>
        <v>0</v>
      </c>
      <c r="F114" s="424">
        <f t="shared" si="16"/>
        <v>0</v>
      </c>
      <c r="G114" s="422">
        <f t="shared" si="16"/>
        <v>0</v>
      </c>
      <c r="H114" s="425">
        <f t="shared" si="16"/>
        <v>0</v>
      </c>
      <c r="I114" s="426">
        <f t="shared" si="16"/>
        <v>0</v>
      </c>
      <c r="J114" s="422">
        <f t="shared" si="16"/>
        <v>0</v>
      </c>
      <c r="K114" s="425">
        <f t="shared" si="16"/>
        <v>0</v>
      </c>
    </row>
    <row r="115" spans="1:11" ht="13.15" customHeight="1" x14ac:dyDescent="0.25">
      <c r="A115" s="303" t="s">
        <v>934</v>
      </c>
      <c r="B115" s="302"/>
      <c r="C115" s="475"/>
      <c r="D115" s="475"/>
      <c r="E115" s="478"/>
      <c r="F115" s="477"/>
      <c r="G115" s="475"/>
      <c r="H115" s="478"/>
      <c r="I115" s="477"/>
      <c r="J115" s="475"/>
      <c r="K115" s="482"/>
    </row>
    <row r="116" spans="1:11" ht="13.15" customHeight="1" x14ac:dyDescent="0.25">
      <c r="A116" s="303" t="s">
        <v>935</v>
      </c>
      <c r="B116" s="302"/>
      <c r="C116" s="475"/>
      <c r="D116" s="475"/>
      <c r="E116" s="476"/>
      <c r="F116" s="477"/>
      <c r="G116" s="475"/>
      <c r="H116" s="478"/>
      <c r="I116" s="477"/>
      <c r="J116" s="475"/>
      <c r="K116" s="482"/>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0</v>
      </c>
      <c r="D118" s="28">
        <f t="shared" ref="D118:K118" si="17">+D119+D131</f>
        <v>0</v>
      </c>
      <c r="E118" s="308">
        <f t="shared" si="17"/>
        <v>0</v>
      </c>
      <c r="F118" s="309">
        <f t="shared" si="17"/>
        <v>0</v>
      </c>
      <c r="G118" s="28">
        <f t="shared" si="17"/>
        <v>0</v>
      </c>
      <c r="H118" s="27">
        <f t="shared" si="17"/>
        <v>0</v>
      </c>
      <c r="I118" s="309">
        <f t="shared" si="17"/>
        <v>0</v>
      </c>
      <c r="J118" s="28">
        <f t="shared" si="17"/>
        <v>0</v>
      </c>
      <c r="K118" s="308">
        <f t="shared" si="17"/>
        <v>0</v>
      </c>
    </row>
    <row r="119" spans="1:11" ht="13.15" customHeight="1" x14ac:dyDescent="0.25">
      <c r="A119" s="285" t="s">
        <v>937</v>
      </c>
      <c r="B119" s="302"/>
      <c r="C119" s="417">
        <f>SUM(C120:C130)</f>
        <v>0</v>
      </c>
      <c r="D119" s="417">
        <f t="shared" ref="D119:K119" si="18">SUM(D120:D130)</f>
        <v>0</v>
      </c>
      <c r="E119" s="417">
        <f t="shared" si="18"/>
        <v>0</v>
      </c>
      <c r="F119" s="419">
        <f t="shared" si="18"/>
        <v>0</v>
      </c>
      <c r="G119" s="417">
        <f t="shared" si="18"/>
        <v>0</v>
      </c>
      <c r="H119" s="420">
        <f t="shared" si="18"/>
        <v>0</v>
      </c>
      <c r="I119" s="421">
        <f t="shared" si="18"/>
        <v>0</v>
      </c>
      <c r="J119" s="417">
        <f t="shared" si="18"/>
        <v>0</v>
      </c>
      <c r="K119" s="420">
        <f t="shared" si="18"/>
        <v>0</v>
      </c>
    </row>
    <row r="120" spans="1:11" ht="13.15" customHeight="1" x14ac:dyDescent="0.25">
      <c r="A120" s="303" t="s">
        <v>938</v>
      </c>
      <c r="B120" s="302"/>
      <c r="C120" s="475"/>
      <c r="D120" s="475"/>
      <c r="E120" s="478"/>
      <c r="F120" s="477"/>
      <c r="G120" s="475"/>
      <c r="H120" s="478"/>
      <c r="I120" s="477"/>
      <c r="J120" s="475"/>
      <c r="K120" s="482"/>
    </row>
    <row r="121" spans="1:11" ht="13.15" customHeight="1" x14ac:dyDescent="0.25">
      <c r="A121" s="303" t="s">
        <v>939</v>
      </c>
      <c r="B121" s="302"/>
      <c r="C121" s="475"/>
      <c r="D121" s="475"/>
      <c r="E121" s="478"/>
      <c r="F121" s="477"/>
      <c r="G121" s="475"/>
      <c r="H121" s="478"/>
      <c r="I121" s="477"/>
      <c r="J121" s="475"/>
      <c r="K121" s="482"/>
    </row>
    <row r="122" spans="1:11" ht="13.15" customHeight="1" x14ac:dyDescent="0.25">
      <c r="A122" s="303" t="s">
        <v>940</v>
      </c>
      <c r="B122" s="302"/>
      <c r="C122" s="475"/>
      <c r="D122" s="475"/>
      <c r="E122" s="478"/>
      <c r="F122" s="477"/>
      <c r="G122" s="475"/>
      <c r="H122" s="478"/>
      <c r="I122" s="477"/>
      <c r="J122" s="475"/>
      <c r="K122" s="482"/>
    </row>
    <row r="123" spans="1:11" ht="13.15" customHeight="1" x14ac:dyDescent="0.25">
      <c r="A123" s="303" t="s">
        <v>941</v>
      </c>
      <c r="B123" s="302"/>
      <c r="C123" s="475"/>
      <c r="D123" s="475"/>
      <c r="E123" s="478"/>
      <c r="F123" s="477"/>
      <c r="G123" s="475"/>
      <c r="H123" s="478"/>
      <c r="I123" s="477"/>
      <c r="J123" s="475"/>
      <c r="K123" s="482"/>
    </row>
    <row r="124" spans="1:11" ht="13.15" customHeight="1" x14ac:dyDescent="0.25">
      <c r="A124" s="303" t="s">
        <v>942</v>
      </c>
      <c r="B124" s="302"/>
      <c r="C124" s="475"/>
      <c r="D124" s="475"/>
      <c r="E124" s="478"/>
      <c r="F124" s="477"/>
      <c r="G124" s="475"/>
      <c r="H124" s="478"/>
      <c r="I124" s="477"/>
      <c r="J124" s="475"/>
      <c r="K124" s="482"/>
    </row>
    <row r="125" spans="1:11" ht="13.15" customHeight="1" x14ac:dyDescent="0.25">
      <c r="A125" s="303" t="s">
        <v>943</v>
      </c>
      <c r="B125" s="302"/>
      <c r="C125" s="475"/>
      <c r="D125" s="475"/>
      <c r="E125" s="478"/>
      <c r="F125" s="477"/>
      <c r="G125" s="475"/>
      <c r="H125" s="478"/>
      <c r="I125" s="477"/>
      <c r="J125" s="475"/>
      <c r="K125" s="482"/>
    </row>
    <row r="126" spans="1:11" ht="13.15" customHeight="1" x14ac:dyDescent="0.25">
      <c r="A126" s="303" t="s">
        <v>944</v>
      </c>
      <c r="B126" s="302"/>
      <c r="C126" s="475"/>
      <c r="D126" s="475"/>
      <c r="E126" s="478"/>
      <c r="F126" s="477"/>
      <c r="G126" s="475"/>
      <c r="H126" s="478"/>
      <c r="I126" s="477"/>
      <c r="J126" s="475"/>
      <c r="K126" s="482"/>
    </row>
    <row r="127" spans="1:11" ht="13.15" customHeight="1" x14ac:dyDescent="0.25">
      <c r="A127" s="303" t="s">
        <v>945</v>
      </c>
      <c r="B127" s="302"/>
      <c r="C127" s="475"/>
      <c r="D127" s="475"/>
      <c r="E127" s="478"/>
      <c r="F127" s="477"/>
      <c r="G127" s="475"/>
      <c r="H127" s="478"/>
      <c r="I127" s="477"/>
      <c r="J127" s="475"/>
      <c r="K127" s="482"/>
    </row>
    <row r="128" spans="1:11" ht="13.15" customHeight="1" x14ac:dyDescent="0.25">
      <c r="A128" s="303" t="s">
        <v>946</v>
      </c>
      <c r="B128" s="302"/>
      <c r="C128" s="475"/>
      <c r="D128" s="475"/>
      <c r="E128" s="478"/>
      <c r="F128" s="477"/>
      <c r="G128" s="475"/>
      <c r="H128" s="478"/>
      <c r="I128" s="477"/>
      <c r="J128" s="475"/>
      <c r="K128" s="482"/>
    </row>
    <row r="129" spans="1:11" ht="13.15" customHeight="1" x14ac:dyDescent="0.25">
      <c r="A129" s="303" t="s">
        <v>947</v>
      </c>
      <c r="B129" s="302"/>
      <c r="C129" s="475"/>
      <c r="D129" s="475"/>
      <c r="E129" s="478"/>
      <c r="F129" s="477"/>
      <c r="G129" s="475"/>
      <c r="H129" s="478"/>
      <c r="I129" s="477"/>
      <c r="J129" s="475"/>
      <c r="K129" s="482"/>
    </row>
    <row r="130" spans="1:11" ht="13.15" customHeight="1" x14ac:dyDescent="0.25">
      <c r="A130" s="303" t="s">
        <v>857</v>
      </c>
      <c r="B130" s="302"/>
      <c r="C130" s="475"/>
      <c r="D130" s="475"/>
      <c r="E130" s="478"/>
      <c r="F130" s="477"/>
      <c r="G130" s="475"/>
      <c r="H130" s="478"/>
      <c r="I130" s="477"/>
      <c r="J130" s="475"/>
      <c r="K130" s="482"/>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475"/>
      <c r="D132" s="475"/>
      <c r="E132" s="478"/>
      <c r="F132" s="477"/>
      <c r="G132" s="475"/>
      <c r="H132" s="478"/>
      <c r="I132" s="477"/>
      <c r="J132" s="475"/>
      <c r="K132" s="482"/>
    </row>
    <row r="133" spans="1:11" ht="13.15" customHeight="1" x14ac:dyDescent="0.25">
      <c r="A133" s="303" t="s">
        <v>950</v>
      </c>
      <c r="B133" s="302"/>
      <c r="C133" s="475"/>
      <c r="D133" s="475"/>
      <c r="E133" s="478"/>
      <c r="F133" s="477"/>
      <c r="G133" s="475"/>
      <c r="H133" s="478"/>
      <c r="I133" s="477"/>
      <c r="J133" s="475"/>
      <c r="K133" s="482"/>
    </row>
    <row r="134" spans="1:11" ht="13.15" customHeight="1" x14ac:dyDescent="0.25">
      <c r="A134" s="303" t="s">
        <v>857</v>
      </c>
      <c r="B134" s="302"/>
      <c r="C134" s="475"/>
      <c r="D134" s="475"/>
      <c r="E134" s="478"/>
      <c r="F134" s="477"/>
      <c r="G134" s="475"/>
      <c r="H134" s="478"/>
      <c r="I134" s="477"/>
      <c r="J134" s="475"/>
      <c r="K134" s="482"/>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25">
        <f t="shared" ref="C136:K136" si="20">SUM(C137:C137)</f>
        <v>0</v>
      </c>
      <c r="D136" s="25">
        <f t="shared" si="20"/>
        <v>0</v>
      </c>
      <c r="E136" s="306">
        <f t="shared" si="20"/>
        <v>0</v>
      </c>
      <c r="F136" s="307">
        <f t="shared" si="20"/>
        <v>0</v>
      </c>
      <c r="G136" s="25">
        <f t="shared" si="20"/>
        <v>0</v>
      </c>
      <c r="H136" s="24">
        <f t="shared" si="20"/>
        <v>0</v>
      </c>
      <c r="I136" s="307">
        <f t="shared" si="20"/>
        <v>0</v>
      </c>
      <c r="J136" s="25">
        <f t="shared" si="20"/>
        <v>0</v>
      </c>
      <c r="K136" s="306">
        <f t="shared" si="20"/>
        <v>0</v>
      </c>
    </row>
    <row r="137" spans="1:11" ht="13.15" customHeight="1" x14ac:dyDescent="0.25">
      <c r="A137" s="285" t="s">
        <v>951</v>
      </c>
      <c r="B137" s="302"/>
      <c r="C137" s="495"/>
      <c r="D137" s="495"/>
      <c r="E137" s="496"/>
      <c r="F137" s="497"/>
      <c r="G137" s="495"/>
      <c r="H137" s="498"/>
      <c r="I137" s="497"/>
      <c r="J137" s="495"/>
      <c r="K137" s="496"/>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25">
        <f>+C140+C141</f>
        <v>0</v>
      </c>
      <c r="D139" s="25">
        <f t="shared" ref="D139:K139" si="21">+D140+D141</f>
        <v>0</v>
      </c>
      <c r="E139" s="306">
        <f t="shared" si="21"/>
        <v>0</v>
      </c>
      <c r="F139" s="307">
        <f t="shared" si="21"/>
        <v>0</v>
      </c>
      <c r="G139" s="25">
        <f t="shared" si="21"/>
        <v>0</v>
      </c>
      <c r="H139" s="24">
        <f t="shared" si="21"/>
        <v>0</v>
      </c>
      <c r="I139" s="307">
        <f t="shared" si="21"/>
        <v>0</v>
      </c>
      <c r="J139" s="25">
        <f t="shared" si="21"/>
        <v>0</v>
      </c>
      <c r="K139" s="306">
        <f t="shared" si="21"/>
        <v>0</v>
      </c>
    </row>
    <row r="140" spans="1:11" ht="13.15" customHeight="1" x14ac:dyDescent="0.25">
      <c r="A140" s="284" t="s">
        <v>953</v>
      </c>
      <c r="B140" s="302"/>
      <c r="C140" s="495"/>
      <c r="D140" s="495"/>
      <c r="E140" s="496"/>
      <c r="F140" s="497"/>
      <c r="G140" s="495"/>
      <c r="H140" s="498"/>
      <c r="I140" s="497"/>
      <c r="J140" s="495"/>
      <c r="K140" s="496"/>
    </row>
    <row r="141" spans="1:11" ht="13.15" customHeight="1" x14ac:dyDescent="0.25">
      <c r="A141" s="284" t="s">
        <v>954</v>
      </c>
      <c r="B141" s="302"/>
      <c r="C141" s="422">
        <f>SUM(C142:C147)</f>
        <v>0</v>
      </c>
      <c r="D141" s="422">
        <f t="shared" ref="D141:K141" si="22">SUM(D142:D147)</f>
        <v>0</v>
      </c>
      <c r="E141" s="422">
        <f t="shared" si="22"/>
        <v>0</v>
      </c>
      <c r="F141" s="424">
        <f t="shared" si="22"/>
        <v>0</v>
      </c>
      <c r="G141" s="422">
        <f t="shared" si="22"/>
        <v>0</v>
      </c>
      <c r="H141" s="425">
        <f t="shared" si="22"/>
        <v>0</v>
      </c>
      <c r="I141" s="426">
        <f t="shared" si="22"/>
        <v>0</v>
      </c>
      <c r="J141" s="422">
        <f t="shared" si="22"/>
        <v>0</v>
      </c>
      <c r="K141" s="425">
        <f t="shared" si="22"/>
        <v>0</v>
      </c>
    </row>
    <row r="142" spans="1:11" ht="13.15" customHeight="1" x14ac:dyDescent="0.25">
      <c r="A142" s="303" t="s">
        <v>955</v>
      </c>
      <c r="B142" s="302"/>
      <c r="C142" s="475"/>
      <c r="D142" s="475"/>
      <c r="E142" s="478"/>
      <c r="F142" s="477"/>
      <c r="G142" s="475"/>
      <c r="H142" s="478"/>
      <c r="I142" s="477"/>
      <c r="J142" s="475"/>
      <c r="K142" s="482"/>
    </row>
    <row r="143" spans="1:11" ht="13.15" customHeight="1" x14ac:dyDescent="0.25">
      <c r="A143" s="303" t="s">
        <v>956</v>
      </c>
      <c r="B143" s="302"/>
      <c r="C143" s="475"/>
      <c r="D143" s="475"/>
      <c r="E143" s="478"/>
      <c r="F143" s="477"/>
      <c r="G143" s="475"/>
      <c r="H143" s="478"/>
      <c r="I143" s="477"/>
      <c r="J143" s="475"/>
      <c r="K143" s="482"/>
    </row>
    <row r="144" spans="1:11" ht="13.15" customHeight="1" x14ac:dyDescent="0.25">
      <c r="A144" s="303" t="s">
        <v>957</v>
      </c>
      <c r="B144" s="302"/>
      <c r="C144" s="475"/>
      <c r="D144" s="475"/>
      <c r="E144" s="478"/>
      <c r="F144" s="477"/>
      <c r="G144" s="475"/>
      <c r="H144" s="478"/>
      <c r="I144" s="477"/>
      <c r="J144" s="475"/>
      <c r="K144" s="482"/>
    </row>
    <row r="145" spans="1:11" ht="13.15" customHeight="1" x14ac:dyDescent="0.25">
      <c r="A145" s="303" t="s">
        <v>958</v>
      </c>
      <c r="B145" s="302"/>
      <c r="C145" s="475"/>
      <c r="D145" s="475"/>
      <c r="E145" s="478"/>
      <c r="F145" s="477"/>
      <c r="G145" s="475"/>
      <c r="H145" s="478"/>
      <c r="I145" s="477"/>
      <c r="J145" s="475"/>
      <c r="K145" s="482"/>
    </row>
    <row r="146" spans="1:11" ht="13.15" customHeight="1" x14ac:dyDescent="0.25">
      <c r="A146" s="303" t="s">
        <v>959</v>
      </c>
      <c r="B146" s="302"/>
      <c r="C146" s="475"/>
      <c r="D146" s="475"/>
      <c r="E146" s="478"/>
      <c r="F146" s="477"/>
      <c r="G146" s="475"/>
      <c r="H146" s="478"/>
      <c r="I146" s="477"/>
      <c r="J146" s="475"/>
      <c r="K146" s="482"/>
    </row>
    <row r="147" spans="1:11" ht="13.15" customHeight="1" x14ac:dyDescent="0.25">
      <c r="A147" s="303" t="s">
        <v>960</v>
      </c>
      <c r="B147" s="302"/>
      <c r="C147" s="475"/>
      <c r="D147" s="475"/>
      <c r="E147" s="478"/>
      <c r="F147" s="477"/>
      <c r="G147" s="475"/>
      <c r="H147" s="478"/>
      <c r="I147" s="477"/>
      <c r="J147" s="475"/>
      <c r="K147" s="482"/>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25">
        <f t="shared" ref="C149:K149" si="23">SUM(C150:C150)</f>
        <v>0</v>
      </c>
      <c r="D149" s="25">
        <f t="shared" si="23"/>
        <v>0</v>
      </c>
      <c r="E149" s="306">
        <f t="shared" si="23"/>
        <v>0</v>
      </c>
      <c r="F149" s="307">
        <f t="shared" si="23"/>
        <v>0</v>
      </c>
      <c r="G149" s="25">
        <f t="shared" si="23"/>
        <v>0</v>
      </c>
      <c r="H149" s="24">
        <f t="shared" si="23"/>
        <v>0</v>
      </c>
      <c r="I149" s="307">
        <f t="shared" si="23"/>
        <v>0</v>
      </c>
      <c r="J149" s="25">
        <f t="shared" si="23"/>
        <v>0</v>
      </c>
      <c r="K149" s="306">
        <f t="shared" si="23"/>
        <v>0</v>
      </c>
    </row>
    <row r="150" spans="1:11" ht="13.15" customHeight="1" x14ac:dyDescent="0.25">
      <c r="A150" s="285" t="s">
        <v>961</v>
      </c>
      <c r="B150" s="302"/>
      <c r="C150" s="495"/>
      <c r="D150" s="495"/>
      <c r="E150" s="496"/>
      <c r="F150" s="497"/>
      <c r="G150" s="495"/>
      <c r="H150" s="498"/>
      <c r="I150" s="497"/>
      <c r="J150" s="495"/>
      <c r="K150" s="496"/>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25">
        <f t="shared" ref="C152:K152" si="24">SUM(C153:C153)</f>
        <v>0</v>
      </c>
      <c r="D152" s="25">
        <f t="shared" si="24"/>
        <v>0</v>
      </c>
      <c r="E152" s="306">
        <f t="shared" si="24"/>
        <v>0</v>
      </c>
      <c r="F152" s="307">
        <f t="shared" si="24"/>
        <v>0</v>
      </c>
      <c r="G152" s="25">
        <f t="shared" si="24"/>
        <v>0</v>
      </c>
      <c r="H152" s="24">
        <f t="shared" si="24"/>
        <v>0</v>
      </c>
      <c r="I152" s="307">
        <f t="shared" si="24"/>
        <v>0</v>
      </c>
      <c r="J152" s="25">
        <f t="shared" si="24"/>
        <v>0</v>
      </c>
      <c r="K152" s="306">
        <f t="shared" si="24"/>
        <v>0</v>
      </c>
    </row>
    <row r="153" spans="1:11" ht="13.15" customHeight="1" x14ac:dyDescent="0.25">
      <c r="A153" s="285" t="s">
        <v>962</v>
      </c>
      <c r="B153" s="302"/>
      <c r="C153" s="495"/>
      <c r="D153" s="495"/>
      <c r="E153" s="496"/>
      <c r="F153" s="497"/>
      <c r="G153" s="495"/>
      <c r="H153" s="498"/>
      <c r="I153" s="497"/>
      <c r="J153" s="495"/>
      <c r="K153" s="496"/>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25">
        <f t="shared" ref="C155:K155" si="25">SUM(C156:C156)</f>
        <v>0</v>
      </c>
      <c r="D155" s="25">
        <f t="shared" si="25"/>
        <v>0</v>
      </c>
      <c r="E155" s="306">
        <f t="shared" si="25"/>
        <v>0</v>
      </c>
      <c r="F155" s="307">
        <f t="shared" si="25"/>
        <v>0</v>
      </c>
      <c r="G155" s="25">
        <f t="shared" si="25"/>
        <v>0</v>
      </c>
      <c r="H155" s="24">
        <f t="shared" si="25"/>
        <v>0</v>
      </c>
      <c r="I155" s="307">
        <f t="shared" si="25"/>
        <v>0</v>
      </c>
      <c r="J155" s="25">
        <f t="shared" si="25"/>
        <v>0</v>
      </c>
      <c r="K155" s="306">
        <f t="shared" si="25"/>
        <v>0</v>
      </c>
    </row>
    <row r="156" spans="1:11" ht="13.15" customHeight="1" x14ac:dyDescent="0.25">
      <c r="A156" s="285" t="s">
        <v>963</v>
      </c>
      <c r="B156" s="302"/>
      <c r="C156" s="495"/>
      <c r="D156" s="495"/>
      <c r="E156" s="496"/>
      <c r="F156" s="497"/>
      <c r="G156" s="495"/>
      <c r="H156" s="498"/>
      <c r="I156" s="497"/>
      <c r="J156" s="495"/>
      <c r="K156" s="496"/>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25">
        <f t="shared" ref="C158:K158" si="26">SUM(C159:C159)</f>
        <v>0</v>
      </c>
      <c r="D158" s="25">
        <f t="shared" si="26"/>
        <v>0</v>
      </c>
      <c r="E158" s="306">
        <f t="shared" si="26"/>
        <v>0</v>
      </c>
      <c r="F158" s="307">
        <f t="shared" si="26"/>
        <v>0</v>
      </c>
      <c r="G158" s="25">
        <f t="shared" si="26"/>
        <v>0</v>
      </c>
      <c r="H158" s="24">
        <f t="shared" si="26"/>
        <v>0</v>
      </c>
      <c r="I158" s="307">
        <f t="shared" si="26"/>
        <v>0</v>
      </c>
      <c r="J158" s="25">
        <f t="shared" si="26"/>
        <v>0</v>
      </c>
      <c r="K158" s="306">
        <f t="shared" si="26"/>
        <v>0</v>
      </c>
    </row>
    <row r="159" spans="1:11" ht="13.15" customHeight="1" x14ac:dyDescent="0.25">
      <c r="A159" s="285" t="s">
        <v>964</v>
      </c>
      <c r="B159" s="302"/>
      <c r="C159" s="495"/>
      <c r="D159" s="495"/>
      <c r="E159" s="496"/>
      <c r="F159" s="497"/>
      <c r="G159" s="495"/>
      <c r="H159" s="498"/>
      <c r="I159" s="497"/>
      <c r="J159" s="495"/>
      <c r="K159" s="496"/>
    </row>
    <row r="160" spans="1:11" ht="5.0999999999999996" customHeight="1" x14ac:dyDescent="0.25">
      <c r="A160" s="305"/>
      <c r="B160" s="302"/>
      <c r="C160" s="25"/>
      <c r="D160" s="25"/>
      <c r="E160" s="306"/>
      <c r="F160" s="307"/>
      <c r="G160" s="25"/>
      <c r="H160" s="24"/>
      <c r="I160" s="307"/>
      <c r="J160" s="25"/>
      <c r="K160" s="306"/>
    </row>
    <row r="161" spans="1:11" ht="13.15" customHeight="1" x14ac:dyDescent="0.25">
      <c r="A161" s="301" t="s">
        <v>979</v>
      </c>
      <c r="B161" s="302"/>
      <c r="C161" s="25">
        <f t="shared" ref="C161:K161" si="27">SUM(C162:C162)</f>
        <v>0</v>
      </c>
      <c r="D161" s="25">
        <f t="shared" si="27"/>
        <v>0</v>
      </c>
      <c r="E161" s="306">
        <f t="shared" si="27"/>
        <v>0</v>
      </c>
      <c r="F161" s="307">
        <f t="shared" si="27"/>
        <v>0</v>
      </c>
      <c r="G161" s="25">
        <f t="shared" si="27"/>
        <v>0</v>
      </c>
      <c r="H161" s="24">
        <f t="shared" si="27"/>
        <v>0</v>
      </c>
      <c r="I161" s="307">
        <f t="shared" si="27"/>
        <v>0</v>
      </c>
      <c r="J161" s="25">
        <f t="shared" si="27"/>
        <v>0</v>
      </c>
      <c r="K161" s="306">
        <f t="shared" si="27"/>
        <v>0</v>
      </c>
    </row>
    <row r="162" spans="1:11" ht="13.15" customHeight="1" x14ac:dyDescent="0.25">
      <c r="A162" s="285" t="s">
        <v>979</v>
      </c>
      <c r="B162" s="302"/>
      <c r="C162" s="495"/>
      <c r="D162" s="495"/>
      <c r="E162" s="496"/>
      <c r="F162" s="497"/>
      <c r="G162" s="495"/>
      <c r="H162" s="498"/>
      <c r="I162" s="497"/>
      <c r="J162" s="495"/>
      <c r="K162" s="496"/>
    </row>
    <row r="163" spans="1:11" ht="5.0999999999999996" customHeight="1" x14ac:dyDescent="0.25">
      <c r="A163" s="305"/>
      <c r="B163" s="302"/>
      <c r="C163" s="25"/>
      <c r="D163" s="25"/>
      <c r="E163" s="306"/>
      <c r="F163" s="307"/>
      <c r="G163" s="25"/>
      <c r="H163" s="24"/>
      <c r="I163" s="307"/>
      <c r="J163" s="25"/>
      <c r="K163" s="306"/>
    </row>
    <row r="164" spans="1:11" ht="13.15" customHeight="1" x14ac:dyDescent="0.25">
      <c r="A164" s="301" t="s">
        <v>965</v>
      </c>
      <c r="B164" s="302"/>
      <c r="C164" s="25">
        <f t="shared" ref="C164:K164" si="28">SUM(C165:C165)</f>
        <v>0</v>
      </c>
      <c r="D164" s="25">
        <f t="shared" si="28"/>
        <v>0</v>
      </c>
      <c r="E164" s="306">
        <f t="shared" si="28"/>
        <v>0</v>
      </c>
      <c r="F164" s="307">
        <f t="shared" si="28"/>
        <v>0</v>
      </c>
      <c r="G164" s="25">
        <f t="shared" si="28"/>
        <v>0</v>
      </c>
      <c r="H164" s="24">
        <f t="shared" si="28"/>
        <v>0</v>
      </c>
      <c r="I164" s="307">
        <f t="shared" si="28"/>
        <v>0</v>
      </c>
      <c r="J164" s="25">
        <f t="shared" si="28"/>
        <v>0</v>
      </c>
      <c r="K164" s="306">
        <f t="shared" si="28"/>
        <v>0</v>
      </c>
    </row>
    <row r="165" spans="1:11" ht="13.15" customHeight="1" x14ac:dyDescent="0.25">
      <c r="A165" s="285" t="s">
        <v>965</v>
      </c>
      <c r="B165" s="302"/>
      <c r="C165" s="495"/>
      <c r="D165" s="495"/>
      <c r="E165" s="496"/>
      <c r="F165" s="497"/>
      <c r="G165" s="495"/>
      <c r="H165" s="498"/>
      <c r="I165" s="497"/>
      <c r="J165" s="495"/>
      <c r="K165" s="496"/>
    </row>
    <row r="166" spans="1:11" ht="5.0999999999999996" customHeight="1" x14ac:dyDescent="0.25">
      <c r="A166" s="305"/>
      <c r="B166" s="302"/>
      <c r="C166" s="25"/>
      <c r="D166" s="25"/>
      <c r="E166" s="306"/>
      <c r="F166" s="307"/>
      <c r="G166" s="25"/>
      <c r="H166" s="24"/>
      <c r="I166" s="307"/>
      <c r="J166" s="25"/>
      <c r="K166" s="306"/>
    </row>
    <row r="167" spans="1:11" ht="13.15" customHeight="1" x14ac:dyDescent="0.25">
      <c r="A167" s="30" t="s">
        <v>968</v>
      </c>
      <c r="B167" s="500">
        <v>1</v>
      </c>
      <c r="C167" s="31">
        <f>C6+C74+C103+C110+C118+C136+C139+C149+C152+C155+C158+C161+C164</f>
        <v>12770829.709999999</v>
      </c>
      <c r="D167" s="31">
        <f t="shared" ref="D167:K167" si="29">D6+D74+D103+D110+D118+D136+D139+D149+D152+D155+D158+D161+D164</f>
        <v>25933060.18</v>
      </c>
      <c r="E167" s="501">
        <f t="shared" si="29"/>
        <v>9922731.6999999993</v>
      </c>
      <c r="F167" s="502">
        <f t="shared" si="29"/>
        <v>19835057</v>
      </c>
      <c r="G167" s="31">
        <f t="shared" si="29"/>
        <v>17235057</v>
      </c>
      <c r="H167" s="503">
        <f t="shared" si="29"/>
        <v>17235057</v>
      </c>
      <c r="I167" s="502">
        <f t="shared" si="29"/>
        <v>18521514</v>
      </c>
      <c r="J167" s="31">
        <f t="shared" si="29"/>
        <v>19410546</v>
      </c>
      <c r="K167" s="501">
        <f t="shared" si="29"/>
        <v>20342253</v>
      </c>
    </row>
    <row r="168" spans="1:11" ht="12.75" customHeight="1" x14ac:dyDescent="0.25">
      <c r="A168" s="33" t="str">
        <f>head27a</f>
        <v>References</v>
      </c>
      <c r="B168" s="34"/>
      <c r="C168" s="37"/>
      <c r="D168" s="37"/>
      <c r="E168" s="37"/>
      <c r="F168" s="37"/>
      <c r="G168" s="37"/>
      <c r="H168" s="37"/>
      <c r="I168" s="37"/>
      <c r="J168" s="37"/>
      <c r="K168" s="37"/>
    </row>
    <row r="169" spans="1:11" ht="11.25" customHeight="1" x14ac:dyDescent="0.25">
      <c r="A169" s="516" t="s">
        <v>975</v>
      </c>
      <c r="B169" s="34"/>
      <c r="C169" s="36"/>
      <c r="D169" s="36"/>
      <c r="E169" s="37"/>
      <c r="F169" s="37"/>
      <c r="G169" s="37"/>
      <c r="H169" s="37"/>
      <c r="I169" s="37"/>
      <c r="J169" s="37"/>
      <c r="K169" s="37"/>
    </row>
    <row r="170" spans="1:11" ht="11.25" customHeight="1" x14ac:dyDescent="0.25"/>
    <row r="171" spans="1:11" ht="11.25" customHeight="1" x14ac:dyDescent="0.25"/>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printOptions horizontalCentered="1"/>
  <pageMargins left="0.37" right="0.14000000000000001" top="0.79" bottom="0.6" header="0.51181102362204722" footer="0.51"/>
  <pageSetup paperSize="9" scale="3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FF0000"/>
    <pageSetUpPr fitToPage="1"/>
  </sheetPr>
  <dimension ref="A1:O101"/>
  <sheetViews>
    <sheetView showGridLines="0" zoomScaleNormal="100" zoomScaleSheetLayoutView="120" workbookViewId="0">
      <pane xSplit="2" ySplit="4" topLeftCell="C5" activePane="bottomRight" state="frozen"/>
      <selection activeCell="A23" sqref="A23"/>
      <selection pane="topRight" activeCell="A23" sqref="A23"/>
      <selection pane="bottomLeft" activeCell="A23" sqref="A23"/>
      <selection pane="bottomRight" activeCell="E3" sqref="E3:E4"/>
    </sheetView>
  </sheetViews>
  <sheetFormatPr defaultRowHeight="12.75" x14ac:dyDescent="0.25"/>
  <cols>
    <col min="1" max="1" width="35.7109375" style="19" customWidth="1"/>
    <col min="2" max="2" width="3.140625" style="41" customWidth="1"/>
    <col min="3" max="14" width="9.7109375" style="19" customWidth="1"/>
    <col min="15" max="15" width="9.85546875" style="19" customWidth="1"/>
    <col min="16" max="18" width="9.5703125" style="19" customWidth="1"/>
    <col min="19" max="20" width="9.85546875" style="19" customWidth="1"/>
    <col min="21" max="16384" width="9.140625" style="19"/>
  </cols>
  <sheetData>
    <row r="1" spans="1:15" ht="13.5" x14ac:dyDescent="0.25">
      <c r="A1" s="100" t="str">
        <f>_MEB12</f>
        <v>Centlec - Supporting Table SD8 Future financial implications of the capital expenditure budget</v>
      </c>
    </row>
    <row r="2" spans="1:15" ht="36" customHeight="1" x14ac:dyDescent="0.25">
      <c r="A2" s="319" t="str">
        <f>desc</f>
        <v>Description</v>
      </c>
      <c r="B2" s="320" t="str">
        <f>head27</f>
        <v>Ref</v>
      </c>
      <c r="C2" s="20" t="s">
        <v>103</v>
      </c>
      <c r="D2" s="519" t="str">
        <f>Head2</f>
        <v>Current Year 2019/20</v>
      </c>
      <c r="E2" s="693" t="str">
        <f>Head3</f>
        <v>2020/21 Medium Term Revenue &amp; Expenditure Framework</v>
      </c>
      <c r="F2" s="694"/>
      <c r="G2" s="695"/>
      <c r="H2" s="518" t="str">
        <f>Head12</f>
        <v>Forecast 2023/24</v>
      </c>
      <c r="I2" s="20" t="str">
        <f>Head13</f>
        <v>Forecast 2024/25</v>
      </c>
      <c r="J2" s="20" t="str">
        <f>Head14</f>
        <v>Forecast 2025/26</v>
      </c>
      <c r="K2" s="20" t="str">
        <f>Head15</f>
        <v>Forecast 2026/27</v>
      </c>
      <c r="L2" s="20" t="str">
        <f>Head16</f>
        <v>Forecast 2027/28</v>
      </c>
      <c r="M2" s="20" t="str">
        <f>Head17</f>
        <v>Forecast 2028/29</v>
      </c>
      <c r="N2" s="519" t="str">
        <f>Head18</f>
        <v>Forecast 2029/30</v>
      </c>
      <c r="O2" s="561" t="s">
        <v>68</v>
      </c>
    </row>
    <row r="3" spans="1:15" x14ac:dyDescent="0.25">
      <c r="A3" s="616"/>
      <c r="B3" s="617" t="s">
        <v>1012</v>
      </c>
      <c r="C3" s="730" t="str">
        <f>Head9</f>
        <v>Budget Year 2020/21</v>
      </c>
      <c r="D3" s="731" t="str">
        <f>Head10</f>
        <v>Budget Year +1 2021/22</v>
      </c>
      <c r="E3" s="733" t="str">
        <f>Head11</f>
        <v>Budget Year +2 2022/23</v>
      </c>
      <c r="F3" s="730" t="str">
        <f>Head12</f>
        <v>Forecast 2023/24</v>
      </c>
      <c r="G3" s="731" t="str">
        <f>Head13</f>
        <v>Forecast 2024/25</v>
      </c>
      <c r="H3" s="710" t="str">
        <f>Head14</f>
        <v>Forecast 2025/26</v>
      </c>
      <c r="I3" s="735" t="str">
        <f>Head48</f>
        <v>Present value</v>
      </c>
      <c r="J3" s="91" t="s">
        <v>107</v>
      </c>
      <c r="K3" s="91" t="s">
        <v>107</v>
      </c>
      <c r="L3" s="91" t="s">
        <v>107</v>
      </c>
      <c r="M3" s="91" t="s">
        <v>107</v>
      </c>
      <c r="N3" s="379" t="s">
        <v>107</v>
      </c>
      <c r="O3" s="612" t="s">
        <v>107</v>
      </c>
    </row>
    <row r="4" spans="1:15" ht="13.5" customHeight="1" x14ac:dyDescent="0.25">
      <c r="A4" s="133" t="s">
        <v>184</v>
      </c>
      <c r="B4" s="618"/>
      <c r="C4" s="711"/>
      <c r="D4" s="732"/>
      <c r="E4" s="734"/>
      <c r="F4" s="711"/>
      <c r="G4" s="732"/>
      <c r="H4" s="711"/>
      <c r="I4" s="736"/>
      <c r="J4" s="613"/>
      <c r="K4" s="613"/>
      <c r="L4" s="613"/>
      <c r="M4" s="613"/>
      <c r="N4" s="614"/>
      <c r="O4" s="615"/>
    </row>
    <row r="5" spans="1:15" x14ac:dyDescent="0.25">
      <c r="A5" s="562" t="s">
        <v>1005</v>
      </c>
      <c r="B5" s="302"/>
      <c r="C5" s="540"/>
      <c r="D5" s="541"/>
      <c r="E5" s="542"/>
      <c r="F5" s="540"/>
      <c r="G5" s="543"/>
      <c r="H5" s="541"/>
      <c r="I5" s="540"/>
      <c r="J5" s="540"/>
      <c r="K5" s="540"/>
      <c r="L5" s="540"/>
      <c r="M5" s="540"/>
      <c r="N5" s="543"/>
      <c r="O5" s="563"/>
    </row>
    <row r="6" spans="1:15" ht="11.25" customHeight="1" x14ac:dyDescent="0.25">
      <c r="A6" s="301" t="s">
        <v>1013</v>
      </c>
      <c r="B6" s="302">
        <v>2</v>
      </c>
      <c r="C6" s="540"/>
      <c r="D6" s="541"/>
      <c r="E6" s="542"/>
      <c r="F6" s="540"/>
      <c r="G6" s="543"/>
      <c r="H6" s="541"/>
      <c r="I6" s="540"/>
      <c r="J6" s="540"/>
      <c r="K6" s="540"/>
      <c r="L6" s="540"/>
      <c r="M6" s="540"/>
      <c r="N6" s="543"/>
      <c r="O6" s="563"/>
    </row>
    <row r="7" spans="1:15" ht="11.25" customHeight="1" x14ac:dyDescent="0.25">
      <c r="A7" s="564" t="s">
        <v>108</v>
      </c>
      <c r="B7" s="302"/>
      <c r="C7" s="565"/>
      <c r="D7" s="566"/>
      <c r="E7" s="567"/>
      <c r="F7" s="565"/>
      <c r="G7" s="568"/>
      <c r="H7" s="566"/>
      <c r="I7" s="565"/>
      <c r="J7" s="565"/>
      <c r="K7" s="565"/>
      <c r="L7" s="565"/>
      <c r="M7" s="565"/>
      <c r="N7" s="568"/>
      <c r="O7" s="90">
        <f>SUM(C7:N7)</f>
        <v>0</v>
      </c>
    </row>
    <row r="8" spans="1:15" ht="11.25" customHeight="1" x14ac:dyDescent="0.25">
      <c r="A8" s="564" t="s">
        <v>109</v>
      </c>
      <c r="B8" s="302"/>
      <c r="C8" s="489"/>
      <c r="D8" s="492"/>
      <c r="E8" s="491"/>
      <c r="F8" s="489"/>
      <c r="G8" s="490"/>
      <c r="H8" s="492"/>
      <c r="I8" s="489"/>
      <c r="J8" s="489"/>
      <c r="K8" s="489"/>
      <c r="L8" s="489"/>
      <c r="M8" s="489"/>
      <c r="N8" s="490"/>
      <c r="O8" s="90">
        <f>SUM(C8:N8)</f>
        <v>0</v>
      </c>
    </row>
    <row r="9" spans="1:15" ht="11.25" customHeight="1" x14ac:dyDescent="0.25">
      <c r="A9" s="564" t="s">
        <v>110</v>
      </c>
      <c r="B9" s="302"/>
      <c r="C9" s="475"/>
      <c r="D9" s="478"/>
      <c r="E9" s="477"/>
      <c r="F9" s="475"/>
      <c r="G9" s="476"/>
      <c r="H9" s="478"/>
      <c r="I9" s="475"/>
      <c r="J9" s="475"/>
      <c r="K9" s="475"/>
      <c r="L9" s="475"/>
      <c r="M9" s="475"/>
      <c r="N9" s="476"/>
      <c r="O9" s="90">
        <f>SUM(C9:N9)</f>
        <v>0</v>
      </c>
    </row>
    <row r="10" spans="1:15" ht="11.25" customHeight="1" x14ac:dyDescent="0.25">
      <c r="A10" s="562" t="s">
        <v>76</v>
      </c>
      <c r="B10" s="302"/>
      <c r="C10" s="187">
        <f t="shared" ref="C10:N10" si="0">SUM(C7:C9)</f>
        <v>0</v>
      </c>
      <c r="D10" s="569">
        <f t="shared" si="0"/>
        <v>0</v>
      </c>
      <c r="E10" s="570">
        <f t="shared" si="0"/>
        <v>0</v>
      </c>
      <c r="F10" s="187">
        <f t="shared" si="0"/>
        <v>0</v>
      </c>
      <c r="G10" s="571">
        <f t="shared" si="0"/>
        <v>0</v>
      </c>
      <c r="H10" s="569">
        <f t="shared" si="0"/>
        <v>0</v>
      </c>
      <c r="I10" s="187">
        <f t="shared" si="0"/>
        <v>0</v>
      </c>
      <c r="J10" s="187">
        <f t="shared" si="0"/>
        <v>0</v>
      </c>
      <c r="K10" s="187">
        <f t="shared" si="0"/>
        <v>0</v>
      </c>
      <c r="L10" s="187">
        <f t="shared" si="0"/>
        <v>0</v>
      </c>
      <c r="M10" s="187">
        <f t="shared" si="0"/>
        <v>0</v>
      </c>
      <c r="N10" s="571">
        <f t="shared" si="0"/>
        <v>0</v>
      </c>
      <c r="O10" s="572">
        <f>SUM(C10:N10)</f>
        <v>0</v>
      </c>
    </row>
    <row r="11" spans="1:15" ht="5.0999999999999996" customHeight="1" x14ac:dyDescent="0.25">
      <c r="A11" s="305"/>
      <c r="B11" s="302"/>
      <c r="C11" s="25"/>
      <c r="D11" s="24"/>
      <c r="E11" s="307"/>
      <c r="F11" s="25"/>
      <c r="G11" s="306"/>
      <c r="H11" s="24"/>
      <c r="I11" s="25"/>
      <c r="J11" s="25"/>
      <c r="K11" s="25"/>
      <c r="L11" s="25"/>
      <c r="M11" s="25"/>
      <c r="N11" s="306"/>
      <c r="O11" s="90"/>
    </row>
    <row r="12" spans="1:15" ht="11.25" customHeight="1" x14ac:dyDescent="0.25">
      <c r="A12" s="301" t="s">
        <v>1014</v>
      </c>
      <c r="B12" s="302">
        <v>2</v>
      </c>
      <c r="C12" s="25"/>
      <c r="D12" s="24"/>
      <c r="E12" s="307"/>
      <c r="F12" s="25"/>
      <c r="G12" s="306"/>
      <c r="H12" s="24"/>
      <c r="I12" s="25"/>
      <c r="J12" s="25"/>
      <c r="K12" s="25"/>
      <c r="L12" s="25"/>
      <c r="M12" s="25"/>
      <c r="N12" s="306"/>
      <c r="O12" s="90"/>
    </row>
    <row r="13" spans="1:15" ht="11.25" customHeight="1" x14ac:dyDescent="0.25">
      <c r="A13" s="564" t="s">
        <v>108</v>
      </c>
      <c r="B13" s="302"/>
      <c r="C13" s="475"/>
      <c r="D13" s="478"/>
      <c r="E13" s="477"/>
      <c r="F13" s="475"/>
      <c r="G13" s="476"/>
      <c r="H13" s="478"/>
      <c r="I13" s="475"/>
      <c r="J13" s="475"/>
      <c r="K13" s="475"/>
      <c r="L13" s="475"/>
      <c r="M13" s="475"/>
      <c r="N13" s="476"/>
      <c r="O13" s="90">
        <f>SUM(C13:N13)</f>
        <v>0</v>
      </c>
    </row>
    <row r="14" spans="1:15" ht="11.25" customHeight="1" x14ac:dyDescent="0.25">
      <c r="A14" s="564" t="s">
        <v>109</v>
      </c>
      <c r="B14" s="302"/>
      <c r="C14" s="475"/>
      <c r="D14" s="478"/>
      <c r="E14" s="477"/>
      <c r="F14" s="475"/>
      <c r="G14" s="476"/>
      <c r="H14" s="478"/>
      <c r="I14" s="475"/>
      <c r="J14" s="475"/>
      <c r="K14" s="475"/>
      <c r="L14" s="475"/>
      <c r="M14" s="475"/>
      <c r="N14" s="476"/>
      <c r="O14" s="90">
        <f>SUM(C14:N14)</f>
        <v>0</v>
      </c>
    </row>
    <row r="15" spans="1:15" ht="11.25" customHeight="1" x14ac:dyDescent="0.25">
      <c r="A15" s="564" t="s">
        <v>110</v>
      </c>
      <c r="B15" s="302"/>
      <c r="C15" s="475"/>
      <c r="D15" s="478"/>
      <c r="E15" s="477"/>
      <c r="F15" s="475"/>
      <c r="G15" s="476"/>
      <c r="H15" s="478"/>
      <c r="I15" s="475"/>
      <c r="J15" s="475"/>
      <c r="K15" s="475"/>
      <c r="L15" s="475"/>
      <c r="M15" s="475"/>
      <c r="N15" s="476"/>
      <c r="O15" s="90">
        <f>SUM(C15:N15)</f>
        <v>0</v>
      </c>
    </row>
    <row r="16" spans="1:15" ht="11.25" customHeight="1" x14ac:dyDescent="0.25">
      <c r="A16" s="562" t="s">
        <v>104</v>
      </c>
      <c r="B16" s="302"/>
      <c r="C16" s="56">
        <f t="shared" ref="C16:N16" si="1">SUM(C13:C15)</f>
        <v>0</v>
      </c>
      <c r="D16" s="573">
        <f t="shared" si="1"/>
        <v>0</v>
      </c>
      <c r="E16" s="574">
        <f t="shared" si="1"/>
        <v>0</v>
      </c>
      <c r="F16" s="56">
        <f t="shared" si="1"/>
        <v>0</v>
      </c>
      <c r="G16" s="575">
        <f t="shared" si="1"/>
        <v>0</v>
      </c>
      <c r="H16" s="573">
        <f t="shared" si="1"/>
        <v>0</v>
      </c>
      <c r="I16" s="56">
        <f t="shared" si="1"/>
        <v>0</v>
      </c>
      <c r="J16" s="56">
        <f t="shared" si="1"/>
        <v>0</v>
      </c>
      <c r="K16" s="56">
        <f t="shared" si="1"/>
        <v>0</v>
      </c>
      <c r="L16" s="56">
        <f t="shared" si="1"/>
        <v>0</v>
      </c>
      <c r="M16" s="56">
        <f t="shared" si="1"/>
        <v>0</v>
      </c>
      <c r="N16" s="575">
        <f t="shared" si="1"/>
        <v>0</v>
      </c>
      <c r="O16" s="572">
        <f>SUM(C16:N16)</f>
        <v>0</v>
      </c>
    </row>
    <row r="17" spans="1:15" ht="5.0999999999999996" customHeight="1" x14ac:dyDescent="0.25">
      <c r="A17" s="305"/>
      <c r="B17" s="302"/>
      <c r="C17" s="25"/>
      <c r="D17" s="24"/>
      <c r="E17" s="307"/>
      <c r="F17" s="25"/>
      <c r="G17" s="306"/>
      <c r="H17" s="24"/>
      <c r="I17" s="25"/>
      <c r="J17" s="25"/>
      <c r="K17" s="25"/>
      <c r="L17" s="25"/>
      <c r="M17" s="25"/>
      <c r="N17" s="306"/>
      <c r="O17" s="576"/>
    </row>
    <row r="18" spans="1:15" ht="11.25" customHeight="1" x14ac:dyDescent="0.25">
      <c r="A18" s="301" t="s">
        <v>1015</v>
      </c>
      <c r="B18" s="302">
        <v>2</v>
      </c>
      <c r="C18" s="28"/>
      <c r="D18" s="27"/>
      <c r="E18" s="309"/>
      <c r="F18" s="28"/>
      <c r="G18" s="308"/>
      <c r="H18" s="27"/>
      <c r="I18" s="28"/>
      <c r="J18" s="28"/>
      <c r="K18" s="28"/>
      <c r="L18" s="28"/>
      <c r="M18" s="28"/>
      <c r="N18" s="308"/>
      <c r="O18" s="90"/>
    </row>
    <row r="19" spans="1:15" ht="11.25" customHeight="1" x14ac:dyDescent="0.25">
      <c r="A19" s="564" t="s">
        <v>1177</v>
      </c>
      <c r="B19" s="302"/>
      <c r="C19" s="475"/>
      <c r="D19" s="478"/>
      <c r="E19" s="477">
        <v>22861690.004000001</v>
      </c>
      <c r="F19" s="475">
        <v>23956051.124191999</v>
      </c>
      <c r="G19" s="476">
        <v>25102803.578153215</v>
      </c>
      <c r="H19" s="478"/>
      <c r="I19" s="475"/>
      <c r="J19" s="475"/>
      <c r="K19" s="475"/>
      <c r="L19" s="475"/>
      <c r="M19" s="475"/>
      <c r="N19" s="476"/>
      <c r="O19" s="90">
        <f>SUM(C19:N19)</f>
        <v>71920544.706345215</v>
      </c>
    </row>
    <row r="20" spans="1:15" ht="11.25" customHeight="1" x14ac:dyDescent="0.25">
      <c r="A20" s="564" t="s">
        <v>1178</v>
      </c>
      <c r="B20" s="302"/>
      <c r="C20" s="475"/>
      <c r="D20" s="478"/>
      <c r="E20" s="477">
        <v>135544460</v>
      </c>
      <c r="F20" s="475">
        <v>88223170</v>
      </c>
      <c r="G20" s="476">
        <v>91513792</v>
      </c>
      <c r="H20" s="478"/>
      <c r="I20" s="475"/>
      <c r="J20" s="475"/>
      <c r="K20" s="475"/>
      <c r="L20" s="475"/>
      <c r="M20" s="475"/>
      <c r="N20" s="476"/>
      <c r="O20" s="90">
        <f>SUM(C20:N20)</f>
        <v>315281422</v>
      </c>
    </row>
    <row r="21" spans="1:15" ht="11.25" customHeight="1" x14ac:dyDescent="0.25">
      <c r="A21" s="564" t="s">
        <v>1179</v>
      </c>
      <c r="B21" s="302"/>
      <c r="C21" s="475"/>
      <c r="D21" s="478"/>
      <c r="E21" s="477">
        <v>10459885.644000001</v>
      </c>
      <c r="F21" s="475">
        <v>10961960.154912001</v>
      </c>
      <c r="G21" s="476">
        <v>11488134.242347777</v>
      </c>
      <c r="H21" s="478"/>
      <c r="I21" s="475"/>
      <c r="J21" s="475"/>
      <c r="K21" s="475"/>
      <c r="L21" s="475"/>
      <c r="M21" s="475"/>
      <c r="N21" s="476"/>
      <c r="O21" s="90"/>
    </row>
    <row r="22" spans="1:15" ht="11.25" customHeight="1" x14ac:dyDescent="0.25">
      <c r="A22" s="564" t="s">
        <v>1180</v>
      </c>
      <c r="B22" s="302"/>
      <c r="C22" s="475"/>
      <c r="D22" s="478"/>
      <c r="E22" s="477">
        <v>858963.69400000002</v>
      </c>
      <c r="F22" s="475">
        <v>900193.95131200005</v>
      </c>
      <c r="G22" s="476">
        <v>943403.260974976</v>
      </c>
      <c r="H22" s="478"/>
      <c r="I22" s="475"/>
      <c r="J22" s="475"/>
      <c r="K22" s="475"/>
      <c r="L22" s="475"/>
      <c r="M22" s="475"/>
      <c r="N22" s="476"/>
      <c r="O22" s="90">
        <f>SUM(C22:N22)</f>
        <v>2702560.9062869763</v>
      </c>
    </row>
    <row r="23" spans="1:15" ht="11.25" customHeight="1" x14ac:dyDescent="0.25">
      <c r="A23" s="562" t="s">
        <v>77</v>
      </c>
      <c r="B23" s="302"/>
      <c r="C23" s="56">
        <f t="shared" ref="C23:N23" si="2">SUM(C19:C22)</f>
        <v>0</v>
      </c>
      <c r="D23" s="573">
        <f t="shared" si="2"/>
        <v>0</v>
      </c>
      <c r="E23" s="574">
        <f t="shared" si="2"/>
        <v>169724999.34200001</v>
      </c>
      <c r="F23" s="56">
        <f t="shared" si="2"/>
        <v>124041375.230416</v>
      </c>
      <c r="G23" s="575">
        <f t="shared" si="2"/>
        <v>129048133.08147597</v>
      </c>
      <c r="H23" s="573">
        <f t="shared" si="2"/>
        <v>0</v>
      </c>
      <c r="I23" s="56">
        <f t="shared" si="2"/>
        <v>0</v>
      </c>
      <c r="J23" s="56">
        <f t="shared" si="2"/>
        <v>0</v>
      </c>
      <c r="K23" s="56">
        <f t="shared" si="2"/>
        <v>0</v>
      </c>
      <c r="L23" s="56">
        <f t="shared" si="2"/>
        <v>0</v>
      </c>
      <c r="M23" s="56">
        <f t="shared" si="2"/>
        <v>0</v>
      </c>
      <c r="N23" s="575">
        <f t="shared" si="2"/>
        <v>0</v>
      </c>
      <c r="O23" s="572">
        <f>SUM(C23:N23)</f>
        <v>422814507.65389198</v>
      </c>
    </row>
    <row r="24" spans="1:15" ht="5.0999999999999996" customHeight="1" x14ac:dyDescent="0.25">
      <c r="A24" s="305"/>
      <c r="B24" s="302"/>
      <c r="C24" s="25"/>
      <c r="D24" s="24"/>
      <c r="E24" s="307"/>
      <c r="F24" s="25"/>
      <c r="G24" s="306"/>
      <c r="H24" s="24"/>
      <c r="I24" s="25"/>
      <c r="J24" s="25"/>
      <c r="K24" s="25"/>
      <c r="L24" s="25"/>
      <c r="M24" s="25"/>
      <c r="N24" s="306"/>
      <c r="O24" s="90"/>
    </row>
    <row r="25" spans="1:15" ht="11.25" customHeight="1" x14ac:dyDescent="0.25">
      <c r="A25" s="499" t="s">
        <v>1016</v>
      </c>
      <c r="B25" s="500"/>
      <c r="C25" s="31">
        <f>C16+C23</f>
        <v>0</v>
      </c>
      <c r="D25" s="503">
        <f t="shared" ref="D25:O25" si="3">D16+D23</f>
        <v>0</v>
      </c>
      <c r="E25" s="502">
        <f t="shared" si="3"/>
        <v>169724999.34200001</v>
      </c>
      <c r="F25" s="31">
        <f t="shared" si="3"/>
        <v>124041375.230416</v>
      </c>
      <c r="G25" s="501">
        <f t="shared" si="3"/>
        <v>129048133.08147597</v>
      </c>
      <c r="H25" s="503">
        <f t="shared" si="3"/>
        <v>0</v>
      </c>
      <c r="I25" s="31">
        <f t="shared" si="3"/>
        <v>0</v>
      </c>
      <c r="J25" s="31">
        <f t="shared" si="3"/>
        <v>0</v>
      </c>
      <c r="K25" s="31">
        <f t="shared" si="3"/>
        <v>0</v>
      </c>
      <c r="L25" s="31">
        <f t="shared" si="3"/>
        <v>0</v>
      </c>
      <c r="M25" s="31">
        <f t="shared" si="3"/>
        <v>0</v>
      </c>
      <c r="N25" s="501">
        <f t="shared" si="3"/>
        <v>0</v>
      </c>
      <c r="O25" s="192">
        <f t="shared" si="3"/>
        <v>422814507.65389198</v>
      </c>
    </row>
    <row r="26" spans="1:15" ht="12.75" customHeight="1" x14ac:dyDescent="0.25">
      <c r="A26" s="577" t="s">
        <v>1017</v>
      </c>
      <c r="B26" s="373"/>
      <c r="C26" s="578"/>
      <c r="D26" s="579"/>
      <c r="E26" s="579"/>
      <c r="F26" s="579"/>
      <c r="G26" s="579"/>
      <c r="H26" s="376"/>
      <c r="I26" s="376"/>
      <c r="J26" s="376"/>
      <c r="K26" s="376"/>
      <c r="L26" s="376"/>
      <c r="M26" s="376"/>
      <c r="N26" s="376"/>
    </row>
    <row r="27" spans="1:15" ht="12.75" customHeight="1" x14ac:dyDescent="0.25">
      <c r="A27" s="516" t="s">
        <v>78</v>
      </c>
      <c r="B27" s="373"/>
      <c r="C27" s="578"/>
      <c r="D27" s="579"/>
      <c r="E27" s="579"/>
      <c r="F27" s="579"/>
      <c r="G27" s="579"/>
      <c r="H27" s="376"/>
      <c r="I27" s="376"/>
      <c r="J27" s="376"/>
      <c r="K27" s="376"/>
      <c r="L27" s="376"/>
      <c r="M27" s="376"/>
      <c r="N27" s="376"/>
    </row>
    <row r="28" spans="1:15" ht="24" customHeight="1" x14ac:dyDescent="0.25">
      <c r="A28" s="728" t="s">
        <v>1018</v>
      </c>
      <c r="B28" s="729"/>
      <c r="C28" s="729"/>
      <c r="D28" s="729"/>
      <c r="E28" s="729"/>
      <c r="F28" s="729"/>
      <c r="G28" s="729"/>
      <c r="H28" s="729"/>
      <c r="I28" s="729"/>
      <c r="J28" s="729"/>
      <c r="K28" s="729"/>
      <c r="L28" s="729"/>
      <c r="M28" s="729"/>
      <c r="N28" s="729"/>
    </row>
    <row r="29" spans="1:15" ht="11.25" customHeight="1" x14ac:dyDescent="0.25">
      <c r="B29" s="19"/>
    </row>
    <row r="30" spans="1:15" x14ac:dyDescent="0.25">
      <c r="A30" s="64"/>
      <c r="B30" s="19"/>
      <c r="C30" s="93"/>
      <c r="D30" s="93"/>
      <c r="E30" s="93"/>
    </row>
    <row r="31" spans="1:15" ht="11.25" customHeight="1" x14ac:dyDescent="0.25">
      <c r="B31" s="19"/>
    </row>
    <row r="32" spans="1:15" ht="11.25" customHeight="1" x14ac:dyDescent="0.25">
      <c r="B32" s="19"/>
    </row>
    <row r="33" spans="2:2" ht="11.25" customHeight="1" x14ac:dyDescent="0.25">
      <c r="B33" s="19"/>
    </row>
    <row r="34" spans="2:2" ht="11.25" customHeight="1" x14ac:dyDescent="0.25">
      <c r="B34" s="19"/>
    </row>
    <row r="35" spans="2:2" ht="11.25" customHeight="1" x14ac:dyDescent="0.25">
      <c r="B35" s="19"/>
    </row>
    <row r="36" spans="2:2" ht="11.25" customHeight="1" x14ac:dyDescent="0.25">
      <c r="B36" s="19"/>
    </row>
    <row r="37" spans="2:2" ht="11.25" customHeight="1" x14ac:dyDescent="0.25">
      <c r="B37" s="19"/>
    </row>
    <row r="38" spans="2:2" ht="11.25" customHeight="1" x14ac:dyDescent="0.25">
      <c r="B38" s="19"/>
    </row>
    <row r="39" spans="2:2" ht="11.25" customHeight="1" x14ac:dyDescent="0.25">
      <c r="B39" s="19"/>
    </row>
    <row r="40" spans="2:2" ht="11.25" customHeight="1" x14ac:dyDescent="0.25">
      <c r="B40" s="19"/>
    </row>
    <row r="41" spans="2:2" ht="11.25" customHeight="1" x14ac:dyDescent="0.25">
      <c r="B41" s="19"/>
    </row>
    <row r="42" spans="2:2" ht="11.25" customHeight="1" x14ac:dyDescent="0.25">
      <c r="B42" s="19"/>
    </row>
    <row r="43" spans="2:2" ht="11.25" customHeight="1" x14ac:dyDescent="0.25">
      <c r="B43" s="19"/>
    </row>
    <row r="44" spans="2:2" ht="11.25" customHeight="1" x14ac:dyDescent="0.25">
      <c r="B44" s="19"/>
    </row>
    <row r="45" spans="2:2" ht="11.25" customHeight="1" x14ac:dyDescent="0.25">
      <c r="B45" s="19"/>
    </row>
    <row r="46" spans="2:2" ht="11.25" customHeight="1" x14ac:dyDescent="0.25">
      <c r="B46" s="19"/>
    </row>
    <row r="47" spans="2:2" ht="11.25" customHeight="1" x14ac:dyDescent="0.25">
      <c r="B47" s="19"/>
    </row>
    <row r="48" spans="2:2" x14ac:dyDescent="0.25">
      <c r="B48" s="19"/>
    </row>
    <row r="49" spans="2:2" ht="11.25" customHeight="1" x14ac:dyDescent="0.25">
      <c r="B49" s="19"/>
    </row>
    <row r="50" spans="2:2" ht="11.25" customHeight="1" x14ac:dyDescent="0.25">
      <c r="B50" s="19"/>
    </row>
    <row r="51" spans="2:2" ht="11.25" customHeight="1" x14ac:dyDescent="0.25">
      <c r="B51" s="19"/>
    </row>
    <row r="52" spans="2:2" ht="11.25" customHeight="1" x14ac:dyDescent="0.25">
      <c r="B52" s="19"/>
    </row>
    <row r="53" spans="2:2" ht="11.25" customHeight="1" x14ac:dyDescent="0.25">
      <c r="B53" s="19"/>
    </row>
    <row r="54" spans="2:2" ht="11.25" customHeight="1" x14ac:dyDescent="0.25">
      <c r="B54" s="19"/>
    </row>
    <row r="55" spans="2:2" ht="6" customHeight="1" x14ac:dyDescent="0.25">
      <c r="B55" s="19"/>
    </row>
    <row r="56" spans="2:2" ht="11.25" customHeight="1" x14ac:dyDescent="0.25">
      <c r="B56" s="19"/>
    </row>
    <row r="57" spans="2:2" ht="11.25" customHeight="1" x14ac:dyDescent="0.25">
      <c r="B57" s="19"/>
    </row>
    <row r="58" spans="2:2" ht="11.25" customHeight="1" x14ac:dyDescent="0.25">
      <c r="B58" s="19"/>
    </row>
    <row r="59" spans="2:2" ht="11.25" customHeight="1" x14ac:dyDescent="0.25">
      <c r="B59" s="19"/>
    </row>
    <row r="60" spans="2:2" ht="11.25" customHeight="1" x14ac:dyDescent="0.25">
      <c r="B60" s="19"/>
    </row>
    <row r="61" spans="2:2" ht="11.25" customHeight="1" x14ac:dyDescent="0.25">
      <c r="B61" s="19"/>
    </row>
    <row r="62" spans="2:2" ht="11.25" customHeight="1" x14ac:dyDescent="0.25">
      <c r="B62" s="19"/>
    </row>
    <row r="63" spans="2:2" ht="11.25" customHeight="1" x14ac:dyDescent="0.25">
      <c r="B63" s="19"/>
    </row>
    <row r="64" spans="2:2" ht="11.25" customHeight="1" x14ac:dyDescent="0.25">
      <c r="B64" s="19"/>
    </row>
    <row r="65" spans="1:9" ht="11.25" customHeight="1" x14ac:dyDescent="0.25">
      <c r="B65" s="19"/>
    </row>
    <row r="66" spans="1:9" ht="11.25" customHeight="1" x14ac:dyDescent="0.25">
      <c r="B66" s="19"/>
      <c r="I66" s="53"/>
    </row>
    <row r="67" spans="1:9" ht="11.25" customHeight="1" x14ac:dyDescent="0.25">
      <c r="B67" s="19"/>
    </row>
    <row r="68" spans="1:9" ht="11.25" customHeight="1" x14ac:dyDescent="0.25">
      <c r="B68" s="19"/>
    </row>
    <row r="69" spans="1:9" ht="11.25" customHeight="1" x14ac:dyDescent="0.25">
      <c r="B69" s="19"/>
    </row>
    <row r="70" spans="1:9" x14ac:dyDescent="0.25">
      <c r="B70" s="19"/>
    </row>
    <row r="71" spans="1:9" x14ac:dyDescent="0.25">
      <c r="B71" s="19"/>
    </row>
    <row r="72" spans="1:9" ht="11.25" customHeight="1" x14ac:dyDescent="0.25">
      <c r="B72" s="19"/>
    </row>
    <row r="73" spans="1:9" x14ac:dyDescent="0.25">
      <c r="B73" s="19"/>
    </row>
    <row r="74" spans="1:9" x14ac:dyDescent="0.25">
      <c r="B74" s="19"/>
    </row>
    <row r="75" spans="1:9" x14ac:dyDescent="0.25">
      <c r="B75" s="19"/>
    </row>
    <row r="76" spans="1:9" x14ac:dyDescent="0.25">
      <c r="B76" s="19"/>
    </row>
    <row r="77" spans="1:9" ht="11.25" customHeight="1" x14ac:dyDescent="0.25">
      <c r="B77" s="19"/>
    </row>
    <row r="78" spans="1:9" s="54" customFormat="1" ht="11.25" customHeight="1" x14ac:dyDescent="0.25">
      <c r="A78" s="19"/>
      <c r="B78" s="19"/>
      <c r="C78" s="19"/>
      <c r="D78" s="19"/>
      <c r="E78" s="19"/>
      <c r="F78" s="19"/>
      <c r="G78" s="19"/>
      <c r="H78" s="19"/>
    </row>
    <row r="79" spans="1:9" ht="11.25" customHeight="1" x14ac:dyDescent="0.25">
      <c r="B79" s="19"/>
    </row>
    <row r="80" spans="1:9" ht="11.25" customHeight="1" x14ac:dyDescent="0.25">
      <c r="B80" s="19"/>
    </row>
    <row r="81" spans="2:2" ht="11.25" customHeight="1" x14ac:dyDescent="0.25">
      <c r="B81" s="19"/>
    </row>
    <row r="82" spans="2:2" ht="11.25" customHeight="1" x14ac:dyDescent="0.25">
      <c r="B82" s="19"/>
    </row>
    <row r="83" spans="2:2" ht="11.25" customHeight="1" x14ac:dyDescent="0.25">
      <c r="B83" s="19"/>
    </row>
    <row r="84" spans="2:2" ht="11.25" customHeight="1" x14ac:dyDescent="0.25">
      <c r="B84" s="19"/>
    </row>
    <row r="85" spans="2:2" ht="11.25" customHeight="1" x14ac:dyDescent="0.25">
      <c r="B85" s="19"/>
    </row>
    <row r="86" spans="2:2" ht="11.25" customHeight="1" x14ac:dyDescent="0.25">
      <c r="B86" s="19"/>
    </row>
    <row r="87" spans="2:2" ht="11.25" customHeight="1" x14ac:dyDescent="0.25">
      <c r="B87" s="19"/>
    </row>
    <row r="88" spans="2:2" ht="11.25" customHeight="1" x14ac:dyDescent="0.25">
      <c r="B88" s="19"/>
    </row>
    <row r="89" spans="2:2" ht="11.25" customHeight="1" x14ac:dyDescent="0.25">
      <c r="B89" s="19"/>
    </row>
    <row r="90" spans="2:2" ht="11.25" customHeight="1" x14ac:dyDescent="0.25">
      <c r="B90" s="19"/>
    </row>
    <row r="91" spans="2:2" ht="11.25" customHeight="1" x14ac:dyDescent="0.25">
      <c r="B91" s="19"/>
    </row>
    <row r="92" spans="2:2" ht="11.25" customHeight="1" x14ac:dyDescent="0.25">
      <c r="B92" s="19"/>
    </row>
    <row r="93" spans="2:2" ht="11.25" customHeight="1" x14ac:dyDescent="0.25">
      <c r="B93" s="19"/>
    </row>
    <row r="94" spans="2:2" ht="11.25" customHeight="1" x14ac:dyDescent="0.25"/>
    <row r="95" spans="2:2" ht="11.25" customHeight="1" x14ac:dyDescent="0.25"/>
    <row r="96" spans="2:2" ht="11.25" customHeight="1" x14ac:dyDescent="0.25"/>
    <row r="97" ht="11.25" customHeight="1" x14ac:dyDescent="0.25"/>
    <row r="98" ht="11.25" customHeight="1" x14ac:dyDescent="0.25"/>
    <row r="99" ht="11.25" customHeight="1" x14ac:dyDescent="0.25"/>
    <row r="100" ht="11.25" customHeight="1" x14ac:dyDescent="0.25"/>
    <row r="101" ht="11.25" customHeight="1" x14ac:dyDescent="0.25"/>
  </sheetData>
  <mergeCells count="9">
    <mergeCell ref="E2:G2"/>
    <mergeCell ref="A28:N28"/>
    <mergeCell ref="C3:C4"/>
    <mergeCell ref="D3:D4"/>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FF0000"/>
    <pageSetUpPr fitToPage="1"/>
  </sheetPr>
  <dimension ref="A1:Q159"/>
  <sheetViews>
    <sheetView showGridLines="0" zoomScaleNormal="100" zoomScaleSheetLayoutView="130" workbookViewId="0">
      <pane xSplit="2" ySplit="1" topLeftCell="N21" activePane="bottomRight" state="frozen"/>
      <selection activeCell="A23" sqref="A23"/>
      <selection pane="topRight" activeCell="A23" sqref="A23"/>
      <selection pane="bottomLeft" activeCell="A23" sqref="A23"/>
      <selection pane="bottomRight" sqref="A1:XFD1048576"/>
    </sheetView>
  </sheetViews>
  <sheetFormatPr defaultRowHeight="12.75" x14ac:dyDescent="0.25"/>
  <cols>
    <col min="1" max="1" width="50.28515625" style="19" customWidth="1"/>
    <col min="2" max="2" width="29.5703125" style="41" hidden="1" customWidth="1"/>
    <col min="3" max="3" width="20.28515625" style="19" hidden="1" customWidth="1"/>
    <col min="4" max="4" width="13.28515625" style="19" hidden="1" customWidth="1"/>
    <col min="5" max="5" width="25.85546875" style="19" hidden="1" customWidth="1"/>
    <col min="6" max="6" width="20.7109375" style="19" hidden="1" customWidth="1"/>
    <col min="7" max="7" width="23.140625" style="19" hidden="1" customWidth="1"/>
    <col min="8" max="8" width="21.42578125" style="19" hidden="1" customWidth="1"/>
    <col min="9" max="9" width="21.140625" style="19" hidden="1" customWidth="1"/>
    <col min="10" max="10" width="17.5703125" style="19" hidden="1" customWidth="1"/>
    <col min="11" max="11" width="17.7109375" style="19" hidden="1" customWidth="1"/>
    <col min="12" max="12" width="19.5703125" style="19" hidden="1" customWidth="1"/>
    <col min="13" max="13" width="8.7109375" style="19" hidden="1" customWidth="1"/>
    <col min="14" max="14" width="10.5703125" style="19" customWidth="1"/>
    <col min="15" max="15" width="10.85546875" style="19" customWidth="1"/>
    <col min="16" max="16" width="11" style="19" customWidth="1"/>
    <col min="17" max="17" width="10.7109375" style="19" customWidth="1"/>
    <col min="18" max="18" width="9.85546875" style="19" customWidth="1"/>
    <col min="19" max="21" width="9.5703125" style="19" customWidth="1"/>
    <col min="22" max="22" width="9.85546875" style="19" customWidth="1"/>
    <col min="23" max="25" width="9.5703125" style="19" customWidth="1"/>
    <col min="26" max="27" width="9.85546875" style="19" customWidth="1"/>
    <col min="28" max="16384" width="9.140625" style="19"/>
  </cols>
  <sheetData>
    <row r="1" spans="1:17" ht="13.5" x14ac:dyDescent="0.25">
      <c r="A1" s="100" t="str">
        <f>_MEB13</f>
        <v>Centlec - Supporting Table SD9 Detailed capital budget</v>
      </c>
    </row>
    <row r="2" spans="1:17" ht="22.15" customHeight="1" x14ac:dyDescent="0.25">
      <c r="A2" s="525" t="s">
        <v>822</v>
      </c>
      <c r="B2" s="520"/>
      <c r="C2" s="520"/>
      <c r="D2" s="520"/>
      <c r="E2" s="526"/>
      <c r="F2" s="526"/>
      <c r="G2" s="526"/>
      <c r="H2" s="526"/>
      <c r="I2" s="526"/>
      <c r="J2" s="526"/>
      <c r="K2" s="526"/>
      <c r="L2" s="527"/>
      <c r="M2" s="737"/>
      <c r="N2" s="717"/>
      <c r="O2" s="693" t="str">
        <f>Head3</f>
        <v>2020/21 Medium Term Revenue &amp; Expenditure Framework</v>
      </c>
      <c r="P2" s="694"/>
      <c r="Q2" s="695"/>
    </row>
    <row r="3" spans="1:17" s="532" customFormat="1" ht="50.25" customHeight="1" x14ac:dyDescent="0.2">
      <c r="A3" s="528" t="s">
        <v>993</v>
      </c>
      <c r="B3" s="322" t="s">
        <v>994</v>
      </c>
      <c r="C3" s="322" t="s">
        <v>995</v>
      </c>
      <c r="D3" s="322" t="s">
        <v>996</v>
      </c>
      <c r="E3" s="322" t="s">
        <v>997</v>
      </c>
      <c r="F3" s="322" t="s">
        <v>998</v>
      </c>
      <c r="G3" s="322" t="s">
        <v>999</v>
      </c>
      <c r="H3" s="322" t="s">
        <v>1000</v>
      </c>
      <c r="I3" s="322" t="s">
        <v>1001</v>
      </c>
      <c r="J3" s="322" t="s">
        <v>1002</v>
      </c>
      <c r="K3" s="322" t="s">
        <v>1003</v>
      </c>
      <c r="L3" s="529" t="s">
        <v>1004</v>
      </c>
      <c r="M3" s="530" t="str">
        <f>Head5&amp;"    "&amp;Head1</f>
        <v>Audited Outcome    2018/19</v>
      </c>
      <c r="N3" s="531" t="str">
        <f>Head2 &amp; "        "&amp;Head8</f>
        <v>Current Year 2019/20        Full Year Forecast</v>
      </c>
      <c r="O3" s="449" t="str">
        <f>Head9</f>
        <v>Budget Year 2020/21</v>
      </c>
      <c r="P3" s="322" t="str">
        <f>Head10</f>
        <v>Budget Year +1 2021/22</v>
      </c>
      <c r="Q3" s="324" t="str">
        <f>Head11</f>
        <v>Budget Year +2 2022/23</v>
      </c>
    </row>
    <row r="4" spans="1:17" x14ac:dyDescent="0.25">
      <c r="A4" s="560" t="s">
        <v>1005</v>
      </c>
      <c r="B4" s="533"/>
      <c r="C4" s="534"/>
      <c r="D4" s="534"/>
      <c r="E4" s="534"/>
      <c r="F4" s="534"/>
      <c r="G4" s="534"/>
      <c r="H4" s="535"/>
      <c r="I4" s="536"/>
      <c r="J4" s="535"/>
      <c r="K4" s="537"/>
      <c r="L4" s="538"/>
      <c r="M4" s="26"/>
      <c r="N4" s="24"/>
      <c r="O4" s="307"/>
      <c r="P4" s="25"/>
      <c r="Q4" s="306"/>
    </row>
    <row r="5" spans="1:17" ht="11.25" customHeight="1" x14ac:dyDescent="0.25">
      <c r="A5" s="539" t="s">
        <v>1006</v>
      </c>
      <c r="B5" s="533"/>
      <c r="C5" s="534"/>
      <c r="D5" s="534"/>
      <c r="E5" s="534"/>
      <c r="F5" s="534"/>
      <c r="G5" s="534"/>
      <c r="H5" s="535"/>
      <c r="I5" s="536"/>
      <c r="J5" s="535"/>
      <c r="K5" s="537"/>
      <c r="L5" s="538"/>
      <c r="M5" s="788"/>
      <c r="N5" s="541"/>
      <c r="O5" s="542"/>
      <c r="P5" s="540"/>
      <c r="Q5" s="543"/>
    </row>
    <row r="6" spans="1:17" ht="5.0999999999999996" customHeight="1" x14ac:dyDescent="0.25">
      <c r="A6" s="544"/>
      <c r="B6" s="533"/>
      <c r="C6" s="534"/>
      <c r="D6" s="534"/>
      <c r="E6" s="534"/>
      <c r="F6" s="534"/>
      <c r="G6" s="534"/>
      <c r="H6" s="535"/>
      <c r="I6" s="536"/>
      <c r="J6" s="535"/>
      <c r="K6" s="537"/>
      <c r="L6" s="538"/>
      <c r="M6" s="26"/>
      <c r="N6" s="24"/>
      <c r="O6" s="307"/>
      <c r="P6" s="25"/>
      <c r="Q6" s="306"/>
    </row>
    <row r="7" spans="1:17" ht="11.25" customHeight="1" x14ac:dyDescent="0.25">
      <c r="A7" s="545" t="s">
        <v>1007</v>
      </c>
      <c r="B7" s="546"/>
      <c r="C7" s="547"/>
      <c r="D7" s="547"/>
      <c r="E7" s="548"/>
      <c r="F7" s="548"/>
      <c r="G7" s="546"/>
      <c r="H7" s="548"/>
      <c r="I7" s="549"/>
      <c r="J7" s="546"/>
      <c r="K7" s="550"/>
      <c r="L7" s="551"/>
      <c r="M7" s="481"/>
      <c r="N7" s="478"/>
      <c r="O7" s="477"/>
      <c r="P7" s="475"/>
      <c r="Q7" s="476"/>
    </row>
    <row r="8" spans="1:17" ht="11.25" customHeight="1" x14ac:dyDescent="0.25">
      <c r="A8" s="552" t="s">
        <v>1008</v>
      </c>
      <c r="B8" s="550"/>
      <c r="C8" s="553"/>
      <c r="D8" s="547"/>
      <c r="E8" s="548"/>
      <c r="F8" s="548"/>
      <c r="G8" s="546"/>
      <c r="H8" s="548"/>
      <c r="I8" s="549"/>
      <c r="J8" s="546"/>
      <c r="K8" s="550"/>
      <c r="L8" s="551"/>
      <c r="M8" s="481"/>
      <c r="N8" s="478"/>
      <c r="O8" s="477"/>
      <c r="P8" s="475"/>
      <c r="Q8" s="476"/>
    </row>
    <row r="9" spans="1:17" ht="5.0999999999999996" customHeight="1" x14ac:dyDescent="0.25">
      <c r="A9" s="554"/>
      <c r="B9" s="550"/>
      <c r="C9" s="553"/>
      <c r="D9" s="547"/>
      <c r="E9" s="548"/>
      <c r="F9" s="548"/>
      <c r="G9" s="546"/>
      <c r="H9" s="548"/>
      <c r="I9" s="549"/>
      <c r="J9" s="546"/>
      <c r="K9" s="550"/>
      <c r="L9" s="551"/>
      <c r="M9" s="481"/>
      <c r="N9" s="478"/>
      <c r="O9" s="477"/>
      <c r="P9" s="475"/>
      <c r="Q9" s="476"/>
    </row>
    <row r="10" spans="1:17" ht="11.25" customHeight="1" x14ac:dyDescent="0.25">
      <c r="A10" s="545" t="s">
        <v>1009</v>
      </c>
      <c r="B10" s="550"/>
      <c r="C10" s="553"/>
      <c r="D10" s="547"/>
      <c r="E10" s="548"/>
      <c r="F10" s="548"/>
      <c r="G10" s="546"/>
      <c r="H10" s="548"/>
      <c r="I10" s="549"/>
      <c r="J10" s="546"/>
      <c r="K10" s="550"/>
      <c r="L10" s="551"/>
      <c r="M10" s="481"/>
      <c r="N10" s="478"/>
      <c r="O10" s="477"/>
      <c r="P10" s="475"/>
      <c r="Q10" s="476"/>
    </row>
    <row r="11" spans="1:17" ht="11.25" customHeight="1" x14ac:dyDescent="0.25">
      <c r="A11" s="552" t="s">
        <v>1010</v>
      </c>
      <c r="B11" s="550"/>
      <c r="C11" s="553"/>
      <c r="D11" s="547"/>
      <c r="E11" s="548"/>
      <c r="F11" s="548"/>
      <c r="G11" s="546"/>
      <c r="H11" s="548"/>
      <c r="I11" s="549"/>
      <c r="J11" s="546"/>
      <c r="K11" s="550"/>
      <c r="L11" s="551"/>
      <c r="M11" s="481"/>
      <c r="N11" s="478"/>
      <c r="O11" s="477"/>
      <c r="P11" s="475"/>
      <c r="Q11" s="476"/>
    </row>
    <row r="12" spans="1:17" ht="11.25" customHeight="1" x14ac:dyDescent="0.25">
      <c r="A12" s="657" t="s">
        <v>1181</v>
      </c>
      <c r="B12" s="550"/>
      <c r="C12" s="553"/>
      <c r="D12" s="547"/>
      <c r="E12" s="548"/>
      <c r="F12" s="548"/>
      <c r="G12" s="546"/>
      <c r="H12" s="548"/>
      <c r="I12" s="549"/>
      <c r="J12" s="546"/>
      <c r="K12" s="550"/>
      <c r="L12" s="551"/>
      <c r="M12" s="481"/>
      <c r="N12" s="478">
        <v>821189</v>
      </c>
      <c r="O12" s="477">
        <v>858963.69400000002</v>
      </c>
      <c r="P12" s="475">
        <v>900193.95131200005</v>
      </c>
      <c r="Q12" s="476">
        <v>943403.260974976</v>
      </c>
    </row>
    <row r="13" spans="1:17" ht="11.25" customHeight="1" x14ac:dyDescent="0.25">
      <c r="A13" s="657" t="s">
        <v>1182</v>
      </c>
      <c r="B13" s="550"/>
      <c r="C13" s="553"/>
      <c r="D13" s="547"/>
      <c r="E13" s="548"/>
      <c r="F13" s="548"/>
      <c r="G13" s="546"/>
      <c r="H13" s="548"/>
      <c r="I13" s="549"/>
      <c r="J13" s="546"/>
      <c r="K13" s="550"/>
      <c r="L13" s="551"/>
      <c r="M13" s="481"/>
      <c r="N13" s="478"/>
      <c r="O13" s="477">
        <v>1000000</v>
      </c>
      <c r="P13" s="475">
        <v>1048000</v>
      </c>
      <c r="Q13" s="476">
        <v>1098304</v>
      </c>
    </row>
    <row r="14" spans="1:17" ht="11.25" customHeight="1" x14ac:dyDescent="0.25">
      <c r="A14" s="657" t="s">
        <v>1241</v>
      </c>
      <c r="B14" s="550"/>
      <c r="C14" s="553"/>
      <c r="D14" s="547"/>
      <c r="E14" s="548"/>
      <c r="F14" s="548"/>
      <c r="G14" s="546"/>
      <c r="H14" s="548"/>
      <c r="I14" s="549"/>
      <c r="J14" s="546"/>
      <c r="K14" s="550"/>
      <c r="L14" s="551"/>
      <c r="M14" s="481"/>
      <c r="N14" s="478">
        <v>280000</v>
      </c>
      <c r="O14" s="477">
        <v>3292880</v>
      </c>
      <c r="P14" s="475">
        <v>3450938.24</v>
      </c>
      <c r="Q14" s="476">
        <v>3616583.2755200001</v>
      </c>
    </row>
    <row r="15" spans="1:17" ht="11.25" customHeight="1" x14ac:dyDescent="0.25">
      <c r="A15" s="657" t="s">
        <v>1183</v>
      </c>
      <c r="B15" s="550"/>
      <c r="C15" s="553"/>
      <c r="D15" s="547"/>
      <c r="E15" s="548"/>
      <c r="F15" s="548"/>
      <c r="G15" s="546"/>
      <c r="H15" s="548"/>
      <c r="I15" s="549"/>
      <c r="J15" s="546"/>
      <c r="K15" s="550"/>
      <c r="L15" s="551"/>
      <c r="M15" s="481"/>
      <c r="N15" s="478">
        <v>5145048</v>
      </c>
      <c r="O15" s="477">
        <v>5381720.2079999996</v>
      </c>
      <c r="P15" s="475">
        <v>5640042.7779839998</v>
      </c>
      <c r="Q15" s="476">
        <v>5910764.8313272316</v>
      </c>
    </row>
    <row r="16" spans="1:17" ht="11.25" customHeight="1" x14ac:dyDescent="0.25">
      <c r="A16" s="657" t="s">
        <v>1216</v>
      </c>
      <c r="B16" s="550"/>
      <c r="C16" s="553"/>
      <c r="D16" s="547"/>
      <c r="E16" s="548"/>
      <c r="F16" s="548"/>
      <c r="G16" s="546"/>
      <c r="H16" s="548"/>
      <c r="I16" s="549"/>
      <c r="J16" s="546"/>
      <c r="K16" s="550"/>
      <c r="L16" s="551"/>
      <c r="M16" s="481"/>
      <c r="N16" s="478">
        <v>1173126</v>
      </c>
      <c r="O16" s="477">
        <v>1227089.7960000001</v>
      </c>
      <c r="P16" s="475">
        <v>1285990.1062080001</v>
      </c>
      <c r="Q16" s="476">
        <v>1347717.6313059842</v>
      </c>
    </row>
    <row r="17" spans="1:17" ht="11.25" customHeight="1" x14ac:dyDescent="0.25">
      <c r="A17" s="657" t="s">
        <v>1217</v>
      </c>
      <c r="B17" s="550"/>
      <c r="C17" s="553"/>
      <c r="D17" s="547"/>
      <c r="E17" s="548"/>
      <c r="F17" s="548"/>
      <c r="G17" s="546"/>
      <c r="H17" s="548"/>
      <c r="I17" s="549"/>
      <c r="J17" s="546"/>
      <c r="K17" s="550"/>
      <c r="L17" s="551"/>
      <c r="M17" s="481"/>
      <c r="N17" s="478">
        <v>10000000</v>
      </c>
      <c r="O17" s="477">
        <v>10460000</v>
      </c>
      <c r="P17" s="475">
        <v>10962080</v>
      </c>
      <c r="Q17" s="476">
        <v>11488259.84</v>
      </c>
    </row>
    <row r="18" spans="1:17" ht="11.25" customHeight="1" x14ac:dyDescent="0.25">
      <c r="A18" s="658" t="s">
        <v>1218</v>
      </c>
      <c r="B18" s="550"/>
      <c r="C18" s="553"/>
      <c r="D18" s="547"/>
      <c r="E18" s="548"/>
      <c r="F18" s="548"/>
      <c r="G18" s="546"/>
      <c r="H18" s="548"/>
      <c r="I18" s="549"/>
      <c r="J18" s="546"/>
      <c r="K18" s="550"/>
      <c r="L18" s="551"/>
      <c r="M18" s="481"/>
      <c r="N18" s="478">
        <v>26000000</v>
      </c>
      <c r="O18" s="477">
        <v>57499976</v>
      </c>
      <c r="P18" s="475">
        <v>24868551</v>
      </c>
      <c r="Q18" s="476">
        <v>27214151</v>
      </c>
    </row>
    <row r="19" spans="1:17" ht="11.25" customHeight="1" x14ac:dyDescent="0.25">
      <c r="A19" s="658" t="s">
        <v>1219</v>
      </c>
      <c r="B19" s="550"/>
      <c r="C19" s="553"/>
      <c r="D19" s="547"/>
      <c r="E19" s="548"/>
      <c r="F19" s="548"/>
      <c r="G19" s="546"/>
      <c r="H19" s="548"/>
      <c r="I19" s="549"/>
      <c r="J19" s="546"/>
      <c r="K19" s="550"/>
      <c r="L19" s="551"/>
      <c r="M19" s="481"/>
      <c r="N19" s="478"/>
      <c r="O19" s="477">
        <v>5000000</v>
      </c>
      <c r="P19" s="475"/>
      <c r="Q19" s="476"/>
    </row>
    <row r="20" spans="1:17" ht="11.25" customHeight="1" x14ac:dyDescent="0.25">
      <c r="A20" s="242" t="s">
        <v>1220</v>
      </c>
      <c r="B20" s="550"/>
      <c r="C20" s="553"/>
      <c r="D20" s="547"/>
      <c r="E20" s="548"/>
      <c r="F20" s="548"/>
      <c r="G20" s="546"/>
      <c r="H20" s="548"/>
      <c r="I20" s="549"/>
      <c r="J20" s="546"/>
      <c r="K20" s="550"/>
      <c r="L20" s="551"/>
      <c r="M20" s="481"/>
      <c r="N20" s="478"/>
      <c r="O20" s="477">
        <v>5000000</v>
      </c>
      <c r="P20" s="475"/>
      <c r="Q20" s="476"/>
    </row>
    <row r="21" spans="1:17" ht="11.25" customHeight="1" x14ac:dyDescent="0.25">
      <c r="A21" s="242" t="s">
        <v>1186</v>
      </c>
      <c r="B21" s="550"/>
      <c r="C21" s="553"/>
      <c r="D21" s="547"/>
      <c r="E21" s="548"/>
      <c r="F21" s="548"/>
      <c r="G21" s="546"/>
      <c r="H21" s="548"/>
      <c r="I21" s="549"/>
      <c r="J21" s="546"/>
      <c r="K21" s="550"/>
      <c r="L21" s="551"/>
      <c r="M21" s="481"/>
      <c r="N21" s="478">
        <v>14000000</v>
      </c>
      <c r="O21" s="477">
        <v>7000000</v>
      </c>
      <c r="P21" s="475">
        <v>7336000</v>
      </c>
      <c r="Q21" s="476">
        <v>7688128</v>
      </c>
    </row>
    <row r="22" spans="1:17" ht="11.25" customHeight="1" x14ac:dyDescent="0.25">
      <c r="A22" s="242" t="s">
        <v>1243</v>
      </c>
      <c r="B22" s="550"/>
      <c r="C22" s="553"/>
      <c r="D22" s="547"/>
      <c r="E22" s="548"/>
      <c r="F22" s="548"/>
      <c r="G22" s="546"/>
      <c r="H22" s="548"/>
      <c r="I22" s="549"/>
      <c r="J22" s="546"/>
      <c r="K22" s="550"/>
      <c r="L22" s="551"/>
      <c r="M22" s="481"/>
      <c r="N22" s="478">
        <v>5027599</v>
      </c>
      <c r="O22" s="477">
        <v>5000000</v>
      </c>
      <c r="P22" s="475">
        <v>5240000</v>
      </c>
      <c r="Q22" s="476">
        <v>5491520</v>
      </c>
    </row>
    <row r="23" spans="1:17" ht="11.25" customHeight="1" x14ac:dyDescent="0.25">
      <c r="A23" s="242" t="s">
        <v>1184</v>
      </c>
      <c r="B23" s="550"/>
      <c r="C23" s="553"/>
      <c r="D23" s="547"/>
      <c r="E23" s="548"/>
      <c r="F23" s="548"/>
      <c r="G23" s="546"/>
      <c r="H23" s="548"/>
      <c r="I23" s="549"/>
      <c r="J23" s="546"/>
      <c r="K23" s="550"/>
      <c r="L23" s="551"/>
      <c r="M23" s="481"/>
      <c r="N23" s="478">
        <v>11408079</v>
      </c>
      <c r="O23" s="477">
        <v>11932850.634</v>
      </c>
      <c r="P23" s="475">
        <v>12505627.464431999</v>
      </c>
      <c r="Q23" s="476">
        <v>13105897.582724735</v>
      </c>
    </row>
    <row r="24" spans="1:17" ht="11.25" customHeight="1" x14ac:dyDescent="0.25">
      <c r="A24" s="242" t="s">
        <v>1221</v>
      </c>
      <c r="B24" s="550"/>
      <c r="C24" s="553"/>
      <c r="D24" s="547"/>
      <c r="E24" s="548"/>
      <c r="F24" s="548"/>
      <c r="G24" s="546"/>
      <c r="H24" s="548"/>
      <c r="I24" s="549"/>
      <c r="J24" s="546"/>
      <c r="K24" s="550"/>
      <c r="L24" s="551"/>
      <c r="M24" s="481"/>
      <c r="N24" s="478">
        <v>380553</v>
      </c>
      <c r="O24" s="477">
        <v>3000000</v>
      </c>
      <c r="P24" s="475">
        <v>3144000</v>
      </c>
      <c r="Q24" s="476">
        <v>3294912</v>
      </c>
    </row>
    <row r="25" spans="1:17" ht="11.25" customHeight="1" x14ac:dyDescent="0.25">
      <c r="A25" s="242" t="s">
        <v>1242</v>
      </c>
      <c r="B25" s="550"/>
      <c r="C25" s="553"/>
      <c r="D25" s="547"/>
      <c r="E25" s="548"/>
      <c r="F25" s="548"/>
      <c r="G25" s="546"/>
      <c r="H25" s="548"/>
      <c r="I25" s="549"/>
      <c r="J25" s="546"/>
      <c r="K25" s="550"/>
      <c r="L25" s="551"/>
      <c r="M25" s="481"/>
      <c r="N25" s="478">
        <v>555984</v>
      </c>
      <c r="O25" s="477">
        <v>581559.26399999997</v>
      </c>
      <c r="P25" s="475">
        <v>609474.108672</v>
      </c>
      <c r="Q25" s="476">
        <v>638728.865888256</v>
      </c>
    </row>
    <row r="26" spans="1:17" ht="11.25" customHeight="1" x14ac:dyDescent="0.25">
      <c r="A26" s="242" t="s">
        <v>1187</v>
      </c>
      <c r="B26" s="550"/>
      <c r="C26" s="553"/>
      <c r="D26" s="547"/>
      <c r="E26" s="548"/>
      <c r="F26" s="548"/>
      <c r="G26" s="546"/>
      <c r="H26" s="548"/>
      <c r="I26" s="549"/>
      <c r="J26" s="546"/>
      <c r="K26" s="550"/>
      <c r="L26" s="551"/>
      <c r="M26" s="481"/>
      <c r="N26" s="478">
        <v>9533402</v>
      </c>
      <c r="O26" s="477">
        <v>5000000</v>
      </c>
      <c r="P26" s="475">
        <v>5240000</v>
      </c>
      <c r="Q26" s="476">
        <v>5491520</v>
      </c>
    </row>
    <row r="27" spans="1:17" ht="11.25" customHeight="1" x14ac:dyDescent="0.25">
      <c r="A27" s="242" t="s">
        <v>1222</v>
      </c>
      <c r="B27" s="550"/>
      <c r="C27" s="553"/>
      <c r="D27" s="547"/>
      <c r="E27" s="548"/>
      <c r="F27" s="548"/>
      <c r="G27" s="546"/>
      <c r="H27" s="548"/>
      <c r="I27" s="549"/>
      <c r="J27" s="546"/>
      <c r="K27" s="550"/>
      <c r="L27" s="551"/>
      <c r="M27" s="481"/>
      <c r="N27" s="478">
        <v>58564</v>
      </c>
      <c r="O27" s="477">
        <v>61257.944000000003</v>
      </c>
      <c r="P27" s="475">
        <v>64198.325312000001</v>
      </c>
      <c r="Q27" s="476">
        <v>67279.844926976002</v>
      </c>
    </row>
    <row r="28" spans="1:17" ht="11.25" customHeight="1" x14ac:dyDescent="0.25">
      <c r="A28" s="242" t="s">
        <v>1190</v>
      </c>
      <c r="B28" s="550"/>
      <c r="C28" s="553"/>
      <c r="D28" s="547"/>
      <c r="E28" s="548"/>
      <c r="F28" s="548"/>
      <c r="G28" s="546"/>
      <c r="H28" s="548"/>
      <c r="I28" s="549"/>
      <c r="J28" s="546"/>
      <c r="K28" s="550"/>
      <c r="L28" s="551"/>
      <c r="M28" s="481"/>
      <c r="N28" s="478">
        <v>328326</v>
      </c>
      <c r="O28" s="477">
        <v>1000000</v>
      </c>
      <c r="P28" s="475">
        <v>1048000</v>
      </c>
      <c r="Q28" s="476">
        <v>1098304</v>
      </c>
    </row>
    <row r="29" spans="1:17" ht="11.25" customHeight="1" x14ac:dyDescent="0.25">
      <c r="A29" s="658" t="s">
        <v>1246</v>
      </c>
      <c r="B29" s="550"/>
      <c r="C29" s="553"/>
      <c r="D29" s="547"/>
      <c r="E29" s="548"/>
      <c r="F29" s="548"/>
      <c r="G29" s="546"/>
      <c r="H29" s="548"/>
      <c r="I29" s="549"/>
      <c r="J29" s="546"/>
      <c r="K29" s="550"/>
      <c r="L29" s="551"/>
      <c r="M29" s="481"/>
      <c r="N29" s="478">
        <v>571035</v>
      </c>
      <c r="O29" s="477">
        <v>597302.61</v>
      </c>
      <c r="P29" s="475">
        <v>625973.13528000005</v>
      </c>
      <c r="Q29" s="476">
        <v>656019.84577344009</v>
      </c>
    </row>
    <row r="30" spans="1:17" ht="11.25" customHeight="1" x14ac:dyDescent="0.25">
      <c r="A30" s="658" t="s">
        <v>1185</v>
      </c>
      <c r="B30" s="550"/>
      <c r="C30" s="553"/>
      <c r="D30" s="547"/>
      <c r="E30" s="548"/>
      <c r="F30" s="548"/>
      <c r="G30" s="546"/>
      <c r="H30" s="548"/>
      <c r="I30" s="549"/>
      <c r="J30" s="546"/>
      <c r="K30" s="550"/>
      <c r="L30" s="551"/>
      <c r="M30" s="481"/>
      <c r="N30" s="478">
        <v>8000000</v>
      </c>
      <c r="O30" s="477">
        <v>6000000</v>
      </c>
      <c r="P30" s="475">
        <v>6288000</v>
      </c>
      <c r="Q30" s="476">
        <v>6589824</v>
      </c>
    </row>
    <row r="31" spans="1:17" ht="11.25" customHeight="1" x14ac:dyDescent="0.25">
      <c r="A31" s="658" t="s">
        <v>1188</v>
      </c>
      <c r="B31" s="550"/>
      <c r="C31" s="553"/>
      <c r="D31" s="547"/>
      <c r="E31" s="548"/>
      <c r="F31" s="548"/>
      <c r="G31" s="546"/>
      <c r="H31" s="548"/>
      <c r="I31" s="549"/>
      <c r="J31" s="546"/>
      <c r="K31" s="550"/>
      <c r="L31" s="551"/>
      <c r="M31" s="481"/>
      <c r="N31" s="478">
        <v>504729</v>
      </c>
      <c r="O31" s="477">
        <v>1500000</v>
      </c>
      <c r="P31" s="475">
        <v>1572000</v>
      </c>
      <c r="Q31" s="476">
        <v>1647456</v>
      </c>
    </row>
    <row r="32" spans="1:17" ht="11.25" customHeight="1" x14ac:dyDescent="0.25">
      <c r="A32" s="658" t="s">
        <v>1189</v>
      </c>
      <c r="B32" s="550"/>
      <c r="C32" s="553"/>
      <c r="D32" s="547"/>
      <c r="E32" s="548"/>
      <c r="F32" s="548"/>
      <c r="G32" s="546"/>
      <c r="H32" s="548"/>
      <c r="I32" s="549"/>
      <c r="J32" s="546"/>
      <c r="K32" s="550"/>
      <c r="L32" s="551"/>
      <c r="M32" s="481"/>
      <c r="N32" s="478">
        <v>469764</v>
      </c>
      <c r="O32" s="477">
        <v>750000</v>
      </c>
      <c r="P32" s="475">
        <v>786000</v>
      </c>
      <c r="Q32" s="476">
        <v>823728</v>
      </c>
    </row>
    <row r="33" spans="1:17" ht="11.25" customHeight="1" x14ac:dyDescent="0.25">
      <c r="A33" s="658" t="s">
        <v>1191</v>
      </c>
      <c r="B33" s="550"/>
      <c r="C33" s="553"/>
      <c r="D33" s="547"/>
      <c r="E33" s="548"/>
      <c r="F33" s="548"/>
      <c r="G33" s="546"/>
      <c r="H33" s="548"/>
      <c r="I33" s="549"/>
      <c r="J33" s="546"/>
      <c r="K33" s="550"/>
      <c r="L33" s="551"/>
      <c r="M33" s="481"/>
      <c r="N33" s="478">
        <v>3320708</v>
      </c>
      <c r="O33" s="477">
        <v>3500000</v>
      </c>
      <c r="P33" s="475">
        <v>3668000</v>
      </c>
      <c r="Q33" s="476">
        <v>3844064</v>
      </c>
    </row>
    <row r="34" spans="1:17" ht="11.25" customHeight="1" x14ac:dyDescent="0.25">
      <c r="A34" s="658" t="s">
        <v>1195</v>
      </c>
      <c r="B34" s="550"/>
      <c r="C34" s="553"/>
      <c r="D34" s="547"/>
      <c r="E34" s="548"/>
      <c r="F34" s="548"/>
      <c r="G34" s="546"/>
      <c r="H34" s="548"/>
      <c r="I34" s="549"/>
      <c r="J34" s="546"/>
      <c r="K34" s="550"/>
      <c r="L34" s="551"/>
      <c r="M34" s="481"/>
      <c r="N34" s="478">
        <v>545219</v>
      </c>
      <c r="O34" s="477">
        <v>1500000</v>
      </c>
      <c r="P34" s="475">
        <v>1572000</v>
      </c>
      <c r="Q34" s="476">
        <v>1647456</v>
      </c>
    </row>
    <row r="35" spans="1:17" ht="11.25" customHeight="1" x14ac:dyDescent="0.25">
      <c r="A35" s="658" t="s">
        <v>1192</v>
      </c>
      <c r="B35" s="550"/>
      <c r="C35" s="553"/>
      <c r="D35" s="547"/>
      <c r="E35" s="548"/>
      <c r="F35" s="548"/>
      <c r="G35" s="546"/>
      <c r="H35" s="548"/>
      <c r="I35" s="549"/>
      <c r="J35" s="546"/>
      <c r="K35" s="550"/>
      <c r="L35" s="551"/>
      <c r="M35" s="481"/>
      <c r="N35" s="478">
        <v>562532</v>
      </c>
      <c r="O35" s="477">
        <v>1500000</v>
      </c>
      <c r="P35" s="475">
        <v>1572000</v>
      </c>
      <c r="Q35" s="476">
        <v>1647456</v>
      </c>
    </row>
    <row r="36" spans="1:17" ht="11.25" customHeight="1" x14ac:dyDescent="0.25">
      <c r="A36" s="658" t="s">
        <v>1194</v>
      </c>
      <c r="B36" s="550"/>
      <c r="C36" s="553"/>
      <c r="D36" s="547"/>
      <c r="E36" s="548"/>
      <c r="F36" s="548"/>
      <c r="G36" s="546"/>
      <c r="H36" s="548"/>
      <c r="I36" s="549"/>
      <c r="J36" s="546"/>
      <c r="K36" s="550"/>
      <c r="L36" s="551"/>
      <c r="M36" s="481"/>
      <c r="N36" s="478">
        <v>393282</v>
      </c>
      <c r="O36" s="477">
        <v>100000</v>
      </c>
      <c r="P36" s="475">
        <v>104800</v>
      </c>
      <c r="Q36" s="476">
        <v>109830.39999999999</v>
      </c>
    </row>
    <row r="37" spans="1:17" ht="11.25" customHeight="1" x14ac:dyDescent="0.25">
      <c r="A37" s="658" t="s">
        <v>1245</v>
      </c>
      <c r="B37" s="550"/>
      <c r="C37" s="553"/>
      <c r="D37" s="547"/>
      <c r="E37" s="548"/>
      <c r="F37" s="548"/>
      <c r="G37" s="546"/>
      <c r="H37" s="548"/>
      <c r="I37" s="549"/>
      <c r="J37" s="546"/>
      <c r="K37" s="550"/>
      <c r="L37" s="551"/>
      <c r="M37" s="481"/>
      <c r="N37" s="478">
        <v>3000000</v>
      </c>
      <c r="O37" s="477">
        <v>3000000</v>
      </c>
      <c r="P37" s="475">
        <v>3144000</v>
      </c>
      <c r="Q37" s="476">
        <v>3294912</v>
      </c>
    </row>
    <row r="38" spans="1:17" ht="11.25" customHeight="1" x14ac:dyDescent="0.25">
      <c r="A38" s="658" t="s">
        <v>1244</v>
      </c>
      <c r="B38" s="550"/>
      <c r="C38" s="553"/>
      <c r="D38" s="547"/>
      <c r="E38" s="548"/>
      <c r="F38" s="548"/>
      <c r="G38" s="546"/>
      <c r="H38" s="548"/>
      <c r="I38" s="549"/>
      <c r="J38" s="546"/>
      <c r="K38" s="550"/>
      <c r="L38" s="551"/>
      <c r="M38" s="481"/>
      <c r="N38" s="478">
        <v>5000000</v>
      </c>
      <c r="O38" s="477">
        <v>5000000</v>
      </c>
      <c r="P38" s="475">
        <v>5240000</v>
      </c>
      <c r="Q38" s="476">
        <v>5491520</v>
      </c>
    </row>
    <row r="39" spans="1:17" ht="11.25" customHeight="1" x14ac:dyDescent="0.25">
      <c r="A39" s="659" t="s">
        <v>1223</v>
      </c>
      <c r="B39" s="550"/>
      <c r="C39" s="553"/>
      <c r="D39" s="547"/>
      <c r="E39" s="548"/>
      <c r="F39" s="548"/>
      <c r="G39" s="546"/>
      <c r="H39" s="548"/>
      <c r="I39" s="549"/>
      <c r="J39" s="546"/>
      <c r="K39" s="550"/>
      <c r="L39" s="551"/>
      <c r="M39" s="481"/>
      <c r="N39" s="478">
        <v>442589</v>
      </c>
      <c r="O39" s="477">
        <v>1000000</v>
      </c>
      <c r="P39" s="475">
        <v>1048000</v>
      </c>
      <c r="Q39" s="476">
        <v>1098304</v>
      </c>
    </row>
    <row r="40" spans="1:17" ht="11.25" customHeight="1" x14ac:dyDescent="0.25">
      <c r="A40" s="659" t="s">
        <v>1193</v>
      </c>
      <c r="B40" s="550"/>
      <c r="C40" s="553"/>
      <c r="D40" s="547"/>
      <c r="E40" s="548"/>
      <c r="F40" s="548"/>
      <c r="G40" s="546"/>
      <c r="H40" s="548"/>
      <c r="I40" s="549"/>
      <c r="J40" s="546"/>
      <c r="K40" s="550"/>
      <c r="L40" s="551"/>
      <c r="M40" s="481"/>
      <c r="N40" s="478">
        <v>498579</v>
      </c>
      <c r="O40" s="477">
        <v>521513.63400000002</v>
      </c>
      <c r="P40" s="475">
        <v>546546.28843199997</v>
      </c>
      <c r="Q40" s="476">
        <v>572780.51027673599</v>
      </c>
    </row>
    <row r="41" spans="1:17" ht="11.25" customHeight="1" x14ac:dyDescent="0.25">
      <c r="A41" s="659" t="s">
        <v>1196</v>
      </c>
      <c r="B41" s="550"/>
      <c r="C41" s="553"/>
      <c r="D41" s="547"/>
      <c r="E41" s="548"/>
      <c r="F41" s="548"/>
      <c r="G41" s="546"/>
      <c r="H41" s="548"/>
      <c r="I41" s="549"/>
      <c r="J41" s="546"/>
      <c r="K41" s="550"/>
      <c r="L41" s="551"/>
      <c r="M41" s="481"/>
      <c r="N41" s="478"/>
      <c r="O41" s="477">
        <v>4500000</v>
      </c>
      <c r="P41" s="475"/>
      <c r="Q41" s="476"/>
    </row>
    <row r="42" spans="1:17" ht="11.25" customHeight="1" x14ac:dyDescent="0.25">
      <c r="A42" s="659" t="s">
        <v>1197</v>
      </c>
      <c r="B42" s="550"/>
      <c r="C42" s="553"/>
      <c r="D42" s="547"/>
      <c r="E42" s="548"/>
      <c r="F42" s="548"/>
      <c r="G42" s="546"/>
      <c r="H42" s="548"/>
      <c r="I42" s="549"/>
      <c r="J42" s="546"/>
      <c r="K42" s="550"/>
      <c r="L42" s="551"/>
      <c r="M42" s="481"/>
      <c r="N42" s="478">
        <v>6500000</v>
      </c>
      <c r="O42" s="477">
        <v>5000000</v>
      </c>
      <c r="P42" s="475">
        <v>2000000</v>
      </c>
      <c r="Q42" s="476"/>
    </row>
    <row r="43" spans="1:17" ht="11.25" customHeight="1" x14ac:dyDescent="0.25">
      <c r="A43" s="659" t="s">
        <v>1198</v>
      </c>
      <c r="B43" s="550"/>
      <c r="C43" s="553"/>
      <c r="D43" s="547"/>
      <c r="E43" s="548"/>
      <c r="F43" s="548"/>
      <c r="G43" s="546"/>
      <c r="H43" s="548"/>
      <c r="I43" s="549"/>
      <c r="J43" s="546"/>
      <c r="K43" s="550"/>
      <c r="L43" s="551"/>
      <c r="M43" s="481"/>
      <c r="N43" s="478">
        <v>1000000</v>
      </c>
      <c r="O43" s="477">
        <v>5000000</v>
      </c>
      <c r="P43" s="475">
        <v>5240000</v>
      </c>
      <c r="Q43" s="476">
        <v>5491520</v>
      </c>
    </row>
    <row r="44" spans="1:17" ht="11.25" customHeight="1" x14ac:dyDescent="0.25">
      <c r="A44" s="659" t="s">
        <v>1199</v>
      </c>
      <c r="B44" s="550"/>
      <c r="C44" s="553"/>
      <c r="D44" s="547"/>
      <c r="E44" s="548"/>
      <c r="F44" s="548"/>
      <c r="G44" s="546"/>
      <c r="H44" s="548"/>
      <c r="I44" s="549"/>
      <c r="J44" s="546"/>
      <c r="K44" s="550"/>
      <c r="L44" s="551"/>
      <c r="M44" s="481"/>
      <c r="N44" s="478">
        <v>311868</v>
      </c>
      <c r="O44" s="477">
        <v>2026213.9280000001</v>
      </c>
      <c r="P44" s="475">
        <v>2123472.1965439999</v>
      </c>
      <c r="Q44" s="476">
        <v>2225398.8619781118</v>
      </c>
    </row>
    <row r="45" spans="1:17" ht="11.25" customHeight="1" x14ac:dyDescent="0.25">
      <c r="A45" s="659" t="s">
        <v>1200</v>
      </c>
      <c r="B45" s="550"/>
      <c r="C45" s="553"/>
      <c r="D45" s="547"/>
      <c r="E45" s="548"/>
      <c r="F45" s="548"/>
      <c r="G45" s="546"/>
      <c r="H45" s="548"/>
      <c r="I45" s="549"/>
      <c r="J45" s="546"/>
      <c r="K45" s="550"/>
      <c r="L45" s="551"/>
      <c r="M45" s="481"/>
      <c r="N45" s="478">
        <v>209366</v>
      </c>
      <c r="O45" s="477">
        <v>218996.83600000001</v>
      </c>
      <c r="P45" s="475">
        <v>229508.68412800002</v>
      </c>
      <c r="Q45" s="476">
        <v>240525.10096614403</v>
      </c>
    </row>
    <row r="46" spans="1:17" ht="11.25" customHeight="1" x14ac:dyDescent="0.25">
      <c r="A46" s="659" t="s">
        <v>1201</v>
      </c>
      <c r="B46" s="550"/>
      <c r="C46" s="553"/>
      <c r="D46" s="547"/>
      <c r="E46" s="548"/>
      <c r="F46" s="548"/>
      <c r="G46" s="546"/>
      <c r="H46" s="548"/>
      <c r="I46" s="549"/>
      <c r="J46" s="546"/>
      <c r="K46" s="550"/>
      <c r="L46" s="551"/>
      <c r="M46" s="481"/>
      <c r="N46" s="478">
        <v>1000000</v>
      </c>
      <c r="O46" s="477">
        <v>1000000</v>
      </c>
      <c r="P46" s="475">
        <v>1048000</v>
      </c>
      <c r="Q46" s="476">
        <v>1098304</v>
      </c>
    </row>
    <row r="47" spans="1:17" ht="11.25" customHeight="1" x14ac:dyDescent="0.25">
      <c r="A47" s="659" t="s">
        <v>1202</v>
      </c>
      <c r="B47" s="550"/>
      <c r="C47" s="553"/>
      <c r="D47" s="547"/>
      <c r="E47" s="548"/>
      <c r="F47" s="548"/>
      <c r="G47" s="546"/>
      <c r="H47" s="548"/>
      <c r="I47" s="549"/>
      <c r="J47" s="546"/>
      <c r="K47" s="550"/>
      <c r="L47" s="551"/>
      <c r="M47" s="481"/>
      <c r="N47" s="478">
        <v>2117280</v>
      </c>
      <c r="O47" s="477">
        <v>2214674.88</v>
      </c>
      <c r="P47" s="475">
        <v>2320979.2742399997</v>
      </c>
      <c r="Q47" s="476">
        <v>2432386.2794035198</v>
      </c>
    </row>
    <row r="48" spans="1:17" ht="11.25" customHeight="1" x14ac:dyDescent="0.25">
      <c r="A48" s="554" t="s">
        <v>1224</v>
      </c>
      <c r="B48" s="550"/>
      <c r="C48" s="555"/>
      <c r="D48" s="547"/>
      <c r="E48" s="548"/>
      <c r="F48" s="548"/>
      <c r="G48" s="546"/>
      <c r="H48" s="548"/>
      <c r="I48" s="549"/>
      <c r="J48" s="546"/>
      <c r="K48" s="550"/>
      <c r="L48" s="551"/>
      <c r="M48" s="481"/>
      <c r="N48" s="478"/>
      <c r="O48" s="477">
        <v>1500000</v>
      </c>
      <c r="P48" s="475">
        <v>1569000</v>
      </c>
      <c r="Q48" s="476">
        <v>1641174</v>
      </c>
    </row>
    <row r="49" spans="1:17" x14ac:dyDescent="0.25">
      <c r="A49" s="556" t="s">
        <v>1011</v>
      </c>
      <c r="B49" s="557"/>
      <c r="C49" s="558"/>
      <c r="D49" s="558"/>
      <c r="E49" s="558"/>
      <c r="F49" s="558"/>
      <c r="G49" s="558"/>
      <c r="H49" s="558"/>
      <c r="I49" s="558"/>
      <c r="J49" s="558"/>
      <c r="K49" s="558"/>
      <c r="L49" s="559"/>
      <c r="M49" s="32">
        <f>SUM(M11:M48)</f>
        <v>0</v>
      </c>
      <c r="N49" s="120">
        <f>SUM(N11:N48)</f>
        <v>119158821</v>
      </c>
      <c r="O49" s="32">
        <f>SUM(O11:O48)</f>
        <v>169724999.428</v>
      </c>
      <c r="P49" s="31">
        <f>SUM(P11:P48)</f>
        <v>124041375.55254401</v>
      </c>
      <c r="Q49" s="120">
        <f>SUM(Q11:Q48)</f>
        <v>129048133.13106613</v>
      </c>
    </row>
    <row r="50" spans="1:17" x14ac:dyDescent="0.25">
      <c r="A50" s="45" t="s">
        <v>401</v>
      </c>
    </row>
    <row r="51" spans="1:17" x14ac:dyDescent="0.25">
      <c r="A51" s="45" t="s">
        <v>402</v>
      </c>
    </row>
    <row r="52" spans="1:17" x14ac:dyDescent="0.25">
      <c r="A52" s="45" t="s">
        <v>223</v>
      </c>
    </row>
    <row r="53" spans="1:17" ht="13.5" x14ac:dyDescent="0.25">
      <c r="A53" s="100"/>
    </row>
    <row r="54" spans="1:17" ht="13.5" x14ac:dyDescent="0.25">
      <c r="A54" s="100"/>
    </row>
    <row r="55" spans="1:17" ht="13.5" x14ac:dyDescent="0.25">
      <c r="A55" s="100"/>
    </row>
    <row r="56" spans="1:17" ht="13.5" x14ac:dyDescent="0.25">
      <c r="A56" s="100"/>
    </row>
    <row r="57" spans="1:17" ht="13.5" x14ac:dyDescent="0.25">
      <c r="A57" s="100"/>
    </row>
    <row r="58" spans="1:17" ht="13.5" x14ac:dyDescent="0.25">
      <c r="A58" s="100"/>
    </row>
    <row r="59" spans="1:17" ht="13.5" x14ac:dyDescent="0.25">
      <c r="A59" s="100"/>
    </row>
    <row r="60" spans="1:17" ht="13.5" x14ac:dyDescent="0.25">
      <c r="A60" s="100"/>
    </row>
    <row r="61" spans="1:17" ht="13.5" x14ac:dyDescent="0.25">
      <c r="A61" s="100"/>
    </row>
    <row r="62" spans="1:17" ht="13.5" x14ac:dyDescent="0.25">
      <c r="A62" s="100"/>
    </row>
    <row r="63" spans="1:17" ht="13.5" x14ac:dyDescent="0.25">
      <c r="A63" s="100"/>
    </row>
    <row r="64" spans="1:17" ht="13.5" x14ac:dyDescent="0.25">
      <c r="A64" s="100"/>
    </row>
    <row r="65" spans="2:15" ht="12.75" customHeight="1" x14ac:dyDescent="0.25">
      <c r="B65" s="40"/>
      <c r="C65" s="40"/>
      <c r="D65" s="40"/>
      <c r="E65" s="40"/>
      <c r="F65" s="40"/>
      <c r="G65" s="40"/>
      <c r="H65" s="40"/>
      <c r="I65" s="40"/>
      <c r="J65" s="40"/>
      <c r="K65" s="40"/>
      <c r="L65" s="40"/>
      <c r="M65" s="40"/>
      <c r="N65" s="40"/>
      <c r="O65" s="40"/>
    </row>
    <row r="66" spans="2:15" ht="12.75" customHeight="1" x14ac:dyDescent="0.25">
      <c r="B66" s="40"/>
      <c r="C66" s="40"/>
      <c r="D66" s="40"/>
      <c r="E66" s="40"/>
      <c r="F66" s="40"/>
      <c r="G66" s="40"/>
      <c r="H66" s="40"/>
      <c r="I66" s="40"/>
      <c r="J66" s="40"/>
      <c r="K66" s="40"/>
      <c r="L66" s="40"/>
      <c r="M66" s="40"/>
      <c r="N66" s="40"/>
      <c r="O66" s="40"/>
    </row>
    <row r="67" spans="2:15" ht="12.75" customHeight="1" x14ac:dyDescent="0.25">
      <c r="B67" s="40"/>
      <c r="C67" s="40"/>
      <c r="D67" s="40"/>
      <c r="E67" s="40"/>
      <c r="F67" s="40"/>
      <c r="G67" s="40"/>
      <c r="H67" s="40"/>
      <c r="I67" s="40"/>
      <c r="J67" s="40"/>
      <c r="K67" s="40"/>
      <c r="L67" s="40"/>
      <c r="M67" s="40"/>
      <c r="N67" s="40"/>
      <c r="O67" s="40"/>
    </row>
    <row r="68" spans="2:15" ht="12.75" customHeight="1" x14ac:dyDescent="0.25">
      <c r="B68" s="40"/>
      <c r="C68" s="40"/>
      <c r="D68" s="40"/>
      <c r="E68" s="40"/>
      <c r="F68" s="40"/>
      <c r="G68" s="40"/>
      <c r="H68" s="40"/>
      <c r="I68" s="40"/>
      <c r="J68" s="40"/>
      <c r="K68" s="40"/>
      <c r="L68" s="40"/>
      <c r="M68" s="40"/>
      <c r="N68" s="40"/>
      <c r="O68" s="40"/>
    </row>
    <row r="69" spans="2:15" ht="11.25" customHeight="1" x14ac:dyDescent="0.25">
      <c r="B69" s="19"/>
    </row>
    <row r="70" spans="2:15" x14ac:dyDescent="0.25">
      <c r="B70" s="19"/>
    </row>
    <row r="71" spans="2:15" ht="11.25" customHeight="1" x14ac:dyDescent="0.25">
      <c r="B71" s="19"/>
    </row>
    <row r="72" spans="2:15" ht="11.25" customHeight="1" x14ac:dyDescent="0.25">
      <c r="B72" s="19"/>
    </row>
    <row r="73" spans="2:15" ht="11.25" customHeight="1" x14ac:dyDescent="0.25">
      <c r="B73" s="19"/>
    </row>
    <row r="74" spans="2:15" ht="11.25" customHeight="1" x14ac:dyDescent="0.25">
      <c r="B74" s="19"/>
    </row>
    <row r="75" spans="2:15" ht="11.25" customHeight="1" x14ac:dyDescent="0.25">
      <c r="B75" s="19"/>
    </row>
    <row r="76" spans="2:15" ht="11.25" customHeight="1" x14ac:dyDescent="0.25">
      <c r="B76" s="19"/>
    </row>
    <row r="77" spans="2:15" ht="11.25" customHeight="1" x14ac:dyDescent="0.25">
      <c r="B77" s="19"/>
    </row>
    <row r="78" spans="2:15" ht="11.25" customHeight="1" x14ac:dyDescent="0.25">
      <c r="B78" s="19"/>
    </row>
    <row r="79" spans="2:15" ht="11.25" customHeight="1" x14ac:dyDescent="0.25">
      <c r="B79" s="19"/>
    </row>
    <row r="80" spans="2:15" ht="11.25" customHeight="1" x14ac:dyDescent="0.25">
      <c r="B80" s="19"/>
    </row>
    <row r="81" spans="2:2" ht="11.25" customHeight="1" x14ac:dyDescent="0.25">
      <c r="B81" s="19"/>
    </row>
    <row r="82" spans="2:2" ht="11.25" customHeight="1" x14ac:dyDescent="0.25">
      <c r="B82" s="19"/>
    </row>
    <row r="83" spans="2:2" ht="11.25" customHeight="1" x14ac:dyDescent="0.25">
      <c r="B83" s="19"/>
    </row>
    <row r="84" spans="2:2" ht="11.25" customHeight="1" x14ac:dyDescent="0.25">
      <c r="B84" s="19"/>
    </row>
    <row r="85" spans="2:2" ht="11.25" customHeight="1" x14ac:dyDescent="0.25">
      <c r="B85" s="19"/>
    </row>
    <row r="86" spans="2:2" ht="11.25" customHeight="1" x14ac:dyDescent="0.25">
      <c r="B86" s="19"/>
    </row>
    <row r="87" spans="2:2" ht="11.25" customHeight="1" x14ac:dyDescent="0.25">
      <c r="B87" s="19"/>
    </row>
    <row r="88" spans="2:2" ht="11.25" customHeight="1" x14ac:dyDescent="0.25">
      <c r="B88" s="19"/>
    </row>
    <row r="89" spans="2:2" ht="11.25" customHeight="1" x14ac:dyDescent="0.25">
      <c r="B89" s="19"/>
    </row>
    <row r="90" spans="2:2" ht="11.25" customHeight="1" x14ac:dyDescent="0.25">
      <c r="B90" s="19"/>
    </row>
    <row r="91" spans="2:2" ht="11.25" customHeight="1" x14ac:dyDescent="0.25">
      <c r="B91" s="19"/>
    </row>
    <row r="92" spans="2:2" ht="11.25" customHeight="1" x14ac:dyDescent="0.25">
      <c r="B92" s="19"/>
    </row>
    <row r="93" spans="2:2" ht="11.25" customHeight="1" x14ac:dyDescent="0.25">
      <c r="B93" s="19"/>
    </row>
    <row r="94" spans="2:2" x14ac:dyDescent="0.25">
      <c r="B94" s="19"/>
    </row>
    <row r="95" spans="2:2" x14ac:dyDescent="0.25">
      <c r="B95" s="19"/>
    </row>
    <row r="96" spans="2:2" ht="11.25" customHeight="1" x14ac:dyDescent="0.25">
      <c r="B96" s="19"/>
    </row>
    <row r="97" spans="2:2" ht="22.5" customHeight="1" x14ac:dyDescent="0.25">
      <c r="B97" s="19"/>
    </row>
    <row r="98" spans="2:2" x14ac:dyDescent="0.25">
      <c r="B98" s="19"/>
    </row>
    <row r="99" spans="2:2" x14ac:dyDescent="0.25">
      <c r="B99" s="19"/>
    </row>
    <row r="100" spans="2:2" ht="11.25" customHeight="1" x14ac:dyDescent="0.25">
      <c r="B100" s="19"/>
    </row>
    <row r="101" spans="2:2" ht="11.25" customHeight="1" x14ac:dyDescent="0.25">
      <c r="B101" s="19"/>
    </row>
    <row r="102" spans="2:2" ht="11.25" customHeight="1" x14ac:dyDescent="0.25">
      <c r="B102" s="19"/>
    </row>
    <row r="103" spans="2:2" ht="11.25" customHeight="1" x14ac:dyDescent="0.25">
      <c r="B103" s="19"/>
    </row>
    <row r="104" spans="2:2" ht="11.25" customHeight="1" x14ac:dyDescent="0.25">
      <c r="B104" s="19"/>
    </row>
    <row r="105" spans="2:2" ht="11.25" customHeight="1" x14ac:dyDescent="0.25">
      <c r="B105" s="19"/>
    </row>
    <row r="106" spans="2:2" ht="11.25" customHeight="1" x14ac:dyDescent="0.25">
      <c r="B106" s="19"/>
    </row>
    <row r="107" spans="2:2" ht="11.25" customHeight="1" x14ac:dyDescent="0.25">
      <c r="B107" s="19"/>
    </row>
    <row r="108" spans="2:2" ht="11.25" customHeight="1" x14ac:dyDescent="0.25">
      <c r="B108" s="19"/>
    </row>
    <row r="109" spans="2:2" ht="11.25" customHeight="1" x14ac:dyDescent="0.25">
      <c r="B109" s="19"/>
    </row>
    <row r="110" spans="2:2" ht="11.25" customHeight="1" x14ac:dyDescent="0.25">
      <c r="B110" s="19"/>
    </row>
    <row r="111" spans="2:2" ht="11.25" customHeight="1" x14ac:dyDescent="0.25">
      <c r="B111" s="19"/>
    </row>
    <row r="112" spans="2:2" ht="11.25" customHeight="1" x14ac:dyDescent="0.25">
      <c r="B112" s="19"/>
    </row>
    <row r="113" spans="2:2" ht="11.25" customHeight="1" x14ac:dyDescent="0.25">
      <c r="B113" s="19"/>
    </row>
    <row r="114" spans="2:2" ht="11.25" customHeight="1" x14ac:dyDescent="0.25">
      <c r="B114" s="19"/>
    </row>
    <row r="115" spans="2:2" ht="11.25" customHeight="1" x14ac:dyDescent="0.25">
      <c r="B115" s="19"/>
    </row>
    <row r="116" spans="2:2" ht="11.25" customHeight="1" x14ac:dyDescent="0.25">
      <c r="B116" s="19"/>
    </row>
    <row r="117" spans="2:2" ht="11.25" customHeight="1" x14ac:dyDescent="0.25">
      <c r="B117" s="19"/>
    </row>
    <row r="118" spans="2:2" ht="11.25" customHeight="1" x14ac:dyDescent="0.25">
      <c r="B118" s="19"/>
    </row>
    <row r="119" spans="2:2" ht="11.25" customHeight="1" x14ac:dyDescent="0.25">
      <c r="B119" s="19"/>
    </row>
    <row r="120" spans="2:2" ht="11.25" customHeight="1" x14ac:dyDescent="0.25">
      <c r="B120" s="19"/>
    </row>
    <row r="121" spans="2:2" ht="11.25" customHeight="1" x14ac:dyDescent="0.25">
      <c r="B121" s="19"/>
    </row>
    <row r="122" spans="2:2" ht="11.25" customHeight="1" x14ac:dyDescent="0.25">
      <c r="B122" s="19"/>
    </row>
    <row r="123" spans="2:2" ht="11.25" customHeight="1" x14ac:dyDescent="0.25">
      <c r="B123" s="19"/>
    </row>
    <row r="124" spans="2:2" ht="11.25" customHeight="1" x14ac:dyDescent="0.25">
      <c r="B124" s="19"/>
    </row>
    <row r="125" spans="2:2" ht="11.25" customHeight="1" x14ac:dyDescent="0.25">
      <c r="B125" s="19"/>
    </row>
    <row r="126" spans="2:2" ht="11.25" customHeight="1" x14ac:dyDescent="0.25">
      <c r="B126" s="19"/>
    </row>
    <row r="127" spans="2:2" ht="11.25" customHeight="1" x14ac:dyDescent="0.25">
      <c r="B127" s="19"/>
    </row>
    <row r="128" spans="2:2" ht="11.25" customHeight="1" x14ac:dyDescent="0.25">
      <c r="B128" s="19"/>
    </row>
    <row r="129" spans="2:2" ht="11.25" customHeight="1" x14ac:dyDescent="0.25">
      <c r="B129" s="19"/>
    </row>
    <row r="130" spans="2:2" ht="11.25" customHeight="1" x14ac:dyDescent="0.25">
      <c r="B130" s="19"/>
    </row>
    <row r="131" spans="2:2" ht="11.25" customHeight="1" x14ac:dyDescent="0.25">
      <c r="B131" s="19"/>
    </row>
    <row r="132" spans="2:2" ht="11.25" customHeight="1" x14ac:dyDescent="0.25">
      <c r="B132" s="19"/>
    </row>
    <row r="133" spans="2:2" ht="11.25" customHeight="1" x14ac:dyDescent="0.25">
      <c r="B133" s="19"/>
    </row>
    <row r="134" spans="2:2" ht="11.25" customHeight="1" x14ac:dyDescent="0.25">
      <c r="B134" s="19"/>
    </row>
    <row r="135" spans="2:2" ht="11.25" customHeight="1" x14ac:dyDescent="0.25">
      <c r="B135" s="19"/>
    </row>
    <row r="136" spans="2:2" ht="11.25" customHeight="1" x14ac:dyDescent="0.25">
      <c r="B136" s="19"/>
    </row>
    <row r="137" spans="2:2" x14ac:dyDescent="0.25">
      <c r="B137" s="19"/>
    </row>
    <row r="138" spans="2:2" x14ac:dyDescent="0.25">
      <c r="B138" s="19"/>
    </row>
    <row r="139" spans="2:2" x14ac:dyDescent="0.25">
      <c r="B139" s="19"/>
    </row>
    <row r="140" spans="2:2" x14ac:dyDescent="0.25">
      <c r="B140" s="19"/>
    </row>
    <row r="141" spans="2:2" x14ac:dyDescent="0.25">
      <c r="B141" s="19"/>
    </row>
    <row r="142" spans="2:2" x14ac:dyDescent="0.25">
      <c r="B142" s="19"/>
    </row>
    <row r="143" spans="2:2" x14ac:dyDescent="0.25">
      <c r="B143" s="19"/>
    </row>
    <row r="144" spans="2:2" x14ac:dyDescent="0.25">
      <c r="B144" s="19"/>
    </row>
    <row r="145" spans="2:2" x14ac:dyDescent="0.25">
      <c r="B145" s="19"/>
    </row>
    <row r="146" spans="2:2" x14ac:dyDescent="0.25">
      <c r="B146" s="19"/>
    </row>
    <row r="147" spans="2:2" x14ac:dyDescent="0.25">
      <c r="B147" s="19"/>
    </row>
    <row r="148" spans="2:2" x14ac:dyDescent="0.25">
      <c r="B148" s="19"/>
    </row>
    <row r="149" spans="2:2" x14ac:dyDescent="0.25">
      <c r="B149" s="19"/>
    </row>
    <row r="150" spans="2:2" x14ac:dyDescent="0.25">
      <c r="B150" s="19"/>
    </row>
    <row r="151" spans="2:2" x14ac:dyDescent="0.25">
      <c r="B151" s="19"/>
    </row>
    <row r="152" spans="2:2" x14ac:dyDescent="0.25">
      <c r="B152" s="19"/>
    </row>
    <row r="153" spans="2:2" x14ac:dyDescent="0.25">
      <c r="B153" s="19"/>
    </row>
    <row r="154" spans="2:2" x14ac:dyDescent="0.25">
      <c r="B154" s="19"/>
    </row>
    <row r="155" spans="2:2" x14ac:dyDescent="0.25">
      <c r="B155" s="19"/>
    </row>
    <row r="156" spans="2:2" x14ac:dyDescent="0.25">
      <c r="B156" s="19"/>
    </row>
    <row r="157" spans="2:2" x14ac:dyDescent="0.25">
      <c r="B157" s="19"/>
    </row>
    <row r="158" spans="2:2" x14ac:dyDescent="0.25">
      <c r="B158" s="19"/>
    </row>
    <row r="159" spans="2:2" x14ac:dyDescent="0.25">
      <c r="B159" s="19"/>
    </row>
  </sheetData>
  <mergeCells count="2">
    <mergeCell ref="M2:N2"/>
    <mergeCell ref="O2:Q2"/>
  </mergeCells>
  <phoneticPr fontId="2" type="noConversion"/>
  <dataValidations disablePrompts="1" count="5">
    <dataValidation type="list" allowBlank="1" showInputMessage="1" showErrorMessage="1" promptTitle="Select MTSF Service Outcome" prompt="Select MTSF from list" sqref="E7:E48">
      <formula1>MTSF</formula1>
    </dataValidation>
    <dataValidation type="list" allowBlank="1" showInputMessage="1" showErrorMessage="1" promptTitle="Select IUDF" prompt="Select IUDF from list" sqref="F7:F48">
      <formula1>IUDF</formula1>
    </dataValidation>
    <dataValidation type="list" allowBlank="1" showInputMessage="1" showErrorMessage="1" sqref="D7:D48">
      <formula1>"New,Renewal,Upgrading"</formula1>
    </dataValidation>
    <dataValidation type="list" allowBlank="1" showInputMessage="1" showErrorMessage="1" promptTitle="Select Asset Sub-Class" prompt="Select asset sub class from list" sqref="I7:I48">
      <formula1>asset_subclass1</formula1>
    </dataValidation>
    <dataValidation type="list" allowBlank="1" showInputMessage="1" showErrorMessage="1" promptTitle="Select Asset Class" prompt="Select asset class from list" sqref="H7:H48">
      <formula1>asset_class1</formula1>
    </dataValidation>
  </dataValidations>
  <printOptions horizontalCentered="1"/>
  <pageMargins left="0.35433070866141736" right="0.2" top="0.8" bottom="0.57999999999999996" header="0.51181102362204722" footer="0.4"/>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L61"/>
  <sheetViews>
    <sheetView showGridLines="0" zoomScaleNormal="100" zoomScaleSheetLayoutView="110" workbookViewId="0">
      <pane xSplit="2" ySplit="4" topLeftCell="C5" activePane="bottomRight" state="frozen"/>
      <selection activeCell="A23" sqref="A23"/>
      <selection pane="topRight" activeCell="A23" sqref="A23"/>
      <selection pane="bottomLeft" activeCell="A23" sqref="A23"/>
      <selection pane="bottomRight" activeCell="A25" sqref="A25"/>
    </sheetView>
  </sheetViews>
  <sheetFormatPr defaultRowHeight="12.75" x14ac:dyDescent="0.25"/>
  <cols>
    <col min="1" max="1" width="35.7109375" style="19" customWidth="1"/>
    <col min="2" max="2" width="3.5703125" style="41" customWidth="1"/>
    <col min="3" max="3" width="10.7109375" style="19" customWidth="1"/>
    <col min="4" max="4" width="25.7109375" style="19" customWidth="1"/>
    <col min="5" max="6" width="10.7109375" style="19" customWidth="1"/>
    <col min="7" max="7" width="9.85546875" style="19" customWidth="1"/>
    <col min="8" max="8" width="9.85546875" style="19" bestFit="1" customWidth="1"/>
    <col min="9" max="10" width="9.85546875" style="19" customWidth="1"/>
    <col min="11" max="11" width="9.5703125" style="19" customWidth="1"/>
    <col min="12" max="12" width="9.85546875" style="19" customWidth="1"/>
    <col min="13" max="15" width="9.5703125" style="19" customWidth="1"/>
    <col min="16" max="16" width="9.85546875" style="19" customWidth="1"/>
    <col min="17" max="19" width="9.5703125" style="19" customWidth="1"/>
    <col min="20" max="21" width="9.85546875" style="19" customWidth="1"/>
    <col min="22" max="16384" width="9.140625" style="19"/>
  </cols>
  <sheetData>
    <row r="1" spans="1:6" ht="13.5" x14ac:dyDescent="0.25">
      <c r="A1" s="100" t="str">
        <f>_MEB11</f>
        <v>Centlec - Supporting Table SD11 External mechanisms</v>
      </c>
    </row>
    <row r="2" spans="1:6" ht="38.25" x14ac:dyDescent="0.25">
      <c r="A2" s="249" t="s">
        <v>247</v>
      </c>
      <c r="B2" s="737" t="str">
        <f>head27</f>
        <v>Ref</v>
      </c>
      <c r="C2" s="178" t="s">
        <v>786</v>
      </c>
      <c r="D2" s="179" t="s">
        <v>251</v>
      </c>
      <c r="E2" s="738" t="s">
        <v>249</v>
      </c>
      <c r="F2" s="741" t="s">
        <v>785</v>
      </c>
    </row>
    <row r="3" spans="1:6" ht="24" customHeight="1" x14ac:dyDescent="0.25">
      <c r="A3" s="271" t="s">
        <v>248</v>
      </c>
      <c r="B3" s="744"/>
      <c r="C3" s="115" t="s">
        <v>289</v>
      </c>
      <c r="D3" s="177"/>
      <c r="E3" s="739"/>
      <c r="F3" s="742"/>
    </row>
    <row r="4" spans="1:6" ht="13.5" customHeight="1" x14ac:dyDescent="0.25">
      <c r="A4" s="176" t="s">
        <v>184</v>
      </c>
      <c r="B4" s="273"/>
      <c r="C4" s="180"/>
      <c r="D4" s="180"/>
      <c r="E4" s="740"/>
      <c r="F4" s="743"/>
    </row>
    <row r="5" spans="1:6" ht="12.75" customHeight="1" x14ac:dyDescent="0.25">
      <c r="A5" s="272"/>
      <c r="B5" s="274"/>
      <c r="C5" s="246"/>
      <c r="D5" s="246"/>
      <c r="E5" s="246"/>
      <c r="F5" s="440"/>
    </row>
    <row r="6" spans="1:6" ht="12.75" customHeight="1" x14ac:dyDescent="0.25">
      <c r="A6" s="242"/>
      <c r="B6" s="275"/>
      <c r="C6" s="247"/>
      <c r="D6" s="247"/>
      <c r="E6" s="247"/>
      <c r="F6" s="228"/>
    </row>
    <row r="7" spans="1:6" ht="12.75" customHeight="1" x14ac:dyDescent="0.25">
      <c r="A7" s="242"/>
      <c r="B7" s="275"/>
      <c r="C7" s="247"/>
      <c r="D7" s="247"/>
      <c r="E7" s="247"/>
      <c r="F7" s="228"/>
    </row>
    <row r="8" spans="1:6" ht="12.75" customHeight="1" x14ac:dyDescent="0.25">
      <c r="A8" s="242"/>
      <c r="B8" s="275"/>
      <c r="C8" s="247"/>
      <c r="D8" s="247"/>
      <c r="E8" s="247"/>
      <c r="F8" s="228"/>
    </row>
    <row r="9" spans="1:6" ht="12.75" customHeight="1" x14ac:dyDescent="0.25">
      <c r="A9" s="242"/>
      <c r="B9" s="275"/>
      <c r="C9" s="247"/>
      <c r="D9" s="247"/>
      <c r="E9" s="247"/>
      <c r="F9" s="228"/>
    </row>
    <row r="10" spans="1:6" ht="12.75" customHeight="1" x14ac:dyDescent="0.25">
      <c r="A10" s="242"/>
      <c r="B10" s="275"/>
      <c r="C10" s="247"/>
      <c r="D10" s="247"/>
      <c r="E10" s="247"/>
      <c r="F10" s="228"/>
    </row>
    <row r="11" spans="1:6" ht="12.75" customHeight="1" x14ac:dyDescent="0.25">
      <c r="A11" s="242"/>
      <c r="B11" s="275"/>
      <c r="C11" s="247"/>
      <c r="D11" s="247"/>
      <c r="E11" s="247"/>
      <c r="F11" s="228"/>
    </row>
    <row r="12" spans="1:6" ht="12.75" customHeight="1" x14ac:dyDescent="0.25">
      <c r="A12" s="242"/>
      <c r="B12" s="275"/>
      <c r="C12" s="247"/>
      <c r="D12" s="247"/>
      <c r="E12" s="247"/>
      <c r="F12" s="228"/>
    </row>
    <row r="13" spans="1:6" ht="12.75" customHeight="1" x14ac:dyDescent="0.25">
      <c r="A13" s="242"/>
      <c r="B13" s="275"/>
      <c r="C13" s="247"/>
      <c r="D13" s="247"/>
      <c r="E13" s="247"/>
      <c r="F13" s="228"/>
    </row>
    <row r="14" spans="1:6" ht="12.75" customHeight="1" x14ac:dyDescent="0.25">
      <c r="A14" s="242"/>
      <c r="B14" s="275"/>
      <c r="C14" s="247"/>
      <c r="D14" s="247"/>
      <c r="E14" s="247"/>
      <c r="F14" s="228"/>
    </row>
    <row r="15" spans="1:6" ht="12.75" customHeight="1" x14ac:dyDescent="0.25">
      <c r="A15" s="242"/>
      <c r="B15" s="275"/>
      <c r="C15" s="247"/>
      <c r="D15" s="247"/>
      <c r="E15" s="247"/>
      <c r="F15" s="228"/>
    </row>
    <row r="16" spans="1:6" ht="12.75" customHeight="1" x14ac:dyDescent="0.25">
      <c r="A16" s="242"/>
      <c r="B16" s="275"/>
      <c r="C16" s="247"/>
      <c r="D16" s="247"/>
      <c r="E16" s="247"/>
      <c r="F16" s="228"/>
    </row>
    <row r="17" spans="1:12" ht="12.75" customHeight="1" x14ac:dyDescent="0.25">
      <c r="A17" s="242"/>
      <c r="B17" s="275"/>
      <c r="C17" s="247"/>
      <c r="D17" s="247"/>
      <c r="E17" s="247"/>
      <c r="F17" s="228"/>
    </row>
    <row r="18" spans="1:12" ht="12.75" customHeight="1" x14ac:dyDescent="0.25">
      <c r="A18" s="242"/>
      <c r="B18" s="275"/>
      <c r="C18" s="247"/>
      <c r="D18" s="247"/>
      <c r="E18" s="247"/>
      <c r="F18" s="228"/>
    </row>
    <row r="19" spans="1:12" ht="12.75" customHeight="1" x14ac:dyDescent="0.25">
      <c r="A19" s="242"/>
      <c r="B19" s="275"/>
      <c r="C19" s="247"/>
      <c r="D19" s="247"/>
      <c r="E19" s="247"/>
      <c r="F19" s="228"/>
    </row>
    <row r="20" spans="1:12" ht="12.75" customHeight="1" x14ac:dyDescent="0.25">
      <c r="A20" s="242"/>
      <c r="B20" s="275"/>
      <c r="C20" s="247"/>
      <c r="D20" s="247"/>
      <c r="E20" s="247"/>
      <c r="F20" s="228"/>
    </row>
    <row r="21" spans="1:12" ht="12.75" customHeight="1" x14ac:dyDescent="0.25">
      <c r="A21" s="242"/>
      <c r="B21" s="275"/>
      <c r="C21" s="247"/>
      <c r="D21" s="247"/>
      <c r="E21" s="247"/>
      <c r="F21" s="228"/>
    </row>
    <row r="22" spans="1:12" ht="12.75" customHeight="1" x14ac:dyDescent="0.25">
      <c r="A22" s="242"/>
      <c r="B22" s="275"/>
      <c r="C22" s="247"/>
      <c r="D22" s="247"/>
      <c r="E22" s="247"/>
      <c r="F22" s="228"/>
    </row>
    <row r="23" spans="1:12" ht="12.75" customHeight="1" x14ac:dyDescent="0.25">
      <c r="A23" s="242"/>
      <c r="B23" s="275"/>
      <c r="C23" s="247"/>
      <c r="D23" s="247"/>
      <c r="E23" s="247"/>
      <c r="F23" s="228"/>
    </row>
    <row r="24" spans="1:12" ht="12.75" customHeight="1" x14ac:dyDescent="0.25">
      <c r="A24" s="30"/>
      <c r="B24" s="276"/>
      <c r="C24" s="441"/>
      <c r="D24" s="441"/>
      <c r="E24" s="441"/>
      <c r="F24" s="120">
        <f>SUM(F5:F23)</f>
        <v>0</v>
      </c>
    </row>
    <row r="25" spans="1:12" ht="12.75" customHeight="1" x14ac:dyDescent="0.25">
      <c r="A25" s="33" t="str">
        <f>head27a</f>
        <v>References</v>
      </c>
      <c r="B25" s="34"/>
      <c r="C25" s="48"/>
      <c r="D25" s="48"/>
      <c r="E25" s="48"/>
      <c r="F25" s="48"/>
      <c r="J25" s="40"/>
      <c r="K25" s="40"/>
      <c r="L25" s="40"/>
    </row>
    <row r="26" spans="1:12" ht="12.75" customHeight="1" x14ac:dyDescent="0.25">
      <c r="A26" s="45" t="s">
        <v>250</v>
      </c>
      <c r="B26" s="34"/>
      <c r="C26" s="37"/>
      <c r="D26" s="36"/>
      <c r="E26" s="37"/>
      <c r="F26" s="37"/>
    </row>
    <row r="27" spans="1:12" ht="12.75" customHeight="1" x14ac:dyDescent="0.25">
      <c r="A27" s="45" t="s">
        <v>252</v>
      </c>
      <c r="B27" s="34"/>
      <c r="C27" s="48"/>
      <c r="D27" s="48"/>
      <c r="E27" s="48"/>
      <c r="F27" s="48"/>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84" workbookViewId="0">
      <selection activeCell="B286" sqref="B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183" customFormat="1" x14ac:dyDescent="0.2">
      <c r="A1" s="250" t="s">
        <v>189</v>
      </c>
      <c r="B1" s="251">
        <v>2007</v>
      </c>
      <c r="C1" s="251">
        <v>2008</v>
      </c>
      <c r="D1" s="251">
        <v>2009</v>
      </c>
      <c r="E1" s="252">
        <v>2010</v>
      </c>
      <c r="F1" s="251">
        <v>2011</v>
      </c>
      <c r="G1" s="252">
        <v>2012</v>
      </c>
      <c r="H1" s="251">
        <v>2013</v>
      </c>
      <c r="I1" s="252">
        <v>2014</v>
      </c>
      <c r="J1" s="251">
        <v>2015</v>
      </c>
      <c r="K1" s="252">
        <v>2016</v>
      </c>
      <c r="L1" s="251">
        <v>2017</v>
      </c>
      <c r="M1" s="252">
        <v>2018</v>
      </c>
      <c r="N1" s="251">
        <v>2019</v>
      </c>
      <c r="O1" s="252">
        <v>2020</v>
      </c>
      <c r="P1" s="253"/>
      <c r="Q1" s="254" t="s">
        <v>435</v>
      </c>
      <c r="R1" s="254" t="s">
        <v>436</v>
      </c>
      <c r="S1" s="254" t="s">
        <v>437</v>
      </c>
      <c r="T1" s="254" t="s">
        <v>438</v>
      </c>
      <c r="U1" s="254" t="s">
        <v>439</v>
      </c>
    </row>
    <row r="2" spans="1:21" x14ac:dyDescent="0.2">
      <c r="A2" s="7" t="str">
        <f>'Template names'!C2</f>
        <v>Prior year -1</v>
      </c>
      <c r="B2" s="4" t="s">
        <v>440</v>
      </c>
      <c r="C2" s="4" t="s">
        <v>90</v>
      </c>
      <c r="D2" s="4" t="s">
        <v>441</v>
      </c>
      <c r="E2" s="255" t="str">
        <f t="shared" ref="E2:O2" si="0">E1-2&amp;"/"&amp;RIGHT(E1,2)-1</f>
        <v>2008/9</v>
      </c>
      <c r="F2" s="255" t="str">
        <f t="shared" si="0"/>
        <v>2009/10</v>
      </c>
      <c r="G2" s="255" t="str">
        <f t="shared" si="0"/>
        <v>2010/11</v>
      </c>
      <c r="H2" s="255" t="str">
        <f t="shared" si="0"/>
        <v>2011/12</v>
      </c>
      <c r="I2" s="255" t="str">
        <f t="shared" si="0"/>
        <v>2012/13</v>
      </c>
      <c r="J2" s="255" t="str">
        <f t="shared" si="0"/>
        <v>2013/14</v>
      </c>
      <c r="K2" s="255" t="str">
        <f t="shared" si="0"/>
        <v>2014/15</v>
      </c>
      <c r="L2" s="255" t="str">
        <f t="shared" si="0"/>
        <v>2015/16</v>
      </c>
      <c r="M2" s="255" t="str">
        <f t="shared" si="0"/>
        <v>2016/17</v>
      </c>
      <c r="N2" s="255" t="str">
        <f t="shared" si="0"/>
        <v>2017/18</v>
      </c>
      <c r="O2" s="255" t="str">
        <f t="shared" si="0"/>
        <v>2018/19</v>
      </c>
      <c r="P2" s="4"/>
      <c r="R2" s="1" t="s">
        <v>443</v>
      </c>
      <c r="S2" s="1" t="s">
        <v>444</v>
      </c>
      <c r="T2" s="1" t="s">
        <v>445</v>
      </c>
    </row>
    <row r="3" spans="1:21" x14ac:dyDescent="0.2">
      <c r="A3" s="7" t="str">
        <f>'Template names'!C3</f>
        <v>Prior year -2</v>
      </c>
      <c r="B3" s="4" t="s">
        <v>69</v>
      </c>
      <c r="C3" s="4" t="s">
        <v>440</v>
      </c>
      <c r="D3" s="4" t="s">
        <v>90</v>
      </c>
      <c r="E3" s="255" t="str">
        <f t="shared" ref="E3:O3" si="1">E1-3&amp;"/"&amp;RIGHT(E1,2)-2</f>
        <v>2007/8</v>
      </c>
      <c r="F3" s="255" t="str">
        <f t="shared" si="1"/>
        <v>2008/9</v>
      </c>
      <c r="G3" s="255" t="str">
        <f t="shared" si="1"/>
        <v>2009/10</v>
      </c>
      <c r="H3" s="255" t="str">
        <f t="shared" si="1"/>
        <v>2010/11</v>
      </c>
      <c r="I3" s="255" t="str">
        <f t="shared" si="1"/>
        <v>2011/12</v>
      </c>
      <c r="J3" s="255" t="str">
        <f t="shared" si="1"/>
        <v>2012/13</v>
      </c>
      <c r="K3" s="255" t="str">
        <f t="shared" si="1"/>
        <v>2013/14</v>
      </c>
      <c r="L3" s="255" t="str">
        <f t="shared" si="1"/>
        <v>2014/15</v>
      </c>
      <c r="M3" s="255" t="str">
        <f t="shared" si="1"/>
        <v>2015/16</v>
      </c>
      <c r="N3" s="255" t="str">
        <f t="shared" si="1"/>
        <v>2016/17</v>
      </c>
      <c r="O3" s="255" t="str">
        <f t="shared" si="1"/>
        <v>2017/18</v>
      </c>
      <c r="P3" s="4"/>
      <c r="R3" s="1" t="s">
        <v>446</v>
      </c>
      <c r="S3" s="1" t="s">
        <v>447</v>
      </c>
      <c r="T3" s="1" t="s">
        <v>448</v>
      </c>
    </row>
    <row r="4" spans="1:21" x14ac:dyDescent="0.2">
      <c r="A4" s="7" t="str">
        <f>'Template names'!C4</f>
        <v>Prior year -3</v>
      </c>
      <c r="B4" s="4" t="s">
        <v>70</v>
      </c>
      <c r="C4" s="4" t="s">
        <v>69</v>
      </c>
      <c r="D4" s="4" t="s">
        <v>440</v>
      </c>
      <c r="E4" s="255" t="str">
        <f t="shared" ref="E4:O4" si="2">E1-4&amp;"/"&amp;RIGHT(E1,2)-3</f>
        <v>2006/7</v>
      </c>
      <c r="F4" s="255" t="str">
        <f t="shared" si="2"/>
        <v>2007/8</v>
      </c>
      <c r="G4" s="255" t="str">
        <f t="shared" si="2"/>
        <v>2008/9</v>
      </c>
      <c r="H4" s="255" t="str">
        <f t="shared" si="2"/>
        <v>2009/10</v>
      </c>
      <c r="I4" s="255" t="str">
        <f t="shared" si="2"/>
        <v>2010/11</v>
      </c>
      <c r="J4" s="255" t="str">
        <f t="shared" si="2"/>
        <v>2011/12</v>
      </c>
      <c r="K4" s="255" t="str">
        <f t="shared" si="2"/>
        <v>2012/13</v>
      </c>
      <c r="L4" s="255" t="str">
        <f t="shared" si="2"/>
        <v>2013/14</v>
      </c>
      <c r="M4" s="255" t="str">
        <f t="shared" si="2"/>
        <v>2014/15</v>
      </c>
      <c r="N4" s="255" t="str">
        <f t="shared" si="2"/>
        <v>2015/16</v>
      </c>
      <c r="O4" s="255" t="str">
        <f t="shared" si="2"/>
        <v>2016/17</v>
      </c>
      <c r="P4" s="4"/>
      <c r="R4" s="1" t="s">
        <v>449</v>
      </c>
      <c r="S4" s="1" t="s">
        <v>450</v>
      </c>
      <c r="T4" s="1" t="s">
        <v>451</v>
      </c>
    </row>
    <row r="5" spans="1:21" x14ac:dyDescent="0.2">
      <c r="A5" s="7" t="str">
        <f>'Template names'!C5</f>
        <v>Year in which budget is being prepared</v>
      </c>
      <c r="B5" s="4" t="s">
        <v>452</v>
      </c>
      <c r="C5" s="4" t="s">
        <v>453</v>
      </c>
      <c r="D5" s="4" t="s">
        <v>454</v>
      </c>
      <c r="E5" s="255" t="str">
        <f t="shared" ref="E5:O5" si="3">"Current Year "&amp; E1-1&amp;"/"&amp;RIGHT(E1,2)</f>
        <v>Current Year 2009/10</v>
      </c>
      <c r="F5" s="255" t="str">
        <f t="shared" si="3"/>
        <v>Current Year 2010/11</v>
      </c>
      <c r="G5" s="255" t="str">
        <f t="shared" si="3"/>
        <v>Current Year 2011/12</v>
      </c>
      <c r="H5" s="255" t="str">
        <f t="shared" si="3"/>
        <v>Current Year 2012/13</v>
      </c>
      <c r="I5" s="255" t="str">
        <f t="shared" si="3"/>
        <v>Current Year 2013/14</v>
      </c>
      <c r="J5" s="255" t="str">
        <f t="shared" si="3"/>
        <v>Current Year 2014/15</v>
      </c>
      <c r="K5" s="255" t="str">
        <f t="shared" si="3"/>
        <v>Current Year 2015/16</v>
      </c>
      <c r="L5" s="255" t="str">
        <f t="shared" si="3"/>
        <v>Current Year 2016/17</v>
      </c>
      <c r="M5" s="255" t="str">
        <f t="shared" si="3"/>
        <v>Current Year 2017/18</v>
      </c>
      <c r="N5" s="255" t="str">
        <f t="shared" si="3"/>
        <v>Current Year 2018/19</v>
      </c>
      <c r="O5" s="255" t="str">
        <f t="shared" si="3"/>
        <v>Current Year 2019/20</v>
      </c>
      <c r="P5" s="4"/>
      <c r="R5" s="1" t="s">
        <v>455</v>
      </c>
      <c r="S5" s="1" t="s">
        <v>456</v>
      </c>
      <c r="T5" s="1" t="s">
        <v>457</v>
      </c>
    </row>
    <row r="6" spans="1:21" x14ac:dyDescent="0.2">
      <c r="A6" s="7" t="str">
        <f>'Template names'!C6</f>
        <v>Year in which budget is being prepared</v>
      </c>
      <c r="B6" s="4" t="s">
        <v>90</v>
      </c>
      <c r="C6" s="4" t="s">
        <v>441</v>
      </c>
      <c r="D6" s="4" t="s">
        <v>442</v>
      </c>
      <c r="E6" s="255" t="str">
        <f t="shared" ref="E6:O6" si="4">E1-1&amp;"/"&amp;RIGHT(E1,2)</f>
        <v>2009/10</v>
      </c>
      <c r="F6" s="255" t="str">
        <f t="shared" si="4"/>
        <v>2010/11</v>
      </c>
      <c r="G6" s="255" t="str">
        <f t="shared" si="4"/>
        <v>2011/12</v>
      </c>
      <c r="H6" s="255" t="str">
        <f t="shared" si="4"/>
        <v>2012/13</v>
      </c>
      <c r="I6" s="255" t="str">
        <f t="shared" si="4"/>
        <v>2013/14</v>
      </c>
      <c r="J6" s="255" t="str">
        <f t="shared" si="4"/>
        <v>2014/15</v>
      </c>
      <c r="K6" s="255" t="str">
        <f t="shared" si="4"/>
        <v>2015/16</v>
      </c>
      <c r="L6" s="255" t="str">
        <f t="shared" si="4"/>
        <v>2016/17</v>
      </c>
      <c r="M6" s="255" t="str">
        <f t="shared" si="4"/>
        <v>2017/18</v>
      </c>
      <c r="N6" s="255" t="str">
        <f t="shared" si="4"/>
        <v>2018/19</v>
      </c>
      <c r="O6" s="255" t="str">
        <f t="shared" si="4"/>
        <v>2019/20</v>
      </c>
      <c r="P6" s="4"/>
      <c r="R6" s="1" t="s">
        <v>458</v>
      </c>
      <c r="T6" s="1" t="s">
        <v>459</v>
      </c>
    </row>
    <row r="7" spans="1:21" x14ac:dyDescent="0.2">
      <c r="A7" s="7" t="str">
        <f>'Template names'!C7</f>
        <v>MTREF name</v>
      </c>
      <c r="B7" s="4" t="s">
        <v>460</v>
      </c>
      <c r="C7" s="4" t="s">
        <v>461</v>
      </c>
      <c r="D7" s="4" t="s">
        <v>462</v>
      </c>
      <c r="E7" s="255" t="str">
        <f t="shared" ref="E7:O7" si="5">E1&amp;"/"&amp;RIGHT(E1,2)+1&amp;" Medium Term Revenue &amp; Expenditure Framework"</f>
        <v>2010/11 Medium Term Revenue &amp; Expenditure Framework</v>
      </c>
      <c r="F7" s="255" t="str">
        <f t="shared" si="5"/>
        <v>2011/12 Medium Term Revenue &amp; Expenditure Framework</v>
      </c>
      <c r="G7" s="255" t="str">
        <f t="shared" si="5"/>
        <v>2012/13 Medium Term Revenue &amp; Expenditure Framework</v>
      </c>
      <c r="H7" s="255" t="str">
        <f t="shared" si="5"/>
        <v>2013/14 Medium Term Revenue &amp; Expenditure Framework</v>
      </c>
      <c r="I7" s="255" t="str">
        <f t="shared" si="5"/>
        <v>2014/15 Medium Term Revenue &amp; Expenditure Framework</v>
      </c>
      <c r="J7" s="255" t="str">
        <f t="shared" si="5"/>
        <v>2015/16 Medium Term Revenue &amp; Expenditure Framework</v>
      </c>
      <c r="K7" s="255" t="str">
        <f t="shared" si="5"/>
        <v>2016/17 Medium Term Revenue &amp; Expenditure Framework</v>
      </c>
      <c r="L7" s="255" t="str">
        <f t="shared" si="5"/>
        <v>2017/18 Medium Term Revenue &amp; Expenditure Framework</v>
      </c>
      <c r="M7" s="255" t="str">
        <f t="shared" si="5"/>
        <v>2018/19 Medium Term Revenue &amp; Expenditure Framework</v>
      </c>
      <c r="N7" s="255" t="str">
        <f t="shared" si="5"/>
        <v>2019/20 Medium Term Revenue &amp; Expenditure Framework</v>
      </c>
      <c r="O7" s="255" t="str">
        <f t="shared" si="5"/>
        <v>2020/21 Medium Term Revenue &amp; Expenditure Framework</v>
      </c>
      <c r="P7" s="4"/>
      <c r="R7" s="1" t="s">
        <v>463</v>
      </c>
    </row>
    <row r="8" spans="1:21" x14ac:dyDescent="0.2">
      <c r="A8" s="7" t="str">
        <f>'Template names'!C16</f>
        <v>1st year of MTREF</v>
      </c>
      <c r="B8" s="4" t="s">
        <v>464</v>
      </c>
      <c r="C8" s="4" t="s">
        <v>465</v>
      </c>
      <c r="D8" s="4" t="s">
        <v>466</v>
      </c>
      <c r="E8" s="255" t="str">
        <f t="shared" ref="E8:O8" si="6">"Budget Year "&amp;E1&amp;"/"&amp;RIGHT(E1,2)+1</f>
        <v>Budget Year 2010/11</v>
      </c>
      <c r="F8" s="255" t="str">
        <f t="shared" si="6"/>
        <v>Budget Year 2011/12</v>
      </c>
      <c r="G8" s="255" t="str">
        <f t="shared" si="6"/>
        <v>Budget Year 2012/13</v>
      </c>
      <c r="H8" s="255" t="str">
        <f t="shared" si="6"/>
        <v>Budget Year 2013/14</v>
      </c>
      <c r="I8" s="255" t="str">
        <f t="shared" si="6"/>
        <v>Budget Year 2014/15</v>
      </c>
      <c r="J8" s="255" t="str">
        <f t="shared" si="6"/>
        <v>Budget Year 2015/16</v>
      </c>
      <c r="K8" s="255" t="str">
        <f t="shared" si="6"/>
        <v>Budget Year 2016/17</v>
      </c>
      <c r="L8" s="255" t="str">
        <f t="shared" si="6"/>
        <v>Budget Year 2017/18</v>
      </c>
      <c r="M8" s="255" t="str">
        <f t="shared" si="6"/>
        <v>Budget Year 2018/19</v>
      </c>
      <c r="N8" s="255" t="str">
        <f t="shared" si="6"/>
        <v>Budget Year 2019/20</v>
      </c>
      <c r="O8" s="255" t="str">
        <f t="shared" si="6"/>
        <v>Budget Year 2020/21</v>
      </c>
      <c r="P8" s="4"/>
    </row>
    <row r="9" spans="1:21" x14ac:dyDescent="0.2">
      <c r="A9" s="7" t="str">
        <f>'Template names'!C17</f>
        <v>2nd year of MTREF</v>
      </c>
      <c r="B9" s="4" t="s">
        <v>467</v>
      </c>
      <c r="C9" s="4" t="s">
        <v>468</v>
      </c>
      <c r="D9" s="4" t="s">
        <v>469</v>
      </c>
      <c r="E9" s="255" t="str">
        <f t="shared" ref="E9:O9" si="7">"Budget Year +1 "&amp;E1+1&amp;"/"&amp;RIGHT(E1,2)+2</f>
        <v>Budget Year +1 2011/12</v>
      </c>
      <c r="F9" s="255" t="str">
        <f t="shared" si="7"/>
        <v>Budget Year +1 2012/13</v>
      </c>
      <c r="G9" s="255" t="str">
        <f t="shared" si="7"/>
        <v>Budget Year +1 2013/14</v>
      </c>
      <c r="H9" s="255" t="str">
        <f t="shared" si="7"/>
        <v>Budget Year +1 2014/15</v>
      </c>
      <c r="I9" s="255" t="str">
        <f t="shared" si="7"/>
        <v>Budget Year +1 2015/16</v>
      </c>
      <c r="J9" s="255" t="str">
        <f t="shared" si="7"/>
        <v>Budget Year +1 2016/17</v>
      </c>
      <c r="K9" s="255" t="str">
        <f t="shared" si="7"/>
        <v>Budget Year +1 2017/18</v>
      </c>
      <c r="L9" s="255" t="str">
        <f t="shared" si="7"/>
        <v>Budget Year +1 2018/19</v>
      </c>
      <c r="M9" s="255" t="str">
        <f t="shared" si="7"/>
        <v>Budget Year +1 2019/20</v>
      </c>
      <c r="N9" s="255" t="str">
        <f t="shared" si="7"/>
        <v>Budget Year +1 2020/21</v>
      </c>
      <c r="O9" s="255" t="str">
        <f t="shared" si="7"/>
        <v>Budget Year +1 2021/22</v>
      </c>
      <c r="P9" s="4"/>
      <c r="R9" s="257"/>
    </row>
    <row r="10" spans="1:21" x14ac:dyDescent="0.2">
      <c r="A10" s="7" t="str">
        <f>'Template names'!C18</f>
        <v>3rd year of MTREF</v>
      </c>
      <c r="B10" s="4" t="s">
        <v>470</v>
      </c>
      <c r="C10" s="4" t="s">
        <v>471</v>
      </c>
      <c r="D10" s="4" t="s">
        <v>472</v>
      </c>
      <c r="E10" s="255" t="str">
        <f t="shared" ref="E10:O10" si="8">"Budget Year +2 "&amp;E1+2&amp;"/"&amp;RIGHT(E1,2)+3</f>
        <v>Budget Year +2 2012/13</v>
      </c>
      <c r="F10" s="255" t="str">
        <f t="shared" si="8"/>
        <v>Budget Year +2 2013/14</v>
      </c>
      <c r="G10" s="255" t="str">
        <f t="shared" si="8"/>
        <v>Budget Year +2 2014/15</v>
      </c>
      <c r="H10" s="255" t="str">
        <f t="shared" si="8"/>
        <v>Budget Year +2 2015/16</v>
      </c>
      <c r="I10" s="255" t="str">
        <f t="shared" si="8"/>
        <v>Budget Year +2 2016/17</v>
      </c>
      <c r="J10" s="255" t="str">
        <f t="shared" si="8"/>
        <v>Budget Year +2 2017/18</v>
      </c>
      <c r="K10" s="255" t="str">
        <f t="shared" si="8"/>
        <v>Budget Year +2 2018/19</v>
      </c>
      <c r="L10" s="255" t="str">
        <f t="shared" si="8"/>
        <v>Budget Year +2 2019/20</v>
      </c>
      <c r="M10" s="255" t="str">
        <f t="shared" si="8"/>
        <v>Budget Year +2 2020/21</v>
      </c>
      <c r="N10" s="255" t="str">
        <f t="shared" si="8"/>
        <v>Budget Year +2 2021/22</v>
      </c>
      <c r="O10" s="255" t="str">
        <f t="shared" si="8"/>
        <v>Budget Year +2 2022/23</v>
      </c>
      <c r="P10" s="4"/>
    </row>
    <row r="11" spans="1:21" x14ac:dyDescent="0.2">
      <c r="A11" s="7" t="str">
        <f>'Template names'!C19</f>
        <v>1st yr of long term forecast</v>
      </c>
      <c r="B11" s="4" t="s">
        <v>216</v>
      </c>
      <c r="C11" s="4" t="s">
        <v>217</v>
      </c>
      <c r="D11" s="4" t="s">
        <v>218</v>
      </c>
      <c r="E11" s="255" t="str">
        <f t="shared" ref="E11:O11" si="9">"Forecast "&amp;E1+3&amp;"/"&amp;RIGHT(E1,2)+4</f>
        <v>Forecast 2013/14</v>
      </c>
      <c r="F11" s="255" t="str">
        <f t="shared" si="9"/>
        <v>Forecast 2014/15</v>
      </c>
      <c r="G11" s="255" t="str">
        <f t="shared" si="9"/>
        <v>Forecast 2015/16</v>
      </c>
      <c r="H11" s="255" t="str">
        <f t="shared" si="9"/>
        <v>Forecast 2016/17</v>
      </c>
      <c r="I11" s="255" t="str">
        <f t="shared" si="9"/>
        <v>Forecast 2017/18</v>
      </c>
      <c r="J11" s="255" t="str">
        <f t="shared" si="9"/>
        <v>Forecast 2018/19</v>
      </c>
      <c r="K11" s="255" t="str">
        <f t="shared" si="9"/>
        <v>Forecast 2019/20</v>
      </c>
      <c r="L11" s="255" t="str">
        <f t="shared" si="9"/>
        <v>Forecast 2020/21</v>
      </c>
      <c r="M11" s="255" t="str">
        <f t="shared" si="9"/>
        <v>Forecast 2021/22</v>
      </c>
      <c r="N11" s="255" t="str">
        <f t="shared" si="9"/>
        <v>Forecast 2022/23</v>
      </c>
      <c r="O11" s="255" t="str">
        <f t="shared" si="9"/>
        <v>Forecast 2023/24</v>
      </c>
      <c r="P11" s="4"/>
    </row>
    <row r="12" spans="1:21" x14ac:dyDescent="0.2">
      <c r="A12" s="7" t="str">
        <f>'Template names'!C20</f>
        <v>Next yr of long term forecast</v>
      </c>
      <c r="B12" s="4" t="s">
        <v>217</v>
      </c>
      <c r="C12" s="4" t="s">
        <v>218</v>
      </c>
      <c r="D12" s="4" t="s">
        <v>219</v>
      </c>
      <c r="E12" s="255" t="str">
        <f t="shared" ref="E12:O12" si="10">"Forecast "&amp;E1+4&amp;"/"&amp;RIGHT(E1,2)+5</f>
        <v>Forecast 2014/15</v>
      </c>
      <c r="F12" s="255" t="str">
        <f t="shared" si="10"/>
        <v>Forecast 2015/16</v>
      </c>
      <c r="G12" s="255" t="str">
        <f t="shared" si="10"/>
        <v>Forecast 2016/17</v>
      </c>
      <c r="H12" s="255" t="str">
        <f t="shared" si="10"/>
        <v>Forecast 2017/18</v>
      </c>
      <c r="I12" s="255" t="str">
        <f t="shared" si="10"/>
        <v>Forecast 2018/19</v>
      </c>
      <c r="J12" s="255" t="str">
        <f t="shared" si="10"/>
        <v>Forecast 2019/20</v>
      </c>
      <c r="K12" s="255" t="str">
        <f t="shared" si="10"/>
        <v>Forecast 2020/21</v>
      </c>
      <c r="L12" s="255" t="str">
        <f t="shared" si="10"/>
        <v>Forecast 2021/22</v>
      </c>
      <c r="M12" s="255" t="str">
        <f t="shared" si="10"/>
        <v>Forecast 2022/23</v>
      </c>
      <c r="N12" s="255" t="str">
        <f t="shared" si="10"/>
        <v>Forecast 2023/24</v>
      </c>
      <c r="O12" s="255" t="str">
        <f t="shared" si="10"/>
        <v>Forecast 2024/25</v>
      </c>
      <c r="P12" s="4"/>
    </row>
    <row r="13" spans="1:21" x14ac:dyDescent="0.2">
      <c r="A13" s="7" t="str">
        <f>'Template names'!C21</f>
        <v>Next yr of long term forecast</v>
      </c>
      <c r="B13" s="4" t="s">
        <v>218</v>
      </c>
      <c r="C13" s="4" t="s">
        <v>219</v>
      </c>
      <c r="D13" s="4" t="s">
        <v>94</v>
      </c>
      <c r="E13" s="255" t="str">
        <f t="shared" ref="E13:O13" si="11">"Forecast "&amp;E1+5&amp;"/"&amp;RIGHT(E1,2)+6</f>
        <v>Forecast 2015/16</v>
      </c>
      <c r="F13" s="255" t="str">
        <f t="shared" si="11"/>
        <v>Forecast 2016/17</v>
      </c>
      <c r="G13" s="255" t="str">
        <f t="shared" si="11"/>
        <v>Forecast 2017/18</v>
      </c>
      <c r="H13" s="255" t="str">
        <f t="shared" si="11"/>
        <v>Forecast 2018/19</v>
      </c>
      <c r="I13" s="255" t="str">
        <f t="shared" si="11"/>
        <v>Forecast 2019/20</v>
      </c>
      <c r="J13" s="255" t="str">
        <f t="shared" si="11"/>
        <v>Forecast 2020/21</v>
      </c>
      <c r="K13" s="255" t="str">
        <f t="shared" si="11"/>
        <v>Forecast 2021/22</v>
      </c>
      <c r="L13" s="255" t="str">
        <f t="shared" si="11"/>
        <v>Forecast 2022/23</v>
      </c>
      <c r="M13" s="255" t="str">
        <f t="shared" si="11"/>
        <v>Forecast 2023/24</v>
      </c>
      <c r="N13" s="255" t="str">
        <f t="shared" si="11"/>
        <v>Forecast 2024/25</v>
      </c>
      <c r="O13" s="255" t="str">
        <f t="shared" si="11"/>
        <v>Forecast 2025/26</v>
      </c>
      <c r="P13" s="4"/>
    </row>
    <row r="14" spans="1:21" x14ac:dyDescent="0.2">
      <c r="A14" s="7" t="str">
        <f>'Template names'!C22</f>
        <v>Next yr of long term forecast</v>
      </c>
      <c r="B14" s="4" t="s">
        <v>219</v>
      </c>
      <c r="C14" s="4" t="s">
        <v>94</v>
      </c>
      <c r="D14" s="4" t="s">
        <v>95</v>
      </c>
      <c r="E14" s="255" t="str">
        <f t="shared" ref="E14:O14" si="12">"Forecast "&amp;E1+6&amp;"/"&amp;RIGHT(E1,2)+7</f>
        <v>Forecast 2016/17</v>
      </c>
      <c r="F14" s="255" t="str">
        <f t="shared" si="12"/>
        <v>Forecast 2017/18</v>
      </c>
      <c r="G14" s="255" t="str">
        <f t="shared" si="12"/>
        <v>Forecast 2018/19</v>
      </c>
      <c r="H14" s="255" t="str">
        <f t="shared" si="12"/>
        <v>Forecast 2019/20</v>
      </c>
      <c r="I14" s="255" t="str">
        <f t="shared" si="12"/>
        <v>Forecast 2020/21</v>
      </c>
      <c r="J14" s="255" t="str">
        <f t="shared" si="12"/>
        <v>Forecast 2021/22</v>
      </c>
      <c r="K14" s="255" t="str">
        <f t="shared" si="12"/>
        <v>Forecast 2022/23</v>
      </c>
      <c r="L14" s="255" t="str">
        <f t="shared" si="12"/>
        <v>Forecast 2023/24</v>
      </c>
      <c r="M14" s="255" t="str">
        <f t="shared" si="12"/>
        <v>Forecast 2024/25</v>
      </c>
      <c r="N14" s="255" t="str">
        <f t="shared" si="12"/>
        <v>Forecast 2025/26</v>
      </c>
      <c r="O14" s="255" t="str">
        <f t="shared" si="12"/>
        <v>Forecast 2026/27</v>
      </c>
      <c r="P14" s="4"/>
    </row>
    <row r="15" spans="1:21" x14ac:dyDescent="0.2">
      <c r="A15" s="7" t="str">
        <f>'Template names'!C23</f>
        <v>Next yr of long term forecast</v>
      </c>
      <c r="B15" s="4" t="s">
        <v>94</v>
      </c>
      <c r="C15" s="4" t="s">
        <v>95</v>
      </c>
      <c r="D15" s="4" t="s">
        <v>96</v>
      </c>
      <c r="E15" s="255" t="str">
        <f t="shared" ref="E15:O15" si="13">"Forecast "&amp;E1+7&amp;"/"&amp;RIGHT(E1,2)+8</f>
        <v>Forecast 2017/18</v>
      </c>
      <c r="F15" s="255" t="str">
        <f t="shared" si="13"/>
        <v>Forecast 2018/19</v>
      </c>
      <c r="G15" s="255" t="str">
        <f t="shared" si="13"/>
        <v>Forecast 2019/20</v>
      </c>
      <c r="H15" s="255" t="str">
        <f t="shared" si="13"/>
        <v>Forecast 2020/21</v>
      </c>
      <c r="I15" s="255" t="str">
        <f t="shared" si="13"/>
        <v>Forecast 2021/22</v>
      </c>
      <c r="J15" s="255" t="str">
        <f t="shared" si="13"/>
        <v>Forecast 2022/23</v>
      </c>
      <c r="K15" s="255" t="str">
        <f t="shared" si="13"/>
        <v>Forecast 2023/24</v>
      </c>
      <c r="L15" s="255" t="str">
        <f t="shared" si="13"/>
        <v>Forecast 2024/25</v>
      </c>
      <c r="M15" s="255" t="str">
        <f t="shared" si="13"/>
        <v>Forecast 2025/26</v>
      </c>
      <c r="N15" s="255" t="str">
        <f t="shared" si="13"/>
        <v>Forecast 2026/27</v>
      </c>
      <c r="O15" s="255" t="str">
        <f t="shared" si="13"/>
        <v>Forecast 2027/28</v>
      </c>
      <c r="P15" s="4"/>
    </row>
    <row r="16" spans="1:21" x14ac:dyDescent="0.2">
      <c r="A16" s="7" t="str">
        <f>'Template names'!C24</f>
        <v>Next yr of long term forecast</v>
      </c>
      <c r="B16" s="4" t="s">
        <v>95</v>
      </c>
      <c r="C16" s="4" t="s">
        <v>96</v>
      </c>
      <c r="D16" s="4" t="s">
        <v>97</v>
      </c>
      <c r="E16" s="255" t="str">
        <f t="shared" ref="E16:O16" si="14">"Forecast "&amp;E1+8&amp;"/"&amp;RIGHT(E1,2)+9</f>
        <v>Forecast 2018/19</v>
      </c>
      <c r="F16" s="255" t="str">
        <f t="shared" si="14"/>
        <v>Forecast 2019/20</v>
      </c>
      <c r="G16" s="255" t="str">
        <f t="shared" si="14"/>
        <v>Forecast 2020/21</v>
      </c>
      <c r="H16" s="255" t="str">
        <f t="shared" si="14"/>
        <v>Forecast 2021/22</v>
      </c>
      <c r="I16" s="255" t="str">
        <f t="shared" si="14"/>
        <v>Forecast 2022/23</v>
      </c>
      <c r="J16" s="255" t="str">
        <f t="shared" si="14"/>
        <v>Forecast 2023/24</v>
      </c>
      <c r="K16" s="255" t="str">
        <f t="shared" si="14"/>
        <v>Forecast 2024/25</v>
      </c>
      <c r="L16" s="255" t="str">
        <f t="shared" si="14"/>
        <v>Forecast 2025/26</v>
      </c>
      <c r="M16" s="255" t="str">
        <f t="shared" si="14"/>
        <v>Forecast 2026/27</v>
      </c>
      <c r="N16" s="255" t="str">
        <f t="shared" si="14"/>
        <v>Forecast 2027/28</v>
      </c>
      <c r="O16" s="255" t="str">
        <f t="shared" si="14"/>
        <v>Forecast 2028/29</v>
      </c>
      <c r="P16" s="4"/>
    </row>
    <row r="17" spans="1:16" x14ac:dyDescent="0.2">
      <c r="A17" s="7" t="str">
        <f>'Template names'!C25</f>
        <v>Next yr of long term forecast</v>
      </c>
      <c r="B17" s="4" t="s">
        <v>96</v>
      </c>
      <c r="C17" s="4" t="s">
        <v>97</v>
      </c>
      <c r="D17" s="4" t="s">
        <v>13</v>
      </c>
      <c r="E17" s="255" t="str">
        <f t="shared" ref="E17:O17" si="15">"Forecast "&amp;E1+9&amp;"/"&amp;RIGHT(E1,2)+10</f>
        <v>Forecast 2019/20</v>
      </c>
      <c r="F17" s="255" t="str">
        <f t="shared" si="15"/>
        <v>Forecast 2020/21</v>
      </c>
      <c r="G17" s="255" t="str">
        <f t="shared" si="15"/>
        <v>Forecast 2021/22</v>
      </c>
      <c r="H17" s="255" t="str">
        <f t="shared" si="15"/>
        <v>Forecast 2022/23</v>
      </c>
      <c r="I17" s="255" t="str">
        <f t="shared" si="15"/>
        <v>Forecast 2023/24</v>
      </c>
      <c r="J17" s="255" t="str">
        <f t="shared" si="15"/>
        <v>Forecast 2024/25</v>
      </c>
      <c r="K17" s="255" t="str">
        <f t="shared" si="15"/>
        <v>Forecast 2025/26</v>
      </c>
      <c r="L17" s="255" t="str">
        <f t="shared" si="15"/>
        <v>Forecast 2026/27</v>
      </c>
      <c r="M17" s="255" t="str">
        <f t="shared" si="15"/>
        <v>Forecast 2027/28</v>
      </c>
      <c r="N17" s="255" t="str">
        <f t="shared" si="15"/>
        <v>Forecast 2028/29</v>
      </c>
      <c r="O17" s="255" t="str">
        <f t="shared" si="15"/>
        <v>Forecast 2029/30</v>
      </c>
      <c r="P17" s="4"/>
    </row>
    <row r="18" spans="1:16" x14ac:dyDescent="0.2">
      <c r="A18" s="7" t="str">
        <f>'Template names'!C26</f>
        <v>Next yr of long term forecast</v>
      </c>
      <c r="B18" s="4" t="s">
        <v>97</v>
      </c>
      <c r="C18" s="4" t="s">
        <v>13</v>
      </c>
      <c r="D18" s="4" t="s">
        <v>12</v>
      </c>
      <c r="E18" s="255" t="str">
        <f t="shared" ref="E18:O18" si="16">"Forecast "&amp;E1+10&amp;"/"&amp;RIGHT(E1,2)+11</f>
        <v>Forecast 2020/21</v>
      </c>
      <c r="F18" s="255" t="str">
        <f t="shared" si="16"/>
        <v>Forecast 2021/22</v>
      </c>
      <c r="G18" s="255" t="str">
        <f t="shared" si="16"/>
        <v>Forecast 2022/23</v>
      </c>
      <c r="H18" s="255" t="str">
        <f t="shared" si="16"/>
        <v>Forecast 2023/24</v>
      </c>
      <c r="I18" s="255" t="str">
        <f t="shared" si="16"/>
        <v>Forecast 2024/25</v>
      </c>
      <c r="J18" s="255" t="str">
        <f t="shared" si="16"/>
        <v>Forecast 2025/26</v>
      </c>
      <c r="K18" s="255" t="str">
        <f t="shared" si="16"/>
        <v>Forecast 2026/27</v>
      </c>
      <c r="L18" s="255" t="str">
        <f t="shared" si="16"/>
        <v>Forecast 2027/28</v>
      </c>
      <c r="M18" s="255" t="str">
        <f t="shared" si="16"/>
        <v>Forecast 2028/29</v>
      </c>
      <c r="N18" s="255" t="str">
        <f t="shared" si="16"/>
        <v>Forecast 2029/30</v>
      </c>
      <c r="O18" s="255" t="str">
        <f t="shared" si="16"/>
        <v>Forecast 2030/31</v>
      </c>
      <c r="P18" s="4"/>
    </row>
    <row r="19" spans="1:16" x14ac:dyDescent="0.2">
      <c r="A19" s="7" t="str">
        <f>'Template names'!C27</f>
        <v>Next yr of long term forecast</v>
      </c>
      <c r="B19" s="4" t="s">
        <v>13</v>
      </c>
      <c r="C19" s="4" t="s">
        <v>12</v>
      </c>
      <c r="D19" s="4" t="s">
        <v>98</v>
      </c>
      <c r="E19" s="255" t="str">
        <f t="shared" ref="E19:O19" si="17">"Forecast "&amp;E1+11&amp;"/"&amp;RIGHT(E1,2)+12</f>
        <v>Forecast 2021/22</v>
      </c>
      <c r="F19" s="255" t="str">
        <f t="shared" si="17"/>
        <v>Forecast 2022/23</v>
      </c>
      <c r="G19" s="255" t="str">
        <f t="shared" si="17"/>
        <v>Forecast 2023/24</v>
      </c>
      <c r="H19" s="255" t="str">
        <f t="shared" si="17"/>
        <v>Forecast 2024/25</v>
      </c>
      <c r="I19" s="255" t="str">
        <f t="shared" si="17"/>
        <v>Forecast 2025/26</v>
      </c>
      <c r="J19" s="255" t="str">
        <f t="shared" si="17"/>
        <v>Forecast 2026/27</v>
      </c>
      <c r="K19" s="255" t="str">
        <f t="shared" si="17"/>
        <v>Forecast 2027/28</v>
      </c>
      <c r="L19" s="255" t="str">
        <f t="shared" si="17"/>
        <v>Forecast 2028/29</v>
      </c>
      <c r="M19" s="255" t="str">
        <f t="shared" si="17"/>
        <v>Forecast 2029/30</v>
      </c>
      <c r="N19" s="255" t="str">
        <f t="shared" si="17"/>
        <v>Forecast 2030/31</v>
      </c>
      <c r="O19" s="255" t="str">
        <f t="shared" si="17"/>
        <v>Forecast 2031/32</v>
      </c>
      <c r="P19" s="4"/>
    </row>
    <row r="20" spans="1:16" x14ac:dyDescent="0.2">
      <c r="A20" s="7" t="str">
        <f>'Template names'!C28</f>
        <v>Next yr of long term forecast</v>
      </c>
      <c r="B20" s="4" t="s">
        <v>12</v>
      </c>
      <c r="C20" s="4" t="s">
        <v>98</v>
      </c>
      <c r="D20" s="4" t="s">
        <v>370</v>
      </c>
      <c r="E20" s="255" t="str">
        <f t="shared" ref="E20:O20" si="18">"Forecast "&amp;E1+12&amp;"/"&amp;RIGHT(E1,2)+13</f>
        <v>Forecast 2022/23</v>
      </c>
      <c r="F20" s="255" t="str">
        <f t="shared" si="18"/>
        <v>Forecast 2023/24</v>
      </c>
      <c r="G20" s="255" t="str">
        <f t="shared" si="18"/>
        <v>Forecast 2024/25</v>
      </c>
      <c r="H20" s="255" t="str">
        <f t="shared" si="18"/>
        <v>Forecast 2025/26</v>
      </c>
      <c r="I20" s="255" t="str">
        <f t="shared" si="18"/>
        <v>Forecast 2026/27</v>
      </c>
      <c r="J20" s="255" t="str">
        <f t="shared" si="18"/>
        <v>Forecast 2027/28</v>
      </c>
      <c r="K20" s="255" t="str">
        <f t="shared" si="18"/>
        <v>Forecast 2028/29</v>
      </c>
      <c r="L20" s="255" t="str">
        <f t="shared" si="18"/>
        <v>Forecast 2029/30</v>
      </c>
      <c r="M20" s="255" t="str">
        <f t="shared" si="18"/>
        <v>Forecast 2030/31</v>
      </c>
      <c r="N20" s="255" t="str">
        <f t="shared" si="18"/>
        <v>Forecast 2031/32</v>
      </c>
      <c r="O20" s="255" t="str">
        <f t="shared" si="18"/>
        <v>Forecast 2032/33</v>
      </c>
      <c r="P20" s="4"/>
    </row>
    <row r="21" spans="1:16" x14ac:dyDescent="0.2">
      <c r="A21" s="7" t="str">
        <f>'Template names'!C29</f>
        <v>Next yr of long term forecast</v>
      </c>
      <c r="B21" s="4" t="s">
        <v>98</v>
      </c>
      <c r="C21" s="4" t="s">
        <v>370</v>
      </c>
      <c r="D21" s="4" t="s">
        <v>473</v>
      </c>
      <c r="E21" s="255" t="str">
        <f t="shared" ref="E21:O21" si="19">"Forecast "&amp;E1+13&amp;"/"&amp;RIGHT(E1,2)+14</f>
        <v>Forecast 2023/24</v>
      </c>
      <c r="F21" s="255" t="str">
        <f t="shared" si="19"/>
        <v>Forecast 2024/25</v>
      </c>
      <c r="G21" s="255" t="str">
        <f t="shared" si="19"/>
        <v>Forecast 2025/26</v>
      </c>
      <c r="H21" s="255" t="str">
        <f t="shared" si="19"/>
        <v>Forecast 2026/27</v>
      </c>
      <c r="I21" s="255" t="str">
        <f t="shared" si="19"/>
        <v>Forecast 2027/28</v>
      </c>
      <c r="J21" s="255" t="str">
        <f t="shared" si="19"/>
        <v>Forecast 2028/29</v>
      </c>
      <c r="K21" s="255" t="str">
        <f t="shared" si="19"/>
        <v>Forecast 2029/30</v>
      </c>
      <c r="L21" s="255" t="str">
        <f t="shared" si="19"/>
        <v>Forecast 2030/31</v>
      </c>
      <c r="M21" s="255" t="str">
        <f t="shared" si="19"/>
        <v>Forecast 2031/32</v>
      </c>
      <c r="N21" s="255" t="str">
        <f t="shared" si="19"/>
        <v>Forecast 2032/33</v>
      </c>
      <c r="O21" s="255" t="str">
        <f t="shared" si="19"/>
        <v>Forecast 2033/34</v>
      </c>
      <c r="P21" s="4"/>
    </row>
    <row r="22" spans="1:16" x14ac:dyDescent="0.2">
      <c r="A22" s="7" t="str">
        <f>'Template names'!C30</f>
        <v>Next yr of long term forecast</v>
      </c>
      <c r="B22" s="4" t="s">
        <v>370</v>
      </c>
      <c r="C22" s="4" t="s">
        <v>473</v>
      </c>
      <c r="D22" s="4" t="s">
        <v>474</v>
      </c>
      <c r="E22" s="255" t="str">
        <f t="shared" ref="E22:O22" si="20">"Forecast "&amp;E1+14&amp;"/"&amp;RIGHT(E1,2)+15</f>
        <v>Forecast 2024/25</v>
      </c>
      <c r="F22" s="255" t="str">
        <f t="shared" si="20"/>
        <v>Forecast 2025/26</v>
      </c>
      <c r="G22" s="255" t="str">
        <f t="shared" si="20"/>
        <v>Forecast 2026/27</v>
      </c>
      <c r="H22" s="255" t="str">
        <f t="shared" si="20"/>
        <v>Forecast 2027/28</v>
      </c>
      <c r="I22" s="255" t="str">
        <f t="shared" si="20"/>
        <v>Forecast 2028/29</v>
      </c>
      <c r="J22" s="255" t="str">
        <f t="shared" si="20"/>
        <v>Forecast 2029/30</v>
      </c>
      <c r="K22" s="255" t="str">
        <f t="shared" si="20"/>
        <v>Forecast 2030/31</v>
      </c>
      <c r="L22" s="255" t="str">
        <f t="shared" si="20"/>
        <v>Forecast 2031/32</v>
      </c>
      <c r="M22" s="255" t="str">
        <f t="shared" si="20"/>
        <v>Forecast 2032/33</v>
      </c>
      <c r="N22" s="255" t="str">
        <f t="shared" si="20"/>
        <v>Forecast 2033/34</v>
      </c>
      <c r="O22" s="255" t="str">
        <f t="shared" si="20"/>
        <v>Forecast 2034/35</v>
      </c>
      <c r="P22" s="4"/>
    </row>
    <row r="23" spans="1:16" x14ac:dyDescent="0.2">
      <c r="A23" s="7" t="s">
        <v>475</v>
      </c>
      <c r="B23" s="4" t="s">
        <v>263</v>
      </c>
      <c r="C23" s="4" t="s">
        <v>476</v>
      </c>
      <c r="D23" s="4" t="s">
        <v>477</v>
      </c>
      <c r="E23" s="255" t="str">
        <f t="shared" ref="E23:O23" si="21">"Annual target " &amp; E1&amp;"/"&amp;RIGHT(E1,2)+1</f>
        <v>Annual target 2010/11</v>
      </c>
      <c r="F23" s="255" t="str">
        <f t="shared" si="21"/>
        <v>Annual target 2011/12</v>
      </c>
      <c r="G23" s="255" t="str">
        <f t="shared" si="21"/>
        <v>Annual target 2012/13</v>
      </c>
      <c r="H23" s="255" t="str">
        <f t="shared" si="21"/>
        <v>Annual target 2013/14</v>
      </c>
      <c r="I23" s="255" t="str">
        <f t="shared" si="21"/>
        <v>Annual target 2014/15</v>
      </c>
      <c r="J23" s="255" t="str">
        <f t="shared" si="21"/>
        <v>Annual target 2015/16</v>
      </c>
      <c r="K23" s="255" t="str">
        <f t="shared" si="21"/>
        <v>Annual target 2016/17</v>
      </c>
      <c r="L23" s="255" t="str">
        <f t="shared" si="21"/>
        <v>Annual target 2017/18</v>
      </c>
      <c r="M23" s="255" t="str">
        <f t="shared" si="21"/>
        <v>Annual target 2018/19</v>
      </c>
      <c r="N23" s="255" t="str">
        <f t="shared" si="21"/>
        <v>Annual target 2019/20</v>
      </c>
      <c r="O23" s="255" t="str">
        <f t="shared" si="21"/>
        <v>Annual target 2020/21</v>
      </c>
      <c r="P23" s="4"/>
    </row>
    <row r="24" spans="1:16" x14ac:dyDescent="0.2">
      <c r="A24" s="258" t="s">
        <v>475</v>
      </c>
      <c r="B24" s="9" t="s">
        <v>264</v>
      </c>
      <c r="C24" s="9" t="s">
        <v>478</v>
      </c>
      <c r="D24" s="9" t="s">
        <v>479</v>
      </c>
      <c r="E24" s="256" t="str">
        <f t="shared" ref="E24:O24" si="22">"Revised target "&amp; E1&amp;"/"&amp;RIGHT(E1,2)+1</f>
        <v>Revised target 2010/11</v>
      </c>
      <c r="F24" s="256" t="str">
        <f t="shared" si="22"/>
        <v>Revised target 2011/12</v>
      </c>
      <c r="G24" s="256" t="str">
        <f t="shared" si="22"/>
        <v>Revised target 2012/13</v>
      </c>
      <c r="H24" s="256" t="str">
        <f t="shared" si="22"/>
        <v>Revised target 2013/14</v>
      </c>
      <c r="I24" s="256" t="str">
        <f t="shared" si="22"/>
        <v>Revised target 2014/15</v>
      </c>
      <c r="J24" s="256" t="str">
        <f t="shared" si="22"/>
        <v>Revised target 2015/16</v>
      </c>
      <c r="K24" s="256" t="str">
        <f t="shared" si="22"/>
        <v>Revised target 2016/17</v>
      </c>
      <c r="L24" s="256" t="str">
        <f t="shared" si="22"/>
        <v>Revised target 2017/18</v>
      </c>
      <c r="M24" s="256" t="str">
        <f t="shared" si="22"/>
        <v>Revised target 2018/19</v>
      </c>
      <c r="N24" s="256" t="str">
        <f t="shared" si="22"/>
        <v>Revised target 2019/20</v>
      </c>
      <c r="O24" s="256" t="str">
        <f t="shared" si="22"/>
        <v>Revised target 2020/21</v>
      </c>
      <c r="P24" s="4"/>
    </row>
    <row r="25" spans="1:16" ht="18" x14ac:dyDescent="0.25">
      <c r="A25" s="259" t="s">
        <v>490</v>
      </c>
    </row>
    <row r="27" spans="1:16" x14ac:dyDescent="0.2">
      <c r="A27" s="1" t="s">
        <v>557</v>
      </c>
      <c r="B27" s="1">
        <v>41</v>
      </c>
    </row>
    <row r="28" spans="1:16" x14ac:dyDescent="0.2">
      <c r="A28" s="1" t="s">
        <v>558</v>
      </c>
      <c r="B28" s="1" t="str">
        <f>INDEX(B29:B312,B27,1)</f>
        <v>MAN Mangaung</v>
      </c>
    </row>
    <row r="29" spans="1:16" ht="12.75" x14ac:dyDescent="0.2">
      <c r="B29" s="471" t="s">
        <v>559</v>
      </c>
      <c r="C29" s="1" t="s">
        <v>560</v>
      </c>
    </row>
    <row r="30" spans="1:16" ht="12.75" x14ac:dyDescent="0.2">
      <c r="B30" s="648" t="s">
        <v>799</v>
      </c>
      <c r="C30" s="649" t="s">
        <v>1127</v>
      </c>
    </row>
    <row r="31" spans="1:16" ht="12.75" x14ac:dyDescent="0.2">
      <c r="B31" s="648" t="s">
        <v>800</v>
      </c>
      <c r="C31" s="650" t="s">
        <v>1127</v>
      </c>
    </row>
    <row r="32" spans="1:16" ht="12.75" x14ac:dyDescent="0.2">
      <c r="B32" s="648" t="s">
        <v>980</v>
      </c>
      <c r="C32" s="649" t="s">
        <v>1127</v>
      </c>
    </row>
    <row r="33" spans="2:3" ht="12.75" x14ac:dyDescent="0.2">
      <c r="B33" s="648" t="s">
        <v>595</v>
      </c>
      <c r="C33" s="649" t="s">
        <v>1127</v>
      </c>
    </row>
    <row r="34" spans="2:3" ht="12.75" x14ac:dyDescent="0.2">
      <c r="B34" s="648" t="s">
        <v>596</v>
      </c>
      <c r="C34" s="649" t="s">
        <v>1127</v>
      </c>
    </row>
    <row r="35" spans="2:3" ht="12.75" x14ac:dyDescent="0.2">
      <c r="B35" s="648" t="s">
        <v>597</v>
      </c>
      <c r="C35" s="649" t="s">
        <v>1127</v>
      </c>
    </row>
    <row r="36" spans="2:3" ht="12.75" x14ac:dyDescent="0.2">
      <c r="B36" s="648" t="s">
        <v>598</v>
      </c>
      <c r="C36" s="649" t="s">
        <v>1127</v>
      </c>
    </row>
    <row r="37" spans="2:3" ht="12.75" x14ac:dyDescent="0.2">
      <c r="B37" s="648" t="s">
        <v>599</v>
      </c>
      <c r="C37" s="650" t="s">
        <v>1127</v>
      </c>
    </row>
    <row r="38" spans="2:3" ht="12.75" x14ac:dyDescent="0.2">
      <c r="B38" s="648" t="s">
        <v>789</v>
      </c>
      <c r="C38" s="649" t="s">
        <v>1127</v>
      </c>
    </row>
    <row r="39" spans="2:3" ht="12.75" x14ac:dyDescent="0.2">
      <c r="B39" s="648" t="s">
        <v>836</v>
      </c>
      <c r="C39" s="651" t="s">
        <v>1127</v>
      </c>
    </row>
    <row r="40" spans="2:3" ht="12.75" x14ac:dyDescent="0.2">
      <c r="B40" s="648" t="s">
        <v>600</v>
      </c>
      <c r="C40" s="651" t="s">
        <v>1127</v>
      </c>
    </row>
    <row r="41" spans="2:3" ht="12.75" x14ac:dyDescent="0.2">
      <c r="B41" s="648" t="s">
        <v>601</v>
      </c>
      <c r="C41" s="652" t="s">
        <v>1127</v>
      </c>
    </row>
    <row r="42" spans="2:3" ht="12.75" x14ac:dyDescent="0.2">
      <c r="B42" s="648" t="s">
        <v>602</v>
      </c>
      <c r="C42" s="652" t="s">
        <v>1127</v>
      </c>
    </row>
    <row r="43" spans="2:3" ht="12.75" x14ac:dyDescent="0.2">
      <c r="B43" s="648" t="s">
        <v>603</v>
      </c>
      <c r="C43" s="652" t="s">
        <v>1127</v>
      </c>
    </row>
    <row r="44" spans="2:3" ht="12.75" x14ac:dyDescent="0.2">
      <c r="B44" s="648" t="s">
        <v>604</v>
      </c>
      <c r="C44" s="652" t="s">
        <v>1127</v>
      </c>
    </row>
    <row r="45" spans="2:3" ht="12.75" x14ac:dyDescent="0.2">
      <c r="B45" s="653" t="s">
        <v>840</v>
      </c>
      <c r="C45" s="652" t="s">
        <v>1127</v>
      </c>
    </row>
    <row r="46" spans="2:3" ht="12.75" x14ac:dyDescent="0.2">
      <c r="B46" s="648" t="s">
        <v>562</v>
      </c>
      <c r="C46" s="652" t="s">
        <v>1127</v>
      </c>
    </row>
    <row r="47" spans="2:3" ht="12.75" x14ac:dyDescent="0.2">
      <c r="B47" s="648" t="s">
        <v>605</v>
      </c>
      <c r="C47" s="652" t="s">
        <v>1127</v>
      </c>
    </row>
    <row r="48" spans="2:3" ht="12.75" x14ac:dyDescent="0.2">
      <c r="B48" s="648" t="s">
        <v>606</v>
      </c>
      <c r="C48" s="652" t="s">
        <v>1127</v>
      </c>
    </row>
    <row r="49" spans="2:3" ht="12.75" x14ac:dyDescent="0.2">
      <c r="B49" s="648" t="s">
        <v>837</v>
      </c>
      <c r="C49" s="652" t="s">
        <v>1127</v>
      </c>
    </row>
    <row r="50" spans="2:3" ht="12.75" x14ac:dyDescent="0.2">
      <c r="B50" s="648" t="s">
        <v>607</v>
      </c>
      <c r="C50" s="652" t="s">
        <v>1127</v>
      </c>
    </row>
    <row r="51" spans="2:3" ht="12.75" x14ac:dyDescent="0.2">
      <c r="B51" s="648" t="s">
        <v>608</v>
      </c>
      <c r="C51" s="651" t="s">
        <v>1127</v>
      </c>
    </row>
    <row r="52" spans="2:3" ht="12.75" x14ac:dyDescent="0.2">
      <c r="B52" s="653" t="s">
        <v>841</v>
      </c>
      <c r="C52" s="651" t="s">
        <v>1127</v>
      </c>
    </row>
    <row r="53" spans="2:3" ht="12.75" x14ac:dyDescent="0.2">
      <c r="B53" s="648" t="s">
        <v>563</v>
      </c>
      <c r="C53" s="651" t="s">
        <v>1127</v>
      </c>
    </row>
    <row r="54" spans="2:3" ht="12.75" x14ac:dyDescent="0.2">
      <c r="B54" s="648" t="s">
        <v>609</v>
      </c>
      <c r="C54" s="651" t="s">
        <v>1127</v>
      </c>
    </row>
    <row r="55" spans="2:3" ht="12.75" x14ac:dyDescent="0.2">
      <c r="B55" s="648" t="s">
        <v>610</v>
      </c>
      <c r="C55" s="651" t="s">
        <v>1127</v>
      </c>
    </row>
    <row r="56" spans="2:3" ht="12.75" x14ac:dyDescent="0.2">
      <c r="B56" s="653" t="s">
        <v>842</v>
      </c>
      <c r="C56" s="651" t="s">
        <v>1127</v>
      </c>
    </row>
    <row r="57" spans="2:3" ht="12.75" x14ac:dyDescent="0.2">
      <c r="B57" s="648" t="s">
        <v>787</v>
      </c>
      <c r="C57" s="651" t="s">
        <v>1127</v>
      </c>
    </row>
    <row r="58" spans="2:3" ht="12.75" x14ac:dyDescent="0.2">
      <c r="B58" s="648" t="s">
        <v>611</v>
      </c>
      <c r="C58" s="410" t="s">
        <v>1127</v>
      </c>
    </row>
    <row r="59" spans="2:3" ht="12.75" x14ac:dyDescent="0.2">
      <c r="B59" s="648" t="s">
        <v>612</v>
      </c>
      <c r="C59" s="410" t="s">
        <v>1127</v>
      </c>
    </row>
    <row r="60" spans="2:3" ht="12.75" x14ac:dyDescent="0.2">
      <c r="B60" s="648" t="s">
        <v>613</v>
      </c>
      <c r="C60" s="651" t="s">
        <v>1127</v>
      </c>
    </row>
    <row r="61" spans="2:3" ht="12.75" x14ac:dyDescent="0.2">
      <c r="B61" s="648" t="s">
        <v>614</v>
      </c>
      <c r="C61" s="651" t="s">
        <v>1127</v>
      </c>
    </row>
    <row r="62" spans="2:3" ht="12.75" x14ac:dyDescent="0.2">
      <c r="B62" s="648" t="s">
        <v>615</v>
      </c>
      <c r="C62" s="651" t="s">
        <v>1127</v>
      </c>
    </row>
    <row r="63" spans="2:3" ht="12.75" x14ac:dyDescent="0.2">
      <c r="B63" s="648" t="s">
        <v>564</v>
      </c>
      <c r="C63" s="651" t="s">
        <v>1127</v>
      </c>
    </row>
    <row r="64" spans="2:3" ht="12.75" x14ac:dyDescent="0.2">
      <c r="B64" s="648" t="s">
        <v>616</v>
      </c>
      <c r="C64" s="652" t="s">
        <v>1127</v>
      </c>
    </row>
    <row r="65" spans="2:3" ht="12.75" x14ac:dyDescent="0.2">
      <c r="B65" s="648" t="s">
        <v>617</v>
      </c>
      <c r="C65" s="651" t="s">
        <v>1127</v>
      </c>
    </row>
    <row r="66" spans="2:3" ht="12.75" x14ac:dyDescent="0.2">
      <c r="B66" s="648" t="s">
        <v>801</v>
      </c>
      <c r="C66" s="651" t="s">
        <v>1127</v>
      </c>
    </row>
    <row r="67" spans="2:3" ht="12.75" x14ac:dyDescent="0.2">
      <c r="B67" s="648" t="s">
        <v>802</v>
      </c>
      <c r="C67" s="651" t="s">
        <v>1127</v>
      </c>
    </row>
    <row r="68" spans="2:3" ht="12.75" x14ac:dyDescent="0.2">
      <c r="B68" s="648" t="s">
        <v>590</v>
      </c>
      <c r="C68" s="651" t="s">
        <v>1127</v>
      </c>
    </row>
    <row r="69" spans="2:3" ht="12.75" x14ac:dyDescent="0.2">
      <c r="B69" s="648" t="s">
        <v>803</v>
      </c>
      <c r="C69" s="651" t="s">
        <v>1158</v>
      </c>
    </row>
    <row r="70" spans="2:3" ht="12.75" x14ac:dyDescent="0.2">
      <c r="B70" s="648" t="s">
        <v>618</v>
      </c>
      <c r="C70" s="651" t="s">
        <v>1158</v>
      </c>
    </row>
    <row r="71" spans="2:3" ht="12.75" x14ac:dyDescent="0.2">
      <c r="B71" s="648" t="s">
        <v>619</v>
      </c>
      <c r="C71" s="651" t="s">
        <v>1158</v>
      </c>
    </row>
    <row r="72" spans="2:3" ht="12.75" x14ac:dyDescent="0.2">
      <c r="B72" s="648" t="s">
        <v>620</v>
      </c>
      <c r="C72" s="651" t="s">
        <v>1158</v>
      </c>
    </row>
    <row r="73" spans="2:3" ht="12.75" x14ac:dyDescent="0.2">
      <c r="B73" s="648" t="s">
        <v>565</v>
      </c>
      <c r="C73" s="651" t="s">
        <v>1158</v>
      </c>
    </row>
    <row r="74" spans="2:3" ht="12.75" x14ac:dyDescent="0.2">
      <c r="B74" s="648" t="s">
        <v>621</v>
      </c>
      <c r="C74" s="651" t="s">
        <v>1158</v>
      </c>
    </row>
    <row r="75" spans="2:3" ht="12.75" x14ac:dyDescent="0.2">
      <c r="B75" s="648" t="s">
        <v>622</v>
      </c>
      <c r="C75" s="651" t="s">
        <v>1158</v>
      </c>
    </row>
    <row r="76" spans="2:3" ht="12.75" x14ac:dyDescent="0.2">
      <c r="B76" s="648" t="s">
        <v>623</v>
      </c>
      <c r="C76" s="651" t="s">
        <v>1158</v>
      </c>
    </row>
    <row r="77" spans="2:3" ht="12.75" x14ac:dyDescent="0.2">
      <c r="B77" s="648" t="s">
        <v>624</v>
      </c>
      <c r="C77" s="651" t="s">
        <v>1158</v>
      </c>
    </row>
    <row r="78" spans="2:3" ht="12.75" x14ac:dyDescent="0.2">
      <c r="B78" s="648" t="s">
        <v>625</v>
      </c>
      <c r="C78" s="651" t="s">
        <v>1158</v>
      </c>
    </row>
    <row r="79" spans="2:3" ht="12.75" x14ac:dyDescent="0.2">
      <c r="B79" s="648" t="s">
        <v>566</v>
      </c>
      <c r="C79" s="651" t="s">
        <v>1158</v>
      </c>
    </row>
    <row r="80" spans="2:3" ht="12.75" x14ac:dyDescent="0.2">
      <c r="B80" s="648" t="s">
        <v>626</v>
      </c>
      <c r="C80" s="651" t="s">
        <v>1158</v>
      </c>
    </row>
    <row r="81" spans="2:3" ht="12.75" x14ac:dyDescent="0.2">
      <c r="B81" s="648" t="s">
        <v>627</v>
      </c>
      <c r="C81" s="651" t="s">
        <v>1158</v>
      </c>
    </row>
    <row r="82" spans="2:3" ht="12.75" x14ac:dyDescent="0.2">
      <c r="B82" s="648" t="s">
        <v>628</v>
      </c>
      <c r="C82" s="651" t="s">
        <v>1158</v>
      </c>
    </row>
    <row r="83" spans="2:3" ht="12.75" x14ac:dyDescent="0.2">
      <c r="B83" s="648" t="s">
        <v>629</v>
      </c>
      <c r="C83" s="651" t="s">
        <v>1158</v>
      </c>
    </row>
    <row r="84" spans="2:3" ht="12.75" x14ac:dyDescent="0.2">
      <c r="B84" s="648" t="s">
        <v>630</v>
      </c>
      <c r="C84" s="651" t="s">
        <v>1158</v>
      </c>
    </row>
    <row r="85" spans="2:3" ht="12.75" x14ac:dyDescent="0.2">
      <c r="B85" s="648" t="s">
        <v>804</v>
      </c>
      <c r="C85" s="651" t="s">
        <v>1158</v>
      </c>
    </row>
    <row r="86" spans="2:3" ht="12.75" x14ac:dyDescent="0.2">
      <c r="B86" s="648" t="s">
        <v>567</v>
      </c>
      <c r="C86" s="651" t="s">
        <v>1158</v>
      </c>
    </row>
    <row r="87" spans="2:3" ht="12.75" x14ac:dyDescent="0.2">
      <c r="B87" s="648" t="s">
        <v>631</v>
      </c>
      <c r="C87" s="651" t="s">
        <v>1158</v>
      </c>
    </row>
    <row r="88" spans="2:3" ht="12.75" x14ac:dyDescent="0.2">
      <c r="B88" s="648" t="s">
        <v>632</v>
      </c>
      <c r="C88" s="651" t="s">
        <v>1158</v>
      </c>
    </row>
    <row r="89" spans="2:3" ht="12.75" x14ac:dyDescent="0.2">
      <c r="B89" s="648" t="s">
        <v>633</v>
      </c>
      <c r="C89" s="651" t="s">
        <v>1158</v>
      </c>
    </row>
    <row r="90" spans="2:3" ht="12.75" x14ac:dyDescent="0.2">
      <c r="B90" s="648" t="s">
        <v>634</v>
      </c>
      <c r="C90" s="651" t="s">
        <v>1158</v>
      </c>
    </row>
    <row r="91" spans="2:3" ht="12.75" x14ac:dyDescent="0.2">
      <c r="B91" s="648" t="s">
        <v>568</v>
      </c>
      <c r="C91" s="651" t="s">
        <v>1158</v>
      </c>
    </row>
    <row r="92" spans="2:3" ht="12.75" x14ac:dyDescent="0.2">
      <c r="B92" s="648" t="s">
        <v>981</v>
      </c>
      <c r="C92" s="651" t="s">
        <v>1160</v>
      </c>
    </row>
    <row r="93" spans="2:3" ht="12.75" x14ac:dyDescent="0.2">
      <c r="B93" s="648" t="s">
        <v>805</v>
      </c>
      <c r="C93" s="651" t="s">
        <v>1160</v>
      </c>
    </row>
    <row r="94" spans="2:3" ht="12.75" x14ac:dyDescent="0.2">
      <c r="B94" s="648" t="s">
        <v>806</v>
      </c>
      <c r="C94" s="651" t="s">
        <v>1160</v>
      </c>
    </row>
    <row r="95" spans="2:3" ht="12.75" x14ac:dyDescent="0.2">
      <c r="B95" s="648" t="s">
        <v>635</v>
      </c>
      <c r="C95" s="651" t="s">
        <v>1160</v>
      </c>
    </row>
    <row r="96" spans="2:3" ht="12.75" x14ac:dyDescent="0.2">
      <c r="B96" s="648" t="s">
        <v>636</v>
      </c>
      <c r="C96" s="651" t="s">
        <v>1160</v>
      </c>
    </row>
    <row r="97" spans="2:3" ht="12.75" x14ac:dyDescent="0.2">
      <c r="B97" s="648" t="s">
        <v>637</v>
      </c>
      <c r="C97" s="651" t="s">
        <v>1160</v>
      </c>
    </row>
    <row r="98" spans="2:3" ht="12.75" x14ac:dyDescent="0.2">
      <c r="B98" s="648" t="s">
        <v>589</v>
      </c>
      <c r="C98" s="651" t="s">
        <v>1160</v>
      </c>
    </row>
    <row r="99" spans="2:3" ht="12.75" x14ac:dyDescent="0.2">
      <c r="B99" s="648" t="s">
        <v>638</v>
      </c>
      <c r="C99" s="651" t="s">
        <v>1160</v>
      </c>
    </row>
    <row r="100" spans="2:3" ht="12.75" x14ac:dyDescent="0.2">
      <c r="B100" s="648" t="s">
        <v>790</v>
      </c>
      <c r="C100" s="651" t="s">
        <v>1160</v>
      </c>
    </row>
    <row r="101" spans="2:3" ht="12.75" x14ac:dyDescent="0.2">
      <c r="B101" s="653" t="s">
        <v>982</v>
      </c>
      <c r="C101" s="651" t="s">
        <v>1160</v>
      </c>
    </row>
    <row r="102" spans="2:3" ht="12.75" x14ac:dyDescent="0.2">
      <c r="B102" s="648" t="s">
        <v>591</v>
      </c>
      <c r="C102" s="651" t="s">
        <v>1160</v>
      </c>
    </row>
    <row r="103" spans="2:3" ht="12.75" x14ac:dyDescent="0.2">
      <c r="B103" s="648" t="s">
        <v>807</v>
      </c>
      <c r="C103" s="651" t="s">
        <v>1161</v>
      </c>
    </row>
    <row r="104" spans="2:3" ht="12.75" x14ac:dyDescent="0.2">
      <c r="B104" s="648" t="s">
        <v>639</v>
      </c>
      <c r="C104" s="651" t="s">
        <v>1161</v>
      </c>
    </row>
    <row r="105" spans="2:3" ht="12.75" x14ac:dyDescent="0.2">
      <c r="B105" s="648" t="s">
        <v>640</v>
      </c>
      <c r="C105" s="649" t="s">
        <v>1161</v>
      </c>
    </row>
    <row r="106" spans="2:3" ht="12.75" x14ac:dyDescent="0.2">
      <c r="B106" s="648" t="s">
        <v>641</v>
      </c>
      <c r="C106" s="649" t="s">
        <v>1161</v>
      </c>
    </row>
    <row r="107" spans="2:3" ht="12.75" x14ac:dyDescent="0.2">
      <c r="B107" s="648" t="s">
        <v>848</v>
      </c>
      <c r="C107" s="649" t="s">
        <v>1161</v>
      </c>
    </row>
    <row r="108" spans="2:3" ht="12.75" x14ac:dyDescent="0.2">
      <c r="B108" s="648" t="s">
        <v>569</v>
      </c>
      <c r="C108" s="649" t="s">
        <v>1161</v>
      </c>
    </row>
    <row r="109" spans="2:3" ht="12.75" x14ac:dyDescent="0.2">
      <c r="B109" s="648" t="s">
        <v>642</v>
      </c>
      <c r="C109" s="649" t="s">
        <v>1161</v>
      </c>
    </row>
    <row r="110" spans="2:3" ht="12.75" x14ac:dyDescent="0.2">
      <c r="B110" s="648" t="s">
        <v>643</v>
      </c>
      <c r="C110" s="649" t="s">
        <v>1161</v>
      </c>
    </row>
    <row r="111" spans="2:3" ht="12.75" x14ac:dyDescent="0.2">
      <c r="B111" s="648" t="s">
        <v>644</v>
      </c>
      <c r="C111" s="649" t="s">
        <v>1161</v>
      </c>
    </row>
    <row r="112" spans="2:3" ht="12.75" x14ac:dyDescent="0.2">
      <c r="B112" s="648" t="s">
        <v>645</v>
      </c>
      <c r="C112" s="649" t="s">
        <v>1161</v>
      </c>
    </row>
    <row r="113" spans="2:3" ht="12.75" x14ac:dyDescent="0.2">
      <c r="B113" s="648" t="s">
        <v>646</v>
      </c>
      <c r="C113" s="649" t="s">
        <v>1161</v>
      </c>
    </row>
    <row r="114" spans="2:3" ht="12.75" x14ac:dyDescent="0.2">
      <c r="B114" s="648" t="s">
        <v>647</v>
      </c>
      <c r="C114" s="649" t="s">
        <v>1161</v>
      </c>
    </row>
    <row r="115" spans="2:3" ht="12.75" x14ac:dyDescent="0.2">
      <c r="B115" s="648" t="s">
        <v>648</v>
      </c>
      <c r="C115" s="649" t="s">
        <v>1161</v>
      </c>
    </row>
    <row r="116" spans="2:3" ht="12.75" x14ac:dyDescent="0.2">
      <c r="B116" s="648" t="s">
        <v>570</v>
      </c>
      <c r="C116" s="649" t="s">
        <v>1161</v>
      </c>
    </row>
    <row r="117" spans="2:3" ht="12.75" x14ac:dyDescent="0.2">
      <c r="B117" s="648" t="s">
        <v>649</v>
      </c>
      <c r="C117" s="649" t="s">
        <v>1161</v>
      </c>
    </row>
    <row r="118" spans="2:3" ht="12.75" x14ac:dyDescent="0.2">
      <c r="B118" s="653" t="s">
        <v>843</v>
      </c>
      <c r="C118" s="649" t="s">
        <v>1161</v>
      </c>
    </row>
    <row r="119" spans="2:3" ht="12.75" x14ac:dyDescent="0.2">
      <c r="B119" s="653" t="s">
        <v>844</v>
      </c>
      <c r="C119" s="649" t="s">
        <v>1161</v>
      </c>
    </row>
    <row r="120" spans="2:3" ht="12.75" x14ac:dyDescent="0.2">
      <c r="B120" s="648" t="s">
        <v>571</v>
      </c>
      <c r="C120" s="649" t="s">
        <v>1161</v>
      </c>
    </row>
    <row r="121" spans="2:3" ht="12.75" x14ac:dyDescent="0.2">
      <c r="B121" s="648" t="s">
        <v>650</v>
      </c>
      <c r="C121" s="649" t="s">
        <v>1161</v>
      </c>
    </row>
    <row r="122" spans="2:3" ht="12.75" x14ac:dyDescent="0.2">
      <c r="B122" s="648" t="s">
        <v>651</v>
      </c>
      <c r="C122" s="649" t="s">
        <v>1161</v>
      </c>
    </row>
    <row r="123" spans="2:3" ht="12.75" x14ac:dyDescent="0.2">
      <c r="B123" s="648" t="s">
        <v>652</v>
      </c>
      <c r="C123" s="649" t="s">
        <v>1161</v>
      </c>
    </row>
    <row r="124" spans="2:3" ht="12.75" x14ac:dyDescent="0.2">
      <c r="B124" s="648" t="s">
        <v>653</v>
      </c>
      <c r="C124" s="649" t="s">
        <v>1161</v>
      </c>
    </row>
    <row r="125" spans="2:3" ht="12.75" x14ac:dyDescent="0.2">
      <c r="B125" s="648" t="s">
        <v>572</v>
      </c>
      <c r="C125" s="651" t="s">
        <v>1161</v>
      </c>
    </row>
    <row r="126" spans="2:3" ht="12.75" x14ac:dyDescent="0.2">
      <c r="B126" s="648" t="s">
        <v>654</v>
      </c>
      <c r="C126" s="651" t="s">
        <v>1161</v>
      </c>
    </row>
    <row r="127" spans="2:3" ht="12.75" x14ac:dyDescent="0.2">
      <c r="B127" s="648" t="s">
        <v>983</v>
      </c>
      <c r="C127" s="651" t="s">
        <v>1161</v>
      </c>
    </row>
    <row r="128" spans="2:3" ht="12.75" x14ac:dyDescent="0.2">
      <c r="B128" s="648" t="s">
        <v>655</v>
      </c>
      <c r="C128" s="651" t="s">
        <v>1161</v>
      </c>
    </row>
    <row r="129" spans="2:3" ht="12.75" x14ac:dyDescent="0.2">
      <c r="B129" s="648" t="s">
        <v>573</v>
      </c>
      <c r="C129" s="651" t="s">
        <v>1161</v>
      </c>
    </row>
    <row r="130" spans="2:3" ht="12.75" x14ac:dyDescent="0.2">
      <c r="B130" s="648" t="s">
        <v>656</v>
      </c>
      <c r="C130" s="651" t="s">
        <v>1161</v>
      </c>
    </row>
    <row r="131" spans="2:3" ht="12.75" x14ac:dyDescent="0.2">
      <c r="B131" s="648" t="s">
        <v>657</v>
      </c>
      <c r="C131" s="651" t="s">
        <v>1161</v>
      </c>
    </row>
    <row r="132" spans="2:3" ht="12.75" x14ac:dyDescent="0.2">
      <c r="B132" s="648" t="s">
        <v>658</v>
      </c>
      <c r="C132" s="651" t="s">
        <v>1161</v>
      </c>
    </row>
    <row r="133" spans="2:3" ht="12.75" x14ac:dyDescent="0.2">
      <c r="B133" s="648" t="s">
        <v>659</v>
      </c>
      <c r="C133" s="651" t="s">
        <v>1161</v>
      </c>
    </row>
    <row r="134" spans="2:3" ht="12.75" x14ac:dyDescent="0.2">
      <c r="B134" s="648" t="s">
        <v>660</v>
      </c>
      <c r="C134" s="651" t="s">
        <v>1161</v>
      </c>
    </row>
    <row r="135" spans="2:3" ht="12.75" x14ac:dyDescent="0.2">
      <c r="B135" s="648" t="s">
        <v>574</v>
      </c>
      <c r="C135" s="652" t="s">
        <v>1161</v>
      </c>
    </row>
    <row r="136" spans="2:3" ht="12.75" x14ac:dyDescent="0.2">
      <c r="B136" s="648" t="s">
        <v>661</v>
      </c>
      <c r="C136" s="652" t="s">
        <v>1161</v>
      </c>
    </row>
    <row r="137" spans="2:3" ht="12.75" x14ac:dyDescent="0.2">
      <c r="B137" s="648" t="s">
        <v>662</v>
      </c>
      <c r="C137" s="652" t="s">
        <v>1161</v>
      </c>
    </row>
    <row r="138" spans="2:3" ht="12.75" x14ac:dyDescent="0.2">
      <c r="B138" s="648" t="s">
        <v>663</v>
      </c>
      <c r="C138" s="652" t="s">
        <v>1161</v>
      </c>
    </row>
    <row r="139" spans="2:3" ht="12.75" x14ac:dyDescent="0.2">
      <c r="B139" s="653" t="s">
        <v>984</v>
      </c>
      <c r="C139" s="652" t="s">
        <v>1161</v>
      </c>
    </row>
    <row r="140" spans="2:3" ht="12.75" x14ac:dyDescent="0.2">
      <c r="B140" s="648" t="s">
        <v>575</v>
      </c>
      <c r="C140" s="652" t="s">
        <v>1161</v>
      </c>
    </row>
    <row r="141" spans="2:3" ht="12.75" x14ac:dyDescent="0.2">
      <c r="B141" s="648" t="s">
        <v>791</v>
      </c>
      <c r="C141" s="652" t="s">
        <v>1161</v>
      </c>
    </row>
    <row r="142" spans="2:3" ht="12.75" x14ac:dyDescent="0.2">
      <c r="B142" s="648" t="s">
        <v>664</v>
      </c>
      <c r="C142" s="652" t="s">
        <v>1161</v>
      </c>
    </row>
    <row r="143" spans="2:3" ht="12.75" x14ac:dyDescent="0.2">
      <c r="B143" s="648" t="s">
        <v>792</v>
      </c>
      <c r="C143" s="652" t="s">
        <v>1161</v>
      </c>
    </row>
    <row r="144" spans="2:3" ht="12.75" x14ac:dyDescent="0.2">
      <c r="B144" s="648" t="s">
        <v>665</v>
      </c>
      <c r="C144" s="652" t="s">
        <v>1161</v>
      </c>
    </row>
    <row r="145" spans="2:3" ht="12.75" x14ac:dyDescent="0.2">
      <c r="B145" s="648" t="s">
        <v>666</v>
      </c>
      <c r="C145" s="652" t="s">
        <v>1161</v>
      </c>
    </row>
    <row r="146" spans="2:3" ht="12.75" x14ac:dyDescent="0.2">
      <c r="B146" s="648" t="s">
        <v>845</v>
      </c>
      <c r="C146" s="652" t="s">
        <v>1161</v>
      </c>
    </row>
    <row r="147" spans="2:3" ht="12.75" x14ac:dyDescent="0.2">
      <c r="B147" s="648" t="s">
        <v>667</v>
      </c>
      <c r="C147" s="652" t="s">
        <v>1161</v>
      </c>
    </row>
    <row r="148" spans="2:3" ht="12.75" x14ac:dyDescent="0.2">
      <c r="B148" s="648" t="s">
        <v>668</v>
      </c>
      <c r="C148" s="652" t="s">
        <v>1161</v>
      </c>
    </row>
    <row r="149" spans="2:3" ht="12.75" x14ac:dyDescent="0.2">
      <c r="B149" s="648" t="s">
        <v>669</v>
      </c>
      <c r="C149" s="652" t="s">
        <v>1161</v>
      </c>
    </row>
    <row r="150" spans="2:3" ht="12.75" x14ac:dyDescent="0.2">
      <c r="B150" s="648" t="s">
        <v>670</v>
      </c>
      <c r="C150" s="652" t="s">
        <v>1161</v>
      </c>
    </row>
    <row r="151" spans="2:3" ht="12.75" x14ac:dyDescent="0.2">
      <c r="B151" s="648" t="s">
        <v>576</v>
      </c>
      <c r="C151" s="652" t="s">
        <v>1161</v>
      </c>
    </row>
    <row r="152" spans="2:3" ht="12.75" x14ac:dyDescent="0.2">
      <c r="B152" s="648" t="s">
        <v>671</v>
      </c>
      <c r="C152" s="652" t="s">
        <v>1161</v>
      </c>
    </row>
    <row r="153" spans="2:3" ht="12.75" x14ac:dyDescent="0.2">
      <c r="B153" s="648" t="s">
        <v>672</v>
      </c>
      <c r="C153" s="652" t="s">
        <v>1161</v>
      </c>
    </row>
    <row r="154" spans="2:3" ht="12.75" x14ac:dyDescent="0.2">
      <c r="B154" s="648" t="s">
        <v>673</v>
      </c>
      <c r="C154" s="652" t="s">
        <v>1161</v>
      </c>
    </row>
    <row r="155" spans="2:3" ht="12.75" x14ac:dyDescent="0.2">
      <c r="B155" s="653" t="s">
        <v>846</v>
      </c>
      <c r="C155" s="652" t="s">
        <v>1161</v>
      </c>
    </row>
    <row r="156" spans="2:3" ht="12.75" x14ac:dyDescent="0.2">
      <c r="B156" s="648" t="s">
        <v>808</v>
      </c>
      <c r="C156" s="652" t="s">
        <v>1161</v>
      </c>
    </row>
    <row r="157" spans="2:3" ht="12.75" x14ac:dyDescent="0.2">
      <c r="B157" s="648" t="s">
        <v>674</v>
      </c>
      <c r="C157" s="652" t="s">
        <v>1162</v>
      </c>
    </row>
    <row r="158" spans="2:3" ht="12.75" x14ac:dyDescent="0.2">
      <c r="B158" s="648" t="s">
        <v>675</v>
      </c>
      <c r="C158" s="652" t="s">
        <v>1162</v>
      </c>
    </row>
    <row r="159" spans="2:3" ht="12.75" x14ac:dyDescent="0.2">
      <c r="B159" s="648" t="s">
        <v>676</v>
      </c>
      <c r="C159" s="652" t="s">
        <v>1162</v>
      </c>
    </row>
    <row r="160" spans="2:3" ht="12.75" x14ac:dyDescent="0.2">
      <c r="B160" s="648" t="s">
        <v>677</v>
      </c>
      <c r="C160" s="652" t="s">
        <v>1162</v>
      </c>
    </row>
    <row r="161" spans="2:3" ht="12.75" x14ac:dyDescent="0.2">
      <c r="B161" s="648" t="s">
        <v>678</v>
      </c>
      <c r="C161" s="652" t="s">
        <v>1162</v>
      </c>
    </row>
    <row r="162" spans="2:3" ht="12.75" x14ac:dyDescent="0.2">
      <c r="B162" s="648" t="s">
        <v>581</v>
      </c>
      <c r="C162" s="652" t="s">
        <v>1162</v>
      </c>
    </row>
    <row r="163" spans="2:3" ht="12.75" x14ac:dyDescent="0.2">
      <c r="B163" s="648" t="s">
        <v>679</v>
      </c>
      <c r="C163" s="652" t="s">
        <v>1162</v>
      </c>
    </row>
    <row r="164" spans="2:3" ht="12.75" x14ac:dyDescent="0.2">
      <c r="B164" s="648" t="s">
        <v>680</v>
      </c>
      <c r="C164" s="652" t="s">
        <v>1162</v>
      </c>
    </row>
    <row r="165" spans="2:3" ht="12.75" x14ac:dyDescent="0.2">
      <c r="B165" s="648" t="s">
        <v>681</v>
      </c>
      <c r="C165" s="652" t="s">
        <v>1162</v>
      </c>
    </row>
    <row r="166" spans="2:3" ht="12.75" x14ac:dyDescent="0.2">
      <c r="B166" s="653" t="s">
        <v>985</v>
      </c>
      <c r="C166" s="652" t="s">
        <v>1162</v>
      </c>
    </row>
    <row r="167" spans="2:3" ht="12.75" x14ac:dyDescent="0.2">
      <c r="B167" s="648" t="s">
        <v>582</v>
      </c>
      <c r="C167" s="652" t="s">
        <v>1162</v>
      </c>
    </row>
    <row r="168" spans="2:3" ht="12.75" x14ac:dyDescent="0.2">
      <c r="B168" s="648" t="s">
        <v>682</v>
      </c>
      <c r="C168" s="652" t="s">
        <v>1162</v>
      </c>
    </row>
    <row r="169" spans="2:3" ht="12.75" x14ac:dyDescent="0.2">
      <c r="B169" s="648" t="s">
        <v>683</v>
      </c>
      <c r="C169" s="652" t="s">
        <v>1162</v>
      </c>
    </row>
    <row r="170" spans="2:3" ht="12.75" x14ac:dyDescent="0.2">
      <c r="B170" s="648" t="s">
        <v>684</v>
      </c>
      <c r="C170" s="652" t="s">
        <v>1162</v>
      </c>
    </row>
    <row r="171" spans="2:3" ht="12.75" x14ac:dyDescent="0.2">
      <c r="B171" s="648" t="s">
        <v>685</v>
      </c>
      <c r="C171" s="652" t="s">
        <v>1162</v>
      </c>
    </row>
    <row r="172" spans="2:3" ht="12.75" x14ac:dyDescent="0.2">
      <c r="B172" s="648" t="s">
        <v>583</v>
      </c>
      <c r="C172" s="652" t="s">
        <v>1162</v>
      </c>
    </row>
    <row r="173" spans="2:3" ht="12.75" x14ac:dyDescent="0.2">
      <c r="B173" s="648" t="s">
        <v>686</v>
      </c>
      <c r="C173" s="652" t="s">
        <v>1162</v>
      </c>
    </row>
    <row r="174" spans="2:3" ht="12.75" x14ac:dyDescent="0.2">
      <c r="B174" s="648" t="s">
        <v>687</v>
      </c>
      <c r="C174" s="652" t="s">
        <v>1162</v>
      </c>
    </row>
    <row r="175" spans="2:3" ht="12.75" x14ac:dyDescent="0.2">
      <c r="B175" s="648" t="s">
        <v>688</v>
      </c>
      <c r="C175" s="652" t="s">
        <v>1162</v>
      </c>
    </row>
    <row r="176" spans="2:3" ht="12.75" x14ac:dyDescent="0.2">
      <c r="B176" s="648" t="s">
        <v>689</v>
      </c>
      <c r="C176" s="652" t="s">
        <v>1162</v>
      </c>
    </row>
    <row r="177" spans="2:3" ht="12.75" x14ac:dyDescent="0.2">
      <c r="B177" s="653" t="s">
        <v>986</v>
      </c>
      <c r="C177" s="652" t="s">
        <v>1162</v>
      </c>
    </row>
    <row r="178" spans="2:3" ht="12.75" x14ac:dyDescent="0.2">
      <c r="B178" s="648" t="s">
        <v>584</v>
      </c>
      <c r="C178" s="652" t="s">
        <v>1162</v>
      </c>
    </row>
    <row r="179" spans="2:3" ht="12.75" x14ac:dyDescent="0.2">
      <c r="B179" s="648" t="s">
        <v>793</v>
      </c>
      <c r="C179" s="651" t="s">
        <v>1162</v>
      </c>
    </row>
    <row r="180" spans="2:3" ht="12.75" x14ac:dyDescent="0.2">
      <c r="B180" s="648" t="s">
        <v>690</v>
      </c>
      <c r="C180" s="651" t="s">
        <v>1162</v>
      </c>
    </row>
    <row r="181" spans="2:3" ht="12.75" x14ac:dyDescent="0.2">
      <c r="B181" s="648" t="s">
        <v>794</v>
      </c>
      <c r="C181" s="651" t="s">
        <v>1162</v>
      </c>
    </row>
    <row r="182" spans="2:3" ht="12.75" x14ac:dyDescent="0.2">
      <c r="B182" s="653" t="s">
        <v>987</v>
      </c>
      <c r="C182" s="651" t="s">
        <v>1162</v>
      </c>
    </row>
    <row r="183" spans="2:3" ht="12.75" x14ac:dyDescent="0.2">
      <c r="B183" s="648" t="s">
        <v>809</v>
      </c>
      <c r="C183" s="651" t="s">
        <v>1162</v>
      </c>
    </row>
    <row r="184" spans="2:3" ht="12.75" x14ac:dyDescent="0.2">
      <c r="B184" s="648" t="s">
        <v>691</v>
      </c>
      <c r="C184" s="651" t="s">
        <v>1163</v>
      </c>
    </row>
    <row r="185" spans="2:3" ht="12.75" x14ac:dyDescent="0.2">
      <c r="B185" s="648" t="s">
        <v>692</v>
      </c>
      <c r="C185" s="651" t="s">
        <v>1163</v>
      </c>
    </row>
    <row r="186" spans="2:3" ht="12.75" x14ac:dyDescent="0.2">
      <c r="B186" s="648" t="s">
        <v>693</v>
      </c>
      <c r="C186" s="651" t="s">
        <v>1163</v>
      </c>
    </row>
    <row r="187" spans="2:3" ht="12.75" x14ac:dyDescent="0.2">
      <c r="B187" s="648" t="s">
        <v>795</v>
      </c>
      <c r="C187" s="651" t="s">
        <v>1163</v>
      </c>
    </row>
    <row r="188" spans="2:3" ht="12.75" x14ac:dyDescent="0.2">
      <c r="B188" s="648" t="s">
        <v>694</v>
      </c>
      <c r="C188" s="651" t="s">
        <v>1163</v>
      </c>
    </row>
    <row r="189" spans="2:3" ht="12.75" x14ac:dyDescent="0.2">
      <c r="B189" s="648" t="s">
        <v>695</v>
      </c>
      <c r="C189" s="651" t="s">
        <v>1163</v>
      </c>
    </row>
    <row r="190" spans="2:3" ht="12.75" x14ac:dyDescent="0.2">
      <c r="B190" s="648" t="s">
        <v>696</v>
      </c>
      <c r="C190" s="651" t="s">
        <v>1163</v>
      </c>
    </row>
    <row r="191" spans="2:3" ht="12.75" x14ac:dyDescent="0.2">
      <c r="B191" s="648" t="s">
        <v>578</v>
      </c>
      <c r="C191" s="651" t="s">
        <v>1163</v>
      </c>
    </row>
    <row r="192" spans="2:3" ht="12.75" x14ac:dyDescent="0.2">
      <c r="B192" s="648" t="s">
        <v>796</v>
      </c>
      <c r="C192" s="651" t="s">
        <v>1163</v>
      </c>
    </row>
    <row r="193" spans="2:3" ht="12.75" x14ac:dyDescent="0.2">
      <c r="B193" s="648" t="s">
        <v>810</v>
      </c>
      <c r="C193" s="651" t="s">
        <v>1163</v>
      </c>
    </row>
    <row r="194" spans="2:3" ht="12.75" x14ac:dyDescent="0.2">
      <c r="B194" s="648" t="s">
        <v>697</v>
      </c>
      <c r="C194" s="651" t="s">
        <v>1163</v>
      </c>
    </row>
    <row r="195" spans="2:3" ht="12.75" x14ac:dyDescent="0.2">
      <c r="B195" s="648" t="s">
        <v>698</v>
      </c>
      <c r="C195" s="651" t="s">
        <v>1163</v>
      </c>
    </row>
    <row r="196" spans="2:3" ht="12.75" x14ac:dyDescent="0.2">
      <c r="B196" s="648" t="s">
        <v>811</v>
      </c>
      <c r="C196" s="651" t="s">
        <v>1163</v>
      </c>
    </row>
    <row r="197" spans="2:3" ht="12.75" x14ac:dyDescent="0.2">
      <c r="B197" s="648" t="s">
        <v>699</v>
      </c>
      <c r="C197" s="651" t="s">
        <v>1163</v>
      </c>
    </row>
    <row r="198" spans="2:3" ht="12.75" x14ac:dyDescent="0.2">
      <c r="B198" s="648" t="s">
        <v>579</v>
      </c>
      <c r="C198" s="651" t="s">
        <v>1163</v>
      </c>
    </row>
    <row r="199" spans="2:3" ht="12.75" x14ac:dyDescent="0.2">
      <c r="B199" s="648" t="s">
        <v>700</v>
      </c>
      <c r="C199" s="651" t="s">
        <v>1163</v>
      </c>
    </row>
    <row r="200" spans="2:3" ht="12.75" x14ac:dyDescent="0.2">
      <c r="B200" s="648" t="s">
        <v>701</v>
      </c>
      <c r="C200" s="651" t="s">
        <v>1163</v>
      </c>
    </row>
    <row r="201" spans="2:3" ht="12.75" x14ac:dyDescent="0.2">
      <c r="B201" s="648" t="s">
        <v>702</v>
      </c>
      <c r="C201" s="651" t="s">
        <v>1163</v>
      </c>
    </row>
    <row r="202" spans="2:3" ht="12.75" x14ac:dyDescent="0.2">
      <c r="B202" s="653" t="s">
        <v>847</v>
      </c>
      <c r="C202" s="651" t="s">
        <v>1163</v>
      </c>
    </row>
    <row r="203" spans="2:3" ht="12.75" x14ac:dyDescent="0.2">
      <c r="B203" s="648" t="s">
        <v>580</v>
      </c>
      <c r="C203" s="651" t="s">
        <v>1163</v>
      </c>
    </row>
    <row r="204" spans="2:3" ht="12.75" x14ac:dyDescent="0.2">
      <c r="B204" s="648" t="s">
        <v>797</v>
      </c>
      <c r="C204" s="651" t="s">
        <v>1164</v>
      </c>
    </row>
    <row r="205" spans="2:3" ht="12.75" x14ac:dyDescent="0.2">
      <c r="B205" s="648" t="s">
        <v>725</v>
      </c>
      <c r="C205" s="651" t="s">
        <v>1164</v>
      </c>
    </row>
    <row r="206" spans="2:3" ht="12.75" x14ac:dyDescent="0.2">
      <c r="B206" s="648" t="s">
        <v>726</v>
      </c>
      <c r="C206" s="651" t="s">
        <v>1164</v>
      </c>
    </row>
    <row r="207" spans="2:3" ht="12.75" x14ac:dyDescent="0.2">
      <c r="B207" s="648" t="s">
        <v>788</v>
      </c>
      <c r="C207" s="651" t="s">
        <v>1164</v>
      </c>
    </row>
    <row r="208" spans="2:3" ht="12.75" x14ac:dyDescent="0.2">
      <c r="B208" s="648" t="s">
        <v>703</v>
      </c>
      <c r="C208" s="651" t="s">
        <v>1164</v>
      </c>
    </row>
    <row r="209" spans="2:3" ht="12.75" x14ac:dyDescent="0.2">
      <c r="B209" s="648" t="s">
        <v>704</v>
      </c>
      <c r="C209" s="651" t="s">
        <v>1164</v>
      </c>
    </row>
    <row r="210" spans="2:3" ht="12.75" x14ac:dyDescent="0.2">
      <c r="B210" s="648" t="s">
        <v>705</v>
      </c>
      <c r="C210" s="651" t="s">
        <v>1164</v>
      </c>
    </row>
    <row r="211" spans="2:3" ht="12.75" x14ac:dyDescent="0.2">
      <c r="B211" s="648" t="s">
        <v>706</v>
      </c>
      <c r="C211" s="651" t="s">
        <v>1164</v>
      </c>
    </row>
    <row r="212" spans="2:3" ht="12.75" x14ac:dyDescent="0.2">
      <c r="B212" s="648" t="s">
        <v>707</v>
      </c>
      <c r="C212" s="651" t="s">
        <v>1164</v>
      </c>
    </row>
    <row r="213" spans="2:3" ht="12.75" x14ac:dyDescent="0.2">
      <c r="B213" s="648" t="s">
        <v>708</v>
      </c>
      <c r="C213" s="651" t="s">
        <v>1164</v>
      </c>
    </row>
    <row r="214" spans="2:3" ht="12.75" x14ac:dyDescent="0.2">
      <c r="B214" s="648" t="s">
        <v>593</v>
      </c>
      <c r="C214" s="651" t="s">
        <v>1164</v>
      </c>
    </row>
    <row r="215" spans="2:3" ht="12.75" x14ac:dyDescent="0.2">
      <c r="B215" s="648" t="s">
        <v>709</v>
      </c>
      <c r="C215" s="651" t="s">
        <v>1164</v>
      </c>
    </row>
    <row r="216" spans="2:3" ht="12.75" x14ac:dyDescent="0.2">
      <c r="B216" s="648" t="s">
        <v>710</v>
      </c>
      <c r="C216" s="651" t="s">
        <v>1164</v>
      </c>
    </row>
    <row r="217" spans="2:3" ht="12.75" x14ac:dyDescent="0.2">
      <c r="B217" s="648" t="s">
        <v>711</v>
      </c>
      <c r="C217" s="651" t="s">
        <v>1164</v>
      </c>
    </row>
    <row r="218" spans="2:3" ht="12.75" x14ac:dyDescent="0.2">
      <c r="B218" s="648" t="s">
        <v>712</v>
      </c>
      <c r="C218" s="651" t="s">
        <v>1164</v>
      </c>
    </row>
    <row r="219" spans="2:3" ht="12.75" x14ac:dyDescent="0.2">
      <c r="B219" s="648" t="s">
        <v>713</v>
      </c>
      <c r="C219" s="651" t="s">
        <v>1164</v>
      </c>
    </row>
    <row r="220" spans="2:3" ht="12.75" x14ac:dyDescent="0.2">
      <c r="B220" s="648" t="s">
        <v>714</v>
      </c>
      <c r="C220" s="651" t="s">
        <v>1164</v>
      </c>
    </row>
    <row r="221" spans="2:3" ht="12.75" x14ac:dyDescent="0.2">
      <c r="B221" s="648" t="s">
        <v>715</v>
      </c>
      <c r="C221" s="651" t="s">
        <v>1164</v>
      </c>
    </row>
    <row r="222" spans="2:3" ht="12.75" x14ac:dyDescent="0.2">
      <c r="B222" s="648" t="s">
        <v>716</v>
      </c>
      <c r="C222" s="651" t="s">
        <v>1164</v>
      </c>
    </row>
    <row r="223" spans="2:3" ht="12.75" x14ac:dyDescent="0.2">
      <c r="B223" s="648" t="s">
        <v>812</v>
      </c>
      <c r="C223" s="651" t="s">
        <v>1164</v>
      </c>
    </row>
    <row r="224" spans="2:3" ht="12.75" x14ac:dyDescent="0.2">
      <c r="B224" s="648" t="s">
        <v>717</v>
      </c>
      <c r="C224" s="651" t="s">
        <v>1164</v>
      </c>
    </row>
    <row r="225" spans="2:3" ht="12.75" x14ac:dyDescent="0.2">
      <c r="B225" s="648" t="s">
        <v>718</v>
      </c>
      <c r="C225" s="651" t="s">
        <v>1164</v>
      </c>
    </row>
    <row r="226" spans="2:3" ht="12.75" x14ac:dyDescent="0.2">
      <c r="B226" s="648" t="s">
        <v>719</v>
      </c>
      <c r="C226" s="651" t="s">
        <v>1164</v>
      </c>
    </row>
    <row r="227" spans="2:3" ht="12.75" x14ac:dyDescent="0.2">
      <c r="B227" s="648" t="s">
        <v>720</v>
      </c>
      <c r="C227" s="651" t="s">
        <v>1164</v>
      </c>
    </row>
    <row r="228" spans="2:3" ht="12.75" x14ac:dyDescent="0.2">
      <c r="B228" s="653" t="s">
        <v>988</v>
      </c>
      <c r="C228" s="651" t="s">
        <v>1164</v>
      </c>
    </row>
    <row r="229" spans="2:3" ht="12.75" x14ac:dyDescent="0.2">
      <c r="B229" s="648" t="s">
        <v>838</v>
      </c>
      <c r="C229" s="651" t="s">
        <v>1164</v>
      </c>
    </row>
    <row r="230" spans="2:3" ht="12.75" x14ac:dyDescent="0.2">
      <c r="B230" s="648" t="s">
        <v>721</v>
      </c>
      <c r="C230" s="651" t="s">
        <v>1164</v>
      </c>
    </row>
    <row r="231" spans="2:3" ht="12.75" x14ac:dyDescent="0.2">
      <c r="B231" s="648" t="s">
        <v>722</v>
      </c>
      <c r="C231" s="651" t="s">
        <v>1164</v>
      </c>
    </row>
    <row r="232" spans="2:3" ht="12.75" x14ac:dyDescent="0.2">
      <c r="B232" s="648" t="s">
        <v>723</v>
      </c>
      <c r="C232" s="651" t="s">
        <v>1164</v>
      </c>
    </row>
    <row r="233" spans="2:3" ht="12.75" x14ac:dyDescent="0.2">
      <c r="B233" s="648" t="s">
        <v>724</v>
      </c>
      <c r="C233" s="651" t="s">
        <v>1164</v>
      </c>
    </row>
    <row r="234" spans="2:3" ht="12.75" x14ac:dyDescent="0.2">
      <c r="B234" s="648" t="s">
        <v>594</v>
      </c>
      <c r="C234" s="651" t="s">
        <v>1164</v>
      </c>
    </row>
    <row r="235" spans="2:3" ht="12.75" x14ac:dyDescent="0.2">
      <c r="B235" s="648" t="s">
        <v>727</v>
      </c>
      <c r="C235" s="651" t="s">
        <v>1165</v>
      </c>
    </row>
    <row r="236" spans="2:3" ht="12.75" x14ac:dyDescent="0.2">
      <c r="B236" s="648" t="s">
        <v>728</v>
      </c>
      <c r="C236" s="651" t="s">
        <v>1165</v>
      </c>
    </row>
    <row r="237" spans="2:3" ht="12.75" x14ac:dyDescent="0.2">
      <c r="B237" s="648" t="s">
        <v>729</v>
      </c>
      <c r="C237" s="651" t="s">
        <v>1165</v>
      </c>
    </row>
    <row r="238" spans="2:3" ht="12.75" x14ac:dyDescent="0.2">
      <c r="B238" s="648" t="s">
        <v>730</v>
      </c>
      <c r="C238" s="651" t="s">
        <v>1165</v>
      </c>
    </row>
    <row r="239" spans="2:3" ht="12.75" x14ac:dyDescent="0.2">
      <c r="B239" s="648" t="s">
        <v>731</v>
      </c>
      <c r="C239" s="651" t="s">
        <v>1165</v>
      </c>
    </row>
    <row r="240" spans="2:3" ht="12.75" x14ac:dyDescent="0.2">
      <c r="B240" s="648" t="s">
        <v>585</v>
      </c>
      <c r="C240" s="651" t="s">
        <v>1165</v>
      </c>
    </row>
    <row r="241" spans="2:3" ht="12.75" x14ac:dyDescent="0.2">
      <c r="B241" s="648" t="s">
        <v>732</v>
      </c>
      <c r="C241" s="651" t="s">
        <v>1165</v>
      </c>
    </row>
    <row r="242" spans="2:3" ht="12.75" x14ac:dyDescent="0.2">
      <c r="B242" s="648" t="s">
        <v>733</v>
      </c>
      <c r="C242" s="651" t="s">
        <v>1165</v>
      </c>
    </row>
    <row r="243" spans="2:3" ht="12.75" x14ac:dyDescent="0.2">
      <c r="B243" s="648" t="s">
        <v>734</v>
      </c>
      <c r="C243" s="651" t="s">
        <v>1165</v>
      </c>
    </row>
    <row r="244" spans="2:3" ht="12.75" x14ac:dyDescent="0.2">
      <c r="B244" s="648" t="s">
        <v>735</v>
      </c>
      <c r="C244" s="651" t="s">
        <v>1165</v>
      </c>
    </row>
    <row r="245" spans="2:3" ht="12.75" x14ac:dyDescent="0.2">
      <c r="B245" s="648" t="s">
        <v>736</v>
      </c>
      <c r="C245" s="651" t="s">
        <v>1165</v>
      </c>
    </row>
    <row r="246" spans="2:3" ht="12.75" x14ac:dyDescent="0.2">
      <c r="B246" s="648" t="s">
        <v>586</v>
      </c>
      <c r="C246" s="651" t="s">
        <v>1165</v>
      </c>
    </row>
    <row r="247" spans="2:3" ht="12.75" x14ac:dyDescent="0.2">
      <c r="B247" s="648" t="s">
        <v>737</v>
      </c>
      <c r="C247" s="651" t="s">
        <v>1165</v>
      </c>
    </row>
    <row r="248" spans="2:3" ht="12.75" x14ac:dyDescent="0.2">
      <c r="B248" s="648" t="s">
        <v>738</v>
      </c>
      <c r="C248" s="651" t="s">
        <v>1165</v>
      </c>
    </row>
    <row r="249" spans="2:3" ht="12.75" x14ac:dyDescent="0.2">
      <c r="B249" s="648" t="s">
        <v>739</v>
      </c>
      <c r="C249" s="651" t="s">
        <v>1165</v>
      </c>
    </row>
    <row r="250" spans="2:3" ht="12.75" x14ac:dyDescent="0.2">
      <c r="B250" s="648" t="s">
        <v>740</v>
      </c>
      <c r="C250" s="651" t="s">
        <v>1165</v>
      </c>
    </row>
    <row r="251" spans="2:3" ht="12.75" x14ac:dyDescent="0.2">
      <c r="B251" s="648" t="s">
        <v>839</v>
      </c>
      <c r="C251" s="651" t="s">
        <v>1165</v>
      </c>
    </row>
    <row r="252" spans="2:3" ht="12.75" x14ac:dyDescent="0.2">
      <c r="B252" s="648" t="s">
        <v>587</v>
      </c>
      <c r="C252" s="651" t="s">
        <v>1165</v>
      </c>
    </row>
    <row r="253" spans="2:3" ht="12.75" x14ac:dyDescent="0.2">
      <c r="B253" s="648" t="s">
        <v>741</v>
      </c>
      <c r="C253" s="651" t="s">
        <v>1165</v>
      </c>
    </row>
    <row r="254" spans="2:3" ht="12.75" x14ac:dyDescent="0.2">
      <c r="B254" s="648" t="s">
        <v>742</v>
      </c>
      <c r="C254" s="651" t="s">
        <v>1165</v>
      </c>
    </row>
    <row r="255" spans="2:3" ht="12.75" x14ac:dyDescent="0.2">
      <c r="B255" s="653" t="s">
        <v>989</v>
      </c>
      <c r="C255" s="651" t="s">
        <v>1165</v>
      </c>
    </row>
    <row r="256" spans="2:3" ht="12.75" x14ac:dyDescent="0.2">
      <c r="B256" s="648" t="s">
        <v>588</v>
      </c>
      <c r="C256" s="651" t="s">
        <v>1165</v>
      </c>
    </row>
    <row r="257" spans="2:3" ht="12.75" x14ac:dyDescent="0.2">
      <c r="B257" s="648" t="s">
        <v>813</v>
      </c>
      <c r="C257" s="651" t="s">
        <v>1166</v>
      </c>
    </row>
    <row r="258" spans="2:3" ht="12.75" x14ac:dyDescent="0.2">
      <c r="B258" s="648" t="s">
        <v>743</v>
      </c>
      <c r="C258" s="651" t="s">
        <v>1166</v>
      </c>
    </row>
    <row r="259" spans="2:3" ht="12.75" x14ac:dyDescent="0.2">
      <c r="B259" s="648" t="s">
        <v>744</v>
      </c>
      <c r="C259" s="651" t="s">
        <v>1166</v>
      </c>
    </row>
    <row r="260" spans="2:3" ht="12.75" x14ac:dyDescent="0.2">
      <c r="B260" s="648" t="s">
        <v>745</v>
      </c>
      <c r="C260" s="651" t="s">
        <v>1166</v>
      </c>
    </row>
    <row r="261" spans="2:3" ht="12.75" x14ac:dyDescent="0.2">
      <c r="B261" s="648" t="s">
        <v>746</v>
      </c>
      <c r="C261" s="651" t="s">
        <v>1166</v>
      </c>
    </row>
    <row r="262" spans="2:3" ht="12.75" x14ac:dyDescent="0.2">
      <c r="B262" s="648" t="s">
        <v>747</v>
      </c>
      <c r="C262" s="651" t="s">
        <v>1166</v>
      </c>
    </row>
    <row r="263" spans="2:3" ht="12.75" x14ac:dyDescent="0.2">
      <c r="B263" s="648" t="s">
        <v>561</v>
      </c>
      <c r="C263" s="651" t="s">
        <v>1166</v>
      </c>
    </row>
    <row r="264" spans="2:3" ht="12.75" x14ac:dyDescent="0.2">
      <c r="B264" s="648" t="s">
        <v>748</v>
      </c>
      <c r="C264" s="651" t="s">
        <v>1166</v>
      </c>
    </row>
    <row r="265" spans="2:3" ht="12.75" x14ac:dyDescent="0.2">
      <c r="B265" s="648" t="s">
        <v>749</v>
      </c>
      <c r="C265" s="651" t="s">
        <v>1166</v>
      </c>
    </row>
    <row r="266" spans="2:3" ht="12.75" x14ac:dyDescent="0.2">
      <c r="B266" s="648" t="s">
        <v>750</v>
      </c>
      <c r="C266" s="651" t="s">
        <v>1166</v>
      </c>
    </row>
    <row r="267" spans="2:3" ht="12.75" x14ac:dyDescent="0.2">
      <c r="B267" s="648" t="s">
        <v>751</v>
      </c>
      <c r="C267" s="651" t="s">
        <v>1166</v>
      </c>
    </row>
    <row r="268" spans="2:3" ht="12.75" x14ac:dyDescent="0.2">
      <c r="B268" s="648" t="s">
        <v>798</v>
      </c>
      <c r="C268" s="651" t="s">
        <v>1166</v>
      </c>
    </row>
    <row r="269" spans="2:3" ht="12.75" x14ac:dyDescent="0.2">
      <c r="B269" s="648" t="s">
        <v>814</v>
      </c>
      <c r="C269" s="651" t="s">
        <v>1166</v>
      </c>
    </row>
    <row r="270" spans="2:3" ht="12.75" x14ac:dyDescent="0.2">
      <c r="B270" s="648" t="s">
        <v>752</v>
      </c>
      <c r="C270" s="651" t="s">
        <v>1166</v>
      </c>
    </row>
    <row r="271" spans="2:3" ht="12.75" x14ac:dyDescent="0.2">
      <c r="B271" s="648" t="s">
        <v>753</v>
      </c>
      <c r="C271" s="651" t="s">
        <v>1166</v>
      </c>
    </row>
    <row r="272" spans="2:3" ht="12.75" x14ac:dyDescent="0.2">
      <c r="B272" s="648" t="s">
        <v>754</v>
      </c>
      <c r="C272" s="651" t="s">
        <v>1166</v>
      </c>
    </row>
    <row r="273" spans="2:3" ht="12.75" x14ac:dyDescent="0.2">
      <c r="B273" s="648" t="s">
        <v>755</v>
      </c>
      <c r="C273" s="651" t="s">
        <v>1166</v>
      </c>
    </row>
    <row r="274" spans="2:3" ht="12.75" x14ac:dyDescent="0.2">
      <c r="B274" s="648" t="s">
        <v>577</v>
      </c>
      <c r="C274" s="651" t="s">
        <v>1166</v>
      </c>
    </row>
    <row r="275" spans="2:3" ht="12.75" x14ac:dyDescent="0.2">
      <c r="B275" s="648" t="s">
        <v>756</v>
      </c>
      <c r="C275" s="651" t="s">
        <v>1166</v>
      </c>
    </row>
    <row r="276" spans="2:3" ht="12.75" x14ac:dyDescent="0.2">
      <c r="B276" s="648" t="s">
        <v>757</v>
      </c>
      <c r="C276" s="651" t="s">
        <v>1166</v>
      </c>
    </row>
    <row r="277" spans="2:3" ht="12.75" x14ac:dyDescent="0.2">
      <c r="B277" s="648" t="s">
        <v>758</v>
      </c>
      <c r="C277" s="651" t="s">
        <v>1166</v>
      </c>
    </row>
    <row r="278" spans="2:3" ht="12.75" x14ac:dyDescent="0.2">
      <c r="B278" s="648" t="s">
        <v>759</v>
      </c>
      <c r="C278" s="651" t="s">
        <v>1166</v>
      </c>
    </row>
    <row r="279" spans="2:3" ht="12.75" x14ac:dyDescent="0.2">
      <c r="B279" s="648" t="s">
        <v>760</v>
      </c>
      <c r="C279" s="651" t="s">
        <v>1166</v>
      </c>
    </row>
    <row r="280" spans="2:3" ht="12.75" x14ac:dyDescent="0.2">
      <c r="B280" s="648" t="s">
        <v>761</v>
      </c>
      <c r="C280" s="651" t="s">
        <v>1166</v>
      </c>
    </row>
    <row r="281" spans="2:3" ht="12.75" x14ac:dyDescent="0.2">
      <c r="B281" s="648" t="s">
        <v>762</v>
      </c>
      <c r="C281" s="651" t="s">
        <v>1166</v>
      </c>
    </row>
    <row r="282" spans="2:3" ht="12.75" x14ac:dyDescent="0.2">
      <c r="B282" s="648" t="s">
        <v>1167</v>
      </c>
      <c r="C282" s="651" t="s">
        <v>1166</v>
      </c>
    </row>
    <row r="283" spans="2:3" ht="12.75" x14ac:dyDescent="0.2">
      <c r="B283" s="648" t="s">
        <v>763</v>
      </c>
      <c r="C283" s="651" t="s">
        <v>1166</v>
      </c>
    </row>
    <row r="284" spans="2:3" ht="12.75" x14ac:dyDescent="0.2">
      <c r="B284" s="648" t="s">
        <v>764</v>
      </c>
      <c r="C284" s="651" t="s">
        <v>1166</v>
      </c>
    </row>
    <row r="285" spans="2:3" ht="12.75" x14ac:dyDescent="0.2">
      <c r="B285" s="648" t="s">
        <v>765</v>
      </c>
      <c r="C285" s="651" t="s">
        <v>1166</v>
      </c>
    </row>
    <row r="286" spans="2:3" ht="12.75" x14ac:dyDescent="0.2">
      <c r="B286" s="648" t="s">
        <v>592</v>
      </c>
      <c r="C286" s="651" t="s">
        <v>1166</v>
      </c>
    </row>
    <row r="287" spans="2:3" x14ac:dyDescent="0.2">
      <c r="B287" s="448"/>
      <c r="C287" s="446"/>
    </row>
    <row r="288" spans="2:3" x14ac:dyDescent="0.2">
      <c r="B288" s="448"/>
      <c r="C288" s="446"/>
    </row>
    <row r="289" spans="2:3" x14ac:dyDescent="0.2">
      <c r="B289" s="448"/>
      <c r="C289" s="446"/>
    </row>
    <row r="290" spans="2:3" x14ac:dyDescent="0.2">
      <c r="B290" s="448"/>
      <c r="C290" s="446"/>
    </row>
    <row r="291" spans="2:3" x14ac:dyDescent="0.2">
      <c r="B291" s="448"/>
      <c r="C291" s="446"/>
    </row>
    <row r="292" spans="2:3" x14ac:dyDescent="0.2">
      <c r="B292" s="448"/>
      <c r="C292" s="446"/>
    </row>
    <row r="293" spans="2:3" x14ac:dyDescent="0.2">
      <c r="B293" s="448"/>
      <c r="C293" s="446"/>
    </row>
    <row r="294" spans="2:3" x14ac:dyDescent="0.2">
      <c r="B294" s="448"/>
      <c r="C294" s="446"/>
    </row>
    <row r="295" spans="2:3" x14ac:dyDescent="0.2">
      <c r="B295" s="448"/>
      <c r="C295" s="446"/>
    </row>
    <row r="296" spans="2:3" x14ac:dyDescent="0.2">
      <c r="B296" s="448"/>
      <c r="C296" s="446"/>
    </row>
    <row r="297" spans="2:3" x14ac:dyDescent="0.2">
      <c r="B297" s="448"/>
      <c r="C297" s="446"/>
    </row>
    <row r="298" spans="2:3" x14ac:dyDescent="0.2">
      <c r="B298" s="448"/>
      <c r="C298" s="446"/>
    </row>
    <row r="299" spans="2:3" x14ac:dyDescent="0.2">
      <c r="B299" s="448"/>
      <c r="C299" s="446"/>
    </row>
    <row r="300" spans="2:3" x14ac:dyDescent="0.2">
      <c r="B300" s="448"/>
      <c r="C300" s="446"/>
    </row>
    <row r="301" spans="2:3" x14ac:dyDescent="0.2">
      <c r="B301" s="448"/>
      <c r="C301" s="446"/>
    </row>
    <row r="302" spans="2:3" x14ac:dyDescent="0.2">
      <c r="B302" s="448"/>
      <c r="C302" s="446"/>
    </row>
    <row r="303" spans="2:3" x14ac:dyDescent="0.2">
      <c r="B303" s="448"/>
      <c r="C303" s="446"/>
    </row>
    <row r="304" spans="2:3" x14ac:dyDescent="0.2">
      <c r="B304" s="448"/>
      <c r="C304" s="446"/>
    </row>
    <row r="305" spans="2:3" x14ac:dyDescent="0.2">
      <c r="B305" s="448"/>
      <c r="C305" s="446"/>
    </row>
    <row r="306" spans="2:3" x14ac:dyDescent="0.2">
      <c r="B306" s="448"/>
      <c r="C306" s="446"/>
    </row>
    <row r="307" spans="2:3" x14ac:dyDescent="0.2">
      <c r="B307" s="448"/>
      <c r="C307" s="446"/>
    </row>
    <row r="308" spans="2:3" x14ac:dyDescent="0.2">
      <c r="B308" s="445"/>
      <c r="C308" s="446"/>
    </row>
    <row r="309" spans="2:3" x14ac:dyDescent="0.2">
      <c r="B309" s="445"/>
      <c r="C309" s="446"/>
    </row>
    <row r="310" spans="2:3" x14ac:dyDescent="0.2">
      <c r="B310" s="445"/>
      <c r="C310" s="446"/>
    </row>
    <row r="311" spans="2:3" x14ac:dyDescent="0.2">
      <c r="B311" s="445"/>
      <c r="C311" s="446"/>
    </row>
    <row r="312" spans="2:3" x14ac:dyDescent="0.2">
      <c r="B312" s="445"/>
      <c r="C312" s="446"/>
    </row>
  </sheetData>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zoomScaleNormal="100" workbookViewId="0">
      <selection activeCell="M160" sqref="M158:P160"/>
    </sheetView>
  </sheetViews>
  <sheetFormatPr defaultRowHeight="12.75" x14ac:dyDescent="0.2"/>
  <cols>
    <col min="23" max="23" width="19.7109375" style="403" customWidth="1"/>
    <col min="24" max="25" width="9.140625" style="403" customWidth="1"/>
  </cols>
  <sheetData>
    <row r="2" spans="4:24" x14ac:dyDescent="0.2">
      <c r="D2">
        <v>2020</v>
      </c>
    </row>
    <row r="4" spans="4:24" x14ac:dyDescent="0.2">
      <c r="X4" s="429" t="s">
        <v>539</v>
      </c>
    </row>
    <row r="5" spans="4:24" x14ac:dyDescent="0.2">
      <c r="X5" s="429" t="s">
        <v>540</v>
      </c>
    </row>
    <row r="6" spans="4:24" x14ac:dyDescent="0.2">
      <c r="X6" s="429"/>
    </row>
    <row r="7" spans="4:24" x14ac:dyDescent="0.2">
      <c r="W7" s="410" t="s">
        <v>541</v>
      </c>
      <c r="X7" s="429" t="s">
        <v>542</v>
      </c>
    </row>
    <row r="8" spans="4:24" x14ac:dyDescent="0.2">
      <c r="X8" s="429" t="s">
        <v>543</v>
      </c>
    </row>
    <row r="9" spans="4:24" x14ac:dyDescent="0.2">
      <c r="X9" s="429"/>
    </row>
    <row r="10" spans="4:24" x14ac:dyDescent="0.2">
      <c r="X10" s="429"/>
    </row>
    <row r="11" spans="4:24" x14ac:dyDescent="0.2">
      <c r="X11" s="429"/>
    </row>
    <row r="12" spans="4:24" x14ac:dyDescent="0.2">
      <c r="X12" s="429"/>
    </row>
    <row r="13" spans="4:24" x14ac:dyDescent="0.2">
      <c r="X13" s="429"/>
    </row>
    <row r="14" spans="4:24" x14ac:dyDescent="0.2">
      <c r="X14" s="429"/>
    </row>
    <row r="15" spans="4:24" x14ac:dyDescent="0.2">
      <c r="X15" s="429"/>
    </row>
    <row r="16" spans="4:24" x14ac:dyDescent="0.2">
      <c r="X16" s="429"/>
    </row>
    <row r="17" spans="23:24" x14ac:dyDescent="0.2">
      <c r="W17" s="410" t="s">
        <v>544</v>
      </c>
      <c r="X17" s="429">
        <v>2008</v>
      </c>
    </row>
    <row r="18" spans="23:24" x14ac:dyDescent="0.2">
      <c r="X18" s="429">
        <v>2009</v>
      </c>
    </row>
    <row r="19" spans="23:24" x14ac:dyDescent="0.2">
      <c r="X19" s="429">
        <v>2010</v>
      </c>
    </row>
    <row r="20" spans="23:24" x14ac:dyDescent="0.2">
      <c r="X20" s="429">
        <v>2011</v>
      </c>
    </row>
    <row r="21" spans="23:24" x14ac:dyDescent="0.2">
      <c r="X21" s="429">
        <v>2012</v>
      </c>
    </row>
    <row r="22" spans="23:24" x14ac:dyDescent="0.2">
      <c r="X22" s="429">
        <v>2013</v>
      </c>
    </row>
    <row r="23" spans="23:24" x14ac:dyDescent="0.2">
      <c r="X23" s="429">
        <v>2014</v>
      </c>
    </row>
    <row r="24" spans="23:24" x14ac:dyDescent="0.2">
      <c r="X24" s="429">
        <v>2015</v>
      </c>
    </row>
    <row r="25" spans="23:24" x14ac:dyDescent="0.2">
      <c r="X25" s="429">
        <v>2016</v>
      </c>
    </row>
    <row r="26" spans="23:24" x14ac:dyDescent="0.2">
      <c r="X26" s="429">
        <v>2017</v>
      </c>
    </row>
    <row r="27" spans="23:24" x14ac:dyDescent="0.2">
      <c r="X27" s="429">
        <v>2018</v>
      </c>
    </row>
    <row r="28" spans="23:24" x14ac:dyDescent="0.2">
      <c r="X28" s="429">
        <v>2019</v>
      </c>
    </row>
    <row r="29" spans="23:24" x14ac:dyDescent="0.2">
      <c r="X29" s="429">
        <v>2020</v>
      </c>
    </row>
    <row r="30" spans="23:24" x14ac:dyDescent="0.2">
      <c r="X30" s="429">
        <v>2021</v>
      </c>
    </row>
    <row r="31" spans="23:24" x14ac:dyDescent="0.2">
      <c r="X31" s="429">
        <v>2022</v>
      </c>
    </row>
    <row r="32" spans="23:24" x14ac:dyDescent="0.2">
      <c r="X32" s="429"/>
    </row>
    <row r="33" spans="23:24" x14ac:dyDescent="0.2">
      <c r="W33" s="410" t="s">
        <v>545</v>
      </c>
      <c r="X33" s="429">
        <v>13</v>
      </c>
    </row>
    <row r="34" spans="23:24" x14ac:dyDescent="0.2">
      <c r="W34" s="410" t="s">
        <v>546</v>
      </c>
      <c r="X34" s="430">
        <f>INDEX(X17:X31,X33,1)</f>
        <v>2020</v>
      </c>
    </row>
    <row r="36" spans="23:24" x14ac:dyDescent="0.2">
      <c r="W36" s="410" t="s">
        <v>547</v>
      </c>
      <c r="X36" s="411" t="str">
        <f>MTREF&amp;"/"&amp;RIGHT(MTREF,2)+1</f>
        <v>2020/21</v>
      </c>
    </row>
  </sheetData>
  <sheetProtection sheet="1" objects="1" scenarios="1"/>
  <phoneticPr fontId="2" type="noConversion"/>
  <pageMargins left="0.74803149606299213" right="0.74803149606299213" top="0.98425196850393704" bottom="0.98425196850393704" header="0.51181102362204722" footer="0.51181102362204722"/>
  <pageSetup paperSize="9" scale="70"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linkedCell="entity" r:id="rId5">
            <anchor moveWithCells="1">
              <from>
                <xdr:col>3</xdr:col>
                <xdr:colOff>466725</xdr:colOff>
                <xdr:row>8</xdr:row>
                <xdr:rowOff>19050</xdr:rowOff>
              </from>
              <to>
                <xdr:col>8</xdr:col>
                <xdr:colOff>0</xdr:colOff>
                <xdr:row>9</xdr:row>
                <xdr:rowOff>123825</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autoPict="0" r:id="rId7">
            <anchor moveWithCells="1">
              <from>
                <xdr:col>5</xdr:col>
                <xdr:colOff>219075</xdr:colOff>
                <xdr:row>10</xdr:row>
                <xdr:rowOff>123825</xdr:rowOff>
              </from>
              <to>
                <xdr:col>9</xdr:col>
                <xdr:colOff>371475</xdr:colOff>
                <xdr:row>12</xdr:row>
                <xdr:rowOff>66675</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autoPict="0" r:id="rId9">
            <anchor moveWithCells="1">
              <from>
                <xdr:col>5</xdr:col>
                <xdr:colOff>219075</xdr:colOff>
                <xdr:row>13</xdr:row>
                <xdr:rowOff>47625</xdr:rowOff>
              </from>
              <to>
                <xdr:col>7</xdr:col>
                <xdr:colOff>85725</xdr:colOff>
                <xdr:row>14</xdr:row>
                <xdr:rowOff>133350</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autoPict="0" r:id="rId11">
            <anchor moveWithCells="1">
              <from>
                <xdr:col>5</xdr:col>
                <xdr:colOff>238125</xdr:colOff>
                <xdr:row>15</xdr:row>
                <xdr:rowOff>123825</xdr:rowOff>
              </from>
              <to>
                <xdr:col>9</xdr:col>
                <xdr:colOff>400050</xdr:colOff>
                <xdr:row>17</xdr:row>
                <xdr:rowOff>57150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autoPict="0" r:id="rId13">
            <anchor moveWithCells="1">
              <from>
                <xdr:col>9</xdr:col>
                <xdr:colOff>114300</xdr:colOff>
                <xdr:row>13</xdr:row>
                <xdr:rowOff>85725</xdr:rowOff>
              </from>
              <to>
                <xdr:col>10</xdr:col>
                <xdr:colOff>485775</xdr:colOff>
                <xdr:row>15</xdr:row>
                <xdr:rowOff>28575</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autoPict="0" r:id="rId15">
            <anchor moveWithCells="1">
              <from>
                <xdr:col>0</xdr:col>
                <xdr:colOff>590550</xdr:colOff>
                <xdr:row>34</xdr:row>
                <xdr:rowOff>104775</xdr:rowOff>
              </from>
              <to>
                <xdr:col>4</xdr:col>
                <xdr:colOff>85725</xdr:colOff>
                <xdr:row>36</xdr:row>
                <xdr:rowOff>28575</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r:id="rId17">
            <anchor moveWithCells="1">
              <from>
                <xdr:col>0</xdr:col>
                <xdr:colOff>581025</xdr:colOff>
                <xdr:row>36</xdr:row>
                <xdr:rowOff>123825</xdr:rowOff>
              </from>
              <to>
                <xdr:col>4</xdr:col>
                <xdr:colOff>85725</xdr:colOff>
                <xdr:row>38</xdr:row>
                <xdr:rowOff>85725</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autoPict="0" r:id="rId19">
            <anchor moveWithCells="1">
              <from>
                <xdr:col>0</xdr:col>
                <xdr:colOff>371475</xdr:colOff>
                <xdr:row>29</xdr:row>
                <xdr:rowOff>104775</xdr:rowOff>
              </from>
              <to>
                <xdr:col>3</xdr:col>
                <xdr:colOff>238125</xdr:colOff>
                <xdr:row>31</xdr:row>
                <xdr:rowOff>0</xdr:rowOff>
              </to>
            </anchor>
          </controlPr>
        </control>
      </mc:Choice>
      <mc:Fallback>
        <control shapeId="5148" r:id="rId18" name="ToggleHiddenColumns"/>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AD308"/>
  <sheetViews>
    <sheetView zoomScaleNormal="100" workbookViewId="0">
      <pane xSplit="1" ySplit="1" topLeftCell="B258" activePane="bottomRight" state="frozen"/>
      <selection activeCell="E161" sqref="E161"/>
      <selection pane="topRight" activeCell="E161" sqref="E161"/>
      <selection pane="bottomLeft" activeCell="E161" sqref="E161"/>
      <selection pane="bottomRight" activeCell="B30" sqref="B30:C286"/>
    </sheetView>
  </sheetViews>
  <sheetFormatPr defaultRowHeight="11.25" x14ac:dyDescent="0.2"/>
  <cols>
    <col min="1" max="1" width="28.85546875" style="634" bestFit="1" customWidth="1"/>
    <col min="2" max="2" width="29.5703125" style="634" customWidth="1"/>
    <col min="3" max="3" width="29.42578125" style="634" customWidth="1"/>
    <col min="4" max="4" width="41.85546875" style="634" bestFit="1" customWidth="1"/>
    <col min="5" max="14" width="41.85546875" style="634" customWidth="1"/>
    <col min="15" max="15" width="43.5703125" style="634" bestFit="1" customWidth="1"/>
    <col min="16" max="16" width="1.28515625" style="634" customWidth="1"/>
    <col min="17" max="17" width="5" style="634" bestFit="1" customWidth="1"/>
    <col min="18" max="18" width="2.7109375" style="634" bestFit="1" customWidth="1"/>
    <col min="19" max="19" width="4.140625" style="634" bestFit="1" customWidth="1"/>
    <col min="20" max="20" width="9.7109375" style="634" bestFit="1" customWidth="1"/>
    <col min="21" max="21" width="9.5703125" style="634" bestFit="1" customWidth="1"/>
    <col min="22" max="22" width="3.85546875" style="634" bestFit="1" customWidth="1"/>
    <col min="23" max="23" width="6.7109375" style="634" bestFit="1" customWidth="1"/>
    <col min="24" max="24" width="4.28515625" style="634" bestFit="1" customWidth="1"/>
    <col min="25" max="25" width="9.140625" style="634"/>
    <col min="26" max="26" width="31.7109375" style="634" customWidth="1"/>
    <col min="27" max="27" width="26.7109375" style="634" customWidth="1"/>
    <col min="28" max="28" width="31.7109375" style="634" customWidth="1"/>
    <col min="29" max="29" width="23.140625" style="634" customWidth="1"/>
    <col min="30" max="16384" width="9.140625" style="634"/>
  </cols>
  <sheetData>
    <row r="1" spans="1:30" s="626" customFormat="1" x14ac:dyDescent="0.2">
      <c r="A1" s="619" t="s">
        <v>189</v>
      </c>
      <c r="B1" s="620">
        <v>2007</v>
      </c>
      <c r="C1" s="620">
        <v>2008</v>
      </c>
      <c r="D1" s="620">
        <v>2009</v>
      </c>
      <c r="E1" s="621">
        <v>2010</v>
      </c>
      <c r="F1" s="621">
        <v>2011</v>
      </c>
      <c r="G1" s="620">
        <v>2012</v>
      </c>
      <c r="H1" s="621">
        <v>2013</v>
      </c>
      <c r="I1" s="621">
        <v>2014</v>
      </c>
      <c r="J1" s="621">
        <v>2015</v>
      </c>
      <c r="K1" s="621">
        <v>2016</v>
      </c>
      <c r="L1" s="621">
        <v>2017</v>
      </c>
      <c r="M1" s="621">
        <v>2018</v>
      </c>
      <c r="N1" s="621">
        <v>2019</v>
      </c>
      <c r="O1" s="621">
        <v>2020</v>
      </c>
      <c r="P1" s="622"/>
      <c r="Q1" s="623" t="s">
        <v>1051</v>
      </c>
      <c r="R1" s="624"/>
      <c r="S1" s="624"/>
      <c r="T1" s="624"/>
      <c r="U1" s="624"/>
      <c r="V1" s="624"/>
      <c r="W1" s="624"/>
      <c r="X1" s="624"/>
      <c r="Y1" s="625" t="s">
        <v>435</v>
      </c>
      <c r="Z1" s="625" t="s">
        <v>436</v>
      </c>
      <c r="AA1" s="625" t="s">
        <v>437</v>
      </c>
      <c r="AB1" s="625" t="s">
        <v>438</v>
      </c>
      <c r="AC1" s="625" t="s">
        <v>439</v>
      </c>
    </row>
    <row r="2" spans="1:30" x14ac:dyDescent="0.2">
      <c r="A2" s="627" t="e">
        <f>#REF!</f>
        <v>#REF!</v>
      </c>
      <c r="B2" s="628" t="s">
        <v>440</v>
      </c>
      <c r="C2" s="628" t="s">
        <v>90</v>
      </c>
      <c r="D2" s="628" t="s">
        <v>441</v>
      </c>
      <c r="E2" s="629" t="str">
        <f t="shared" ref="E2:O2" si="0">E1-2&amp;"/"&amp;RIGHT(E1,2)-1</f>
        <v>2008/9</v>
      </c>
      <c r="F2" s="629" t="str">
        <f t="shared" si="0"/>
        <v>2009/10</v>
      </c>
      <c r="G2" s="629" t="str">
        <f t="shared" si="0"/>
        <v>2010/11</v>
      </c>
      <c r="H2" s="629" t="str">
        <f t="shared" si="0"/>
        <v>2011/12</v>
      </c>
      <c r="I2" s="629" t="str">
        <f t="shared" si="0"/>
        <v>2012/13</v>
      </c>
      <c r="J2" s="629" t="str">
        <f t="shared" si="0"/>
        <v>2013/14</v>
      </c>
      <c r="K2" s="629" t="str">
        <f t="shared" si="0"/>
        <v>2014/15</v>
      </c>
      <c r="L2" s="629" t="str">
        <f t="shared" si="0"/>
        <v>2015/16</v>
      </c>
      <c r="M2" s="629" t="str">
        <f t="shared" si="0"/>
        <v>2016/17</v>
      </c>
      <c r="N2" s="629" t="str">
        <f t="shared" si="0"/>
        <v>2017/18</v>
      </c>
      <c r="O2" s="629" t="str">
        <f t="shared" si="0"/>
        <v>2018/19</v>
      </c>
      <c r="P2" s="628"/>
      <c r="Q2" s="630" t="s">
        <v>539</v>
      </c>
      <c r="R2" s="631" t="s">
        <v>1052</v>
      </c>
      <c r="S2" s="631" t="s">
        <v>1053</v>
      </c>
      <c r="T2" s="632" t="s">
        <v>1054</v>
      </c>
      <c r="U2" s="629" t="s">
        <v>1055</v>
      </c>
      <c r="V2" s="632" t="s">
        <v>539</v>
      </c>
      <c r="W2" s="633" t="s">
        <v>1056</v>
      </c>
      <c r="X2" s="633" t="s">
        <v>1057</v>
      </c>
      <c r="Z2" s="634" t="s">
        <v>1058</v>
      </c>
      <c r="AA2" s="634" t="s">
        <v>1059</v>
      </c>
      <c r="AB2" s="634" t="s">
        <v>1060</v>
      </c>
      <c r="AC2" s="634" t="s">
        <v>1061</v>
      </c>
    </row>
    <row r="3" spans="1:30" x14ac:dyDescent="0.2">
      <c r="A3" s="627" t="e">
        <f>#REF!</f>
        <v>#REF!</v>
      </c>
      <c r="B3" s="628" t="s">
        <v>69</v>
      </c>
      <c r="C3" s="628" t="s">
        <v>440</v>
      </c>
      <c r="D3" s="628" t="s">
        <v>90</v>
      </c>
      <c r="E3" s="629" t="str">
        <f t="shared" ref="E3:O3" si="1">E1-3&amp;"/"&amp;RIGHT(E1,2)-2</f>
        <v>2007/8</v>
      </c>
      <c r="F3" s="629" t="str">
        <f t="shared" si="1"/>
        <v>2008/9</v>
      </c>
      <c r="G3" s="629" t="str">
        <f t="shared" si="1"/>
        <v>2009/10</v>
      </c>
      <c r="H3" s="629" t="str">
        <f t="shared" si="1"/>
        <v>2010/11</v>
      </c>
      <c r="I3" s="629" t="str">
        <f t="shared" si="1"/>
        <v>2011/12</v>
      </c>
      <c r="J3" s="629" t="str">
        <f t="shared" si="1"/>
        <v>2012/13</v>
      </c>
      <c r="K3" s="629" t="str">
        <f t="shared" si="1"/>
        <v>2013/14</v>
      </c>
      <c r="L3" s="629" t="str">
        <f t="shared" si="1"/>
        <v>2014/15</v>
      </c>
      <c r="M3" s="629" t="str">
        <f t="shared" si="1"/>
        <v>2015/16</v>
      </c>
      <c r="N3" s="629" t="str">
        <f t="shared" si="1"/>
        <v>2016/17</v>
      </c>
      <c r="O3" s="629" t="str">
        <f t="shared" si="1"/>
        <v>2017/18</v>
      </c>
      <c r="P3" s="628"/>
      <c r="Q3" s="630" t="s">
        <v>540</v>
      </c>
      <c r="R3" s="632">
        <v>1</v>
      </c>
      <c r="S3" s="632">
        <v>4</v>
      </c>
      <c r="T3" s="632" t="s">
        <v>1062</v>
      </c>
      <c r="U3" s="629" t="s">
        <v>1063</v>
      </c>
      <c r="V3" s="635" t="s">
        <v>540</v>
      </c>
      <c r="W3" s="635" t="s">
        <v>1064</v>
      </c>
      <c r="X3" s="635" t="s">
        <v>1065</v>
      </c>
      <c r="Z3" s="634" t="s">
        <v>1066</v>
      </c>
      <c r="AA3" s="634" t="s">
        <v>1067</v>
      </c>
      <c r="AB3" s="634" t="s">
        <v>1068</v>
      </c>
      <c r="AC3" s="634" t="s">
        <v>1069</v>
      </c>
    </row>
    <row r="4" spans="1:30" x14ac:dyDescent="0.2">
      <c r="A4" s="627" t="e">
        <f>#REF!</f>
        <v>#REF!</v>
      </c>
      <c r="B4" s="628" t="s">
        <v>70</v>
      </c>
      <c r="C4" s="628" t="s">
        <v>69</v>
      </c>
      <c r="D4" s="628" t="s">
        <v>440</v>
      </c>
      <c r="E4" s="629" t="str">
        <f t="shared" ref="E4:O4" si="2">E1-4&amp;"/"&amp;RIGHT(E1,2)-3</f>
        <v>2006/7</v>
      </c>
      <c r="F4" s="629" t="str">
        <f t="shared" si="2"/>
        <v>2007/8</v>
      </c>
      <c r="G4" s="629" t="str">
        <f t="shared" si="2"/>
        <v>2008/9</v>
      </c>
      <c r="H4" s="629" t="str">
        <f t="shared" si="2"/>
        <v>2009/10</v>
      </c>
      <c r="I4" s="629" t="str">
        <f t="shared" si="2"/>
        <v>2010/11</v>
      </c>
      <c r="J4" s="629" t="str">
        <f t="shared" si="2"/>
        <v>2011/12</v>
      </c>
      <c r="K4" s="629" t="str">
        <f t="shared" si="2"/>
        <v>2012/13</v>
      </c>
      <c r="L4" s="629" t="str">
        <f t="shared" si="2"/>
        <v>2013/14</v>
      </c>
      <c r="M4" s="629" t="str">
        <f t="shared" si="2"/>
        <v>2014/15</v>
      </c>
      <c r="N4" s="629" t="str">
        <f t="shared" si="2"/>
        <v>2015/16</v>
      </c>
      <c r="O4" s="629" t="str">
        <f t="shared" si="2"/>
        <v>2016/17</v>
      </c>
      <c r="P4" s="628"/>
      <c r="Q4" s="636"/>
      <c r="R4" s="632">
        <v>2</v>
      </c>
      <c r="S4" s="632">
        <v>5</v>
      </c>
      <c r="T4" s="635" t="s">
        <v>229</v>
      </c>
      <c r="U4" s="637" t="s">
        <v>229</v>
      </c>
      <c r="V4" s="638"/>
      <c r="Z4" s="634" t="s">
        <v>1070</v>
      </c>
      <c r="AA4" s="634" t="s">
        <v>948</v>
      </c>
      <c r="AB4" s="634" t="s">
        <v>1071</v>
      </c>
      <c r="AC4" s="634" t="s">
        <v>1072</v>
      </c>
    </row>
    <row r="5" spans="1:30" x14ac:dyDescent="0.2">
      <c r="A5" s="627" t="e">
        <f>#REF!</f>
        <v>#REF!</v>
      </c>
      <c r="B5" s="628" t="s">
        <v>452</v>
      </c>
      <c r="C5" s="628" t="s">
        <v>453</v>
      </c>
      <c r="D5" s="628" t="s">
        <v>454</v>
      </c>
      <c r="E5" s="629" t="str">
        <f t="shared" ref="E5:O5" si="3">"Current Year "&amp; E1-1&amp;"/"&amp;RIGHT(E1,2)</f>
        <v>Current Year 2009/10</v>
      </c>
      <c r="F5" s="629" t="str">
        <f t="shared" si="3"/>
        <v>Current Year 2010/11</v>
      </c>
      <c r="G5" s="629" t="str">
        <f t="shared" si="3"/>
        <v>Current Year 2011/12</v>
      </c>
      <c r="H5" s="629" t="str">
        <f t="shared" si="3"/>
        <v>Current Year 2012/13</v>
      </c>
      <c r="I5" s="629" t="str">
        <f t="shared" si="3"/>
        <v>Current Year 2013/14</v>
      </c>
      <c r="J5" s="629" t="str">
        <f t="shared" si="3"/>
        <v>Current Year 2014/15</v>
      </c>
      <c r="K5" s="629" t="str">
        <f t="shared" si="3"/>
        <v>Current Year 2015/16</v>
      </c>
      <c r="L5" s="629" t="str">
        <f t="shared" si="3"/>
        <v>Current Year 2016/17</v>
      </c>
      <c r="M5" s="629" t="str">
        <f t="shared" si="3"/>
        <v>Current Year 2017/18</v>
      </c>
      <c r="N5" s="629" t="str">
        <f t="shared" si="3"/>
        <v>Current Year 2018/19</v>
      </c>
      <c r="O5" s="629" t="str">
        <f t="shared" si="3"/>
        <v>Current Year 2019/20</v>
      </c>
      <c r="P5" s="628"/>
      <c r="R5" s="632">
        <v>3</v>
      </c>
      <c r="S5" s="632">
        <v>6</v>
      </c>
      <c r="Z5" s="634" t="s">
        <v>1073</v>
      </c>
      <c r="AA5" s="634" t="s">
        <v>1074</v>
      </c>
      <c r="AB5" s="634" t="s">
        <v>1075</v>
      </c>
      <c r="AC5" s="634" t="s">
        <v>1076</v>
      </c>
    </row>
    <row r="6" spans="1:30" x14ac:dyDescent="0.2">
      <c r="A6" s="627" t="e">
        <f>#REF!</f>
        <v>#REF!</v>
      </c>
      <c r="B6" s="628" t="s">
        <v>90</v>
      </c>
      <c r="C6" s="628" t="s">
        <v>441</v>
      </c>
      <c r="D6" s="628" t="s">
        <v>442</v>
      </c>
      <c r="E6" s="629" t="str">
        <f t="shared" ref="E6:O6" si="4">E1-1&amp;"/"&amp;RIGHT(E1,2)</f>
        <v>2009/10</v>
      </c>
      <c r="F6" s="629" t="str">
        <f t="shared" si="4"/>
        <v>2010/11</v>
      </c>
      <c r="G6" s="629" t="str">
        <f t="shared" si="4"/>
        <v>2011/12</v>
      </c>
      <c r="H6" s="629" t="str">
        <f t="shared" si="4"/>
        <v>2012/13</v>
      </c>
      <c r="I6" s="629" t="str">
        <f t="shared" si="4"/>
        <v>2013/14</v>
      </c>
      <c r="J6" s="629" t="str">
        <f t="shared" si="4"/>
        <v>2014/15</v>
      </c>
      <c r="K6" s="629" t="str">
        <f t="shared" si="4"/>
        <v>2015/16</v>
      </c>
      <c r="L6" s="629" t="str">
        <f t="shared" si="4"/>
        <v>2016/17</v>
      </c>
      <c r="M6" s="629" t="str">
        <f t="shared" si="4"/>
        <v>2017/18</v>
      </c>
      <c r="N6" s="629" t="str">
        <f t="shared" si="4"/>
        <v>2018/19</v>
      </c>
      <c r="O6" s="629" t="str">
        <f t="shared" si="4"/>
        <v>2019/20</v>
      </c>
      <c r="P6" s="628"/>
      <c r="R6" s="632">
        <v>4</v>
      </c>
      <c r="S6" s="639" t="s">
        <v>1077</v>
      </c>
      <c r="Z6" s="634" t="s">
        <v>1078</v>
      </c>
      <c r="AB6" s="634" t="s">
        <v>1079</v>
      </c>
      <c r="AC6" s="634" t="s">
        <v>1080</v>
      </c>
    </row>
    <row r="7" spans="1:30" x14ac:dyDescent="0.2">
      <c r="A7" s="627" t="e">
        <f>#REF!</f>
        <v>#REF!</v>
      </c>
      <c r="B7" s="628" t="s">
        <v>460</v>
      </c>
      <c r="C7" s="628" t="s">
        <v>461</v>
      </c>
      <c r="D7" s="628" t="s">
        <v>462</v>
      </c>
      <c r="E7" s="629" t="str">
        <f t="shared" ref="E7:O7" si="5">E1&amp;"/"&amp;RIGHT(E1,2)+1&amp;" Medium Term Revenue &amp; Expenditure Framework"</f>
        <v>2010/11 Medium Term Revenue &amp; Expenditure Framework</v>
      </c>
      <c r="F7" s="629" t="str">
        <f t="shared" si="5"/>
        <v>2011/12 Medium Term Revenue &amp; Expenditure Framework</v>
      </c>
      <c r="G7" s="629" t="str">
        <f t="shared" si="5"/>
        <v>2012/13 Medium Term Revenue &amp; Expenditure Framework</v>
      </c>
      <c r="H7" s="629" t="str">
        <f t="shared" si="5"/>
        <v>2013/14 Medium Term Revenue &amp; Expenditure Framework</v>
      </c>
      <c r="I7" s="629" t="str">
        <f t="shared" si="5"/>
        <v>2014/15 Medium Term Revenue &amp; Expenditure Framework</v>
      </c>
      <c r="J7" s="629" t="str">
        <f t="shared" si="5"/>
        <v>2015/16 Medium Term Revenue &amp; Expenditure Framework</v>
      </c>
      <c r="K7" s="629" t="str">
        <f t="shared" si="5"/>
        <v>2016/17 Medium Term Revenue &amp; Expenditure Framework</v>
      </c>
      <c r="L7" s="629" t="str">
        <f t="shared" si="5"/>
        <v>2017/18 Medium Term Revenue &amp; Expenditure Framework</v>
      </c>
      <c r="M7" s="629" t="str">
        <f t="shared" si="5"/>
        <v>2018/19 Medium Term Revenue &amp; Expenditure Framework</v>
      </c>
      <c r="N7" s="629" t="str">
        <f t="shared" si="5"/>
        <v>2019/20 Medium Term Revenue &amp; Expenditure Framework</v>
      </c>
      <c r="O7" s="629" t="str">
        <f t="shared" si="5"/>
        <v>2020/21 Medium Term Revenue &amp; Expenditure Framework</v>
      </c>
      <c r="P7" s="628"/>
      <c r="R7" s="632">
        <v>5</v>
      </c>
      <c r="S7" s="635" t="s">
        <v>1081</v>
      </c>
      <c r="Z7" s="634" t="s">
        <v>1082</v>
      </c>
      <c r="AB7" s="634" t="s">
        <v>1083</v>
      </c>
      <c r="AC7" s="634" t="s">
        <v>1084</v>
      </c>
    </row>
    <row r="8" spans="1:30" x14ac:dyDescent="0.2">
      <c r="A8" s="627" t="e">
        <f>#REF!</f>
        <v>#REF!</v>
      </c>
      <c r="B8" s="628" t="s">
        <v>464</v>
      </c>
      <c r="C8" s="628" t="s">
        <v>465</v>
      </c>
      <c r="D8" s="628" t="s">
        <v>466</v>
      </c>
      <c r="E8" s="629" t="str">
        <f t="shared" ref="E8:O8" si="6">"Budget Year "&amp;E1&amp;"/"&amp;RIGHT(E1,2)+1</f>
        <v>Budget Year 2010/11</v>
      </c>
      <c r="F8" s="629" t="str">
        <f t="shared" si="6"/>
        <v>Budget Year 2011/12</v>
      </c>
      <c r="G8" s="629" t="str">
        <f t="shared" si="6"/>
        <v>Budget Year 2012/13</v>
      </c>
      <c r="H8" s="629" t="str">
        <f t="shared" si="6"/>
        <v>Budget Year 2013/14</v>
      </c>
      <c r="I8" s="629" t="str">
        <f t="shared" si="6"/>
        <v>Budget Year 2014/15</v>
      </c>
      <c r="J8" s="629" t="str">
        <f t="shared" si="6"/>
        <v>Budget Year 2015/16</v>
      </c>
      <c r="K8" s="629" t="str">
        <f t="shared" si="6"/>
        <v>Budget Year 2016/17</v>
      </c>
      <c r="L8" s="629" t="str">
        <f t="shared" si="6"/>
        <v>Budget Year 2017/18</v>
      </c>
      <c r="M8" s="629" t="str">
        <f t="shared" si="6"/>
        <v>Budget Year 2018/19</v>
      </c>
      <c r="N8" s="629" t="str">
        <f t="shared" si="6"/>
        <v>Budget Year 2019/20</v>
      </c>
      <c r="O8" s="629" t="str">
        <f t="shared" si="6"/>
        <v>Budget Year 2020/21</v>
      </c>
      <c r="P8" s="628"/>
      <c r="R8" s="635" t="s">
        <v>1085</v>
      </c>
      <c r="Z8" s="634" t="s">
        <v>1086</v>
      </c>
      <c r="AB8" s="634" t="s">
        <v>1087</v>
      </c>
      <c r="AC8" s="634" t="s">
        <v>1074</v>
      </c>
    </row>
    <row r="9" spans="1:30" x14ac:dyDescent="0.2">
      <c r="A9" s="627" t="e">
        <f>#REF!</f>
        <v>#REF!</v>
      </c>
      <c r="B9" s="628" t="s">
        <v>467</v>
      </c>
      <c r="C9" s="628" t="s">
        <v>468</v>
      </c>
      <c r="D9" s="628" t="s">
        <v>469</v>
      </c>
      <c r="E9" s="629" t="str">
        <f t="shared" ref="E9:O9" si="7">"Budget Year +1 "&amp;E1+1&amp;"/"&amp;RIGHT(E1,2)+2</f>
        <v>Budget Year +1 2011/12</v>
      </c>
      <c r="F9" s="629" t="str">
        <f t="shared" si="7"/>
        <v>Budget Year +1 2012/13</v>
      </c>
      <c r="G9" s="629" t="str">
        <f t="shared" si="7"/>
        <v>Budget Year +1 2013/14</v>
      </c>
      <c r="H9" s="629" t="str">
        <f t="shared" si="7"/>
        <v>Budget Year +1 2014/15</v>
      </c>
      <c r="I9" s="629" t="str">
        <f t="shared" si="7"/>
        <v>Budget Year +1 2015/16</v>
      </c>
      <c r="J9" s="629" t="str">
        <f t="shared" si="7"/>
        <v>Budget Year +1 2016/17</v>
      </c>
      <c r="K9" s="629" t="str">
        <f t="shared" si="7"/>
        <v>Budget Year +1 2017/18</v>
      </c>
      <c r="L9" s="629" t="str">
        <f t="shared" si="7"/>
        <v>Budget Year +1 2018/19</v>
      </c>
      <c r="M9" s="629" t="str">
        <f t="shared" si="7"/>
        <v>Budget Year +1 2019/20</v>
      </c>
      <c r="N9" s="629" t="str">
        <f t="shared" si="7"/>
        <v>Budget Year +1 2020/21</v>
      </c>
      <c r="O9" s="629" t="str">
        <f t="shared" si="7"/>
        <v>Budget Year +1 2021/22</v>
      </c>
      <c r="P9" s="628"/>
      <c r="Z9" s="634" t="s">
        <v>1088</v>
      </c>
    </row>
    <row r="10" spans="1:30" x14ac:dyDescent="0.2">
      <c r="A10" s="627" t="e">
        <f>#REF!</f>
        <v>#REF!</v>
      </c>
      <c r="B10" s="628" t="s">
        <v>470</v>
      </c>
      <c r="C10" s="628" t="s">
        <v>471</v>
      </c>
      <c r="D10" s="628" t="s">
        <v>472</v>
      </c>
      <c r="E10" s="629" t="str">
        <f t="shared" ref="E10:O10" si="8">"Budget Year +2 "&amp;E1+2&amp;"/"&amp;RIGHT(E1,2)+3</f>
        <v>Budget Year +2 2012/13</v>
      </c>
      <c r="F10" s="629" t="str">
        <f t="shared" si="8"/>
        <v>Budget Year +2 2013/14</v>
      </c>
      <c r="G10" s="629" t="str">
        <f t="shared" si="8"/>
        <v>Budget Year +2 2014/15</v>
      </c>
      <c r="H10" s="629" t="str">
        <f t="shared" si="8"/>
        <v>Budget Year +2 2015/16</v>
      </c>
      <c r="I10" s="629" t="str">
        <f t="shared" si="8"/>
        <v>Budget Year +2 2016/17</v>
      </c>
      <c r="J10" s="629" t="str">
        <f t="shared" si="8"/>
        <v>Budget Year +2 2017/18</v>
      </c>
      <c r="K10" s="629" t="str">
        <f t="shared" si="8"/>
        <v>Budget Year +2 2018/19</v>
      </c>
      <c r="L10" s="629" t="str">
        <f t="shared" si="8"/>
        <v>Budget Year +2 2019/20</v>
      </c>
      <c r="M10" s="629" t="str">
        <f t="shared" si="8"/>
        <v>Budget Year +2 2020/21</v>
      </c>
      <c r="N10" s="629" t="str">
        <f t="shared" si="8"/>
        <v>Budget Year +2 2021/22</v>
      </c>
      <c r="O10" s="629" t="str">
        <f t="shared" si="8"/>
        <v>Budget Year +2 2022/23</v>
      </c>
      <c r="P10" s="628"/>
      <c r="Z10" s="634" t="s">
        <v>1089</v>
      </c>
    </row>
    <row r="11" spans="1:30" x14ac:dyDescent="0.2">
      <c r="A11" s="627" t="e">
        <f>#REF!</f>
        <v>#REF!</v>
      </c>
      <c r="B11" s="628" t="s">
        <v>216</v>
      </c>
      <c r="C11" s="628" t="s">
        <v>217</v>
      </c>
      <c r="D11" s="628" t="s">
        <v>218</v>
      </c>
      <c r="E11" s="629" t="str">
        <f t="shared" ref="E11:O11" si="9">"Forecast "&amp;E1+3&amp;"/"&amp;RIGHT(E1,2)+4</f>
        <v>Forecast 2013/14</v>
      </c>
      <c r="F11" s="629" t="str">
        <f t="shared" si="9"/>
        <v>Forecast 2014/15</v>
      </c>
      <c r="G11" s="629" t="str">
        <f t="shared" si="9"/>
        <v>Forecast 2015/16</v>
      </c>
      <c r="H11" s="629" t="str">
        <f t="shared" si="9"/>
        <v>Forecast 2016/17</v>
      </c>
      <c r="I11" s="629" t="str">
        <f t="shared" si="9"/>
        <v>Forecast 2017/18</v>
      </c>
      <c r="J11" s="629" t="str">
        <f t="shared" si="9"/>
        <v>Forecast 2018/19</v>
      </c>
      <c r="K11" s="629" t="str">
        <f t="shared" si="9"/>
        <v>Forecast 2019/20</v>
      </c>
      <c r="L11" s="629" t="str">
        <f t="shared" si="9"/>
        <v>Forecast 2020/21</v>
      </c>
      <c r="M11" s="629" t="str">
        <f t="shared" si="9"/>
        <v>Forecast 2021/22</v>
      </c>
      <c r="N11" s="629" t="str">
        <f t="shared" si="9"/>
        <v>Forecast 2022/23</v>
      </c>
      <c r="O11" s="629" t="str">
        <f t="shared" si="9"/>
        <v>Forecast 2023/24</v>
      </c>
      <c r="P11" s="628"/>
      <c r="Z11" s="634" t="s">
        <v>1090</v>
      </c>
    </row>
    <row r="12" spans="1:30" x14ac:dyDescent="0.2">
      <c r="A12" s="627" t="e">
        <f>#REF!</f>
        <v>#REF!</v>
      </c>
      <c r="B12" s="628" t="s">
        <v>217</v>
      </c>
      <c r="C12" s="628" t="s">
        <v>218</v>
      </c>
      <c r="D12" s="628" t="s">
        <v>219</v>
      </c>
      <c r="E12" s="629" t="str">
        <f t="shared" ref="E12:O12" si="10">"Forecast "&amp;E1+4&amp;"/"&amp;RIGHT(E1,2)+5</f>
        <v>Forecast 2014/15</v>
      </c>
      <c r="F12" s="629" t="str">
        <f t="shared" si="10"/>
        <v>Forecast 2015/16</v>
      </c>
      <c r="G12" s="629" t="str">
        <f t="shared" si="10"/>
        <v>Forecast 2016/17</v>
      </c>
      <c r="H12" s="629" t="str">
        <f t="shared" si="10"/>
        <v>Forecast 2017/18</v>
      </c>
      <c r="I12" s="629" t="str">
        <f t="shared" si="10"/>
        <v>Forecast 2018/19</v>
      </c>
      <c r="J12" s="629" t="str">
        <f t="shared" si="10"/>
        <v>Forecast 2019/20</v>
      </c>
      <c r="K12" s="629" t="str">
        <f t="shared" si="10"/>
        <v>Forecast 2020/21</v>
      </c>
      <c r="L12" s="629" t="str">
        <f t="shared" si="10"/>
        <v>Forecast 2021/22</v>
      </c>
      <c r="M12" s="629" t="str">
        <f t="shared" si="10"/>
        <v>Forecast 2022/23</v>
      </c>
      <c r="N12" s="629" t="str">
        <f t="shared" si="10"/>
        <v>Forecast 2023/24</v>
      </c>
      <c r="O12" s="629" t="str">
        <f t="shared" si="10"/>
        <v>Forecast 2024/25</v>
      </c>
      <c r="P12" s="628"/>
      <c r="Z12" s="634" t="s">
        <v>1091</v>
      </c>
    </row>
    <row r="13" spans="1:30" x14ac:dyDescent="0.2">
      <c r="A13" s="627" t="e">
        <f>#REF!</f>
        <v>#REF!</v>
      </c>
      <c r="B13" s="628" t="s">
        <v>218</v>
      </c>
      <c r="C13" s="628" t="s">
        <v>219</v>
      </c>
      <c r="D13" s="628" t="s">
        <v>94</v>
      </c>
      <c r="E13" s="629" t="str">
        <f t="shared" ref="E13:O13" si="11">"Forecast "&amp;E1+5&amp;"/"&amp;RIGHT(E1,2)+6</f>
        <v>Forecast 2015/16</v>
      </c>
      <c r="F13" s="629" t="str">
        <f t="shared" si="11"/>
        <v>Forecast 2016/17</v>
      </c>
      <c r="G13" s="629" t="str">
        <f t="shared" si="11"/>
        <v>Forecast 2017/18</v>
      </c>
      <c r="H13" s="629" t="str">
        <f t="shared" si="11"/>
        <v>Forecast 2018/19</v>
      </c>
      <c r="I13" s="629" t="str">
        <f t="shared" si="11"/>
        <v>Forecast 2019/20</v>
      </c>
      <c r="J13" s="629" t="str">
        <f t="shared" si="11"/>
        <v>Forecast 2020/21</v>
      </c>
      <c r="K13" s="629" t="str">
        <f t="shared" si="11"/>
        <v>Forecast 2021/22</v>
      </c>
      <c r="L13" s="629" t="str">
        <f t="shared" si="11"/>
        <v>Forecast 2022/23</v>
      </c>
      <c r="M13" s="629" t="str">
        <f t="shared" si="11"/>
        <v>Forecast 2023/24</v>
      </c>
      <c r="N13" s="629" t="str">
        <f t="shared" si="11"/>
        <v>Forecast 2024/25</v>
      </c>
      <c r="O13" s="629" t="str">
        <f t="shared" si="11"/>
        <v>Forecast 2025/26</v>
      </c>
      <c r="P13" s="628"/>
    </row>
    <row r="14" spans="1:30" x14ac:dyDescent="0.2">
      <c r="A14" s="627" t="e">
        <f>#REF!</f>
        <v>#REF!</v>
      </c>
      <c r="B14" s="628" t="s">
        <v>219</v>
      </c>
      <c r="C14" s="628" t="s">
        <v>94</v>
      </c>
      <c r="D14" s="628" t="s">
        <v>95</v>
      </c>
      <c r="E14" s="629" t="str">
        <f t="shared" ref="E14:O14" si="12">"Forecast "&amp;E1+6&amp;"/"&amp;RIGHT(E1,2)+7</f>
        <v>Forecast 2016/17</v>
      </c>
      <c r="F14" s="629" t="str">
        <f t="shared" si="12"/>
        <v>Forecast 2017/18</v>
      </c>
      <c r="G14" s="629" t="str">
        <f t="shared" si="12"/>
        <v>Forecast 2018/19</v>
      </c>
      <c r="H14" s="629" t="str">
        <f t="shared" si="12"/>
        <v>Forecast 2019/20</v>
      </c>
      <c r="I14" s="629" t="str">
        <f t="shared" si="12"/>
        <v>Forecast 2020/21</v>
      </c>
      <c r="J14" s="629" t="str">
        <f t="shared" si="12"/>
        <v>Forecast 2021/22</v>
      </c>
      <c r="K14" s="629" t="str">
        <f t="shared" si="12"/>
        <v>Forecast 2022/23</v>
      </c>
      <c r="L14" s="629" t="str">
        <f t="shared" si="12"/>
        <v>Forecast 2023/24</v>
      </c>
      <c r="M14" s="629" t="str">
        <f t="shared" si="12"/>
        <v>Forecast 2024/25</v>
      </c>
      <c r="N14" s="629" t="str">
        <f t="shared" si="12"/>
        <v>Forecast 2025/26</v>
      </c>
      <c r="O14" s="629" t="str">
        <f t="shared" si="12"/>
        <v>Forecast 2026/27</v>
      </c>
      <c r="P14" s="628"/>
      <c r="Z14" s="625" t="s">
        <v>1000</v>
      </c>
      <c r="AA14" s="625" t="s">
        <v>1092</v>
      </c>
      <c r="AB14" s="625" t="s">
        <v>1093</v>
      </c>
      <c r="AC14" s="625" t="s">
        <v>998</v>
      </c>
      <c r="AD14" s="625" t="s">
        <v>1094</v>
      </c>
    </row>
    <row r="15" spans="1:30" x14ac:dyDescent="0.2">
      <c r="A15" s="627" t="e">
        <f>#REF!</f>
        <v>#REF!</v>
      </c>
      <c r="B15" s="628" t="s">
        <v>94</v>
      </c>
      <c r="C15" s="628" t="s">
        <v>95</v>
      </c>
      <c r="D15" s="628" t="s">
        <v>96</v>
      </c>
      <c r="E15" s="629" t="str">
        <f t="shared" ref="E15:O15" si="13">"Forecast "&amp;E1+7&amp;"/"&amp;RIGHT(E1,2)+8</f>
        <v>Forecast 2017/18</v>
      </c>
      <c r="F15" s="629" t="str">
        <f t="shared" si="13"/>
        <v>Forecast 2018/19</v>
      </c>
      <c r="G15" s="629" t="str">
        <f t="shared" si="13"/>
        <v>Forecast 2019/20</v>
      </c>
      <c r="H15" s="629" t="str">
        <f t="shared" si="13"/>
        <v>Forecast 2020/21</v>
      </c>
      <c r="I15" s="629" t="str">
        <f t="shared" si="13"/>
        <v>Forecast 2021/22</v>
      </c>
      <c r="J15" s="629" t="str">
        <f t="shared" si="13"/>
        <v>Forecast 2022/23</v>
      </c>
      <c r="K15" s="629" t="str">
        <f t="shared" si="13"/>
        <v>Forecast 2023/24</v>
      </c>
      <c r="L15" s="629" t="str">
        <f t="shared" si="13"/>
        <v>Forecast 2024/25</v>
      </c>
      <c r="M15" s="629" t="str">
        <f t="shared" si="13"/>
        <v>Forecast 2025/26</v>
      </c>
      <c r="N15" s="629" t="str">
        <f t="shared" si="13"/>
        <v>Forecast 2026/27</v>
      </c>
      <c r="O15" s="629" t="str">
        <f t="shared" si="13"/>
        <v>Forecast 2027/28</v>
      </c>
      <c r="P15" s="628"/>
    </row>
    <row r="16" spans="1:30" x14ac:dyDescent="0.2">
      <c r="A16" s="627" t="e">
        <f>#REF!</f>
        <v>#REF!</v>
      </c>
      <c r="B16" s="628" t="s">
        <v>95</v>
      </c>
      <c r="C16" s="628" t="s">
        <v>96</v>
      </c>
      <c r="D16" s="628" t="s">
        <v>97</v>
      </c>
      <c r="E16" s="629" t="str">
        <f t="shared" ref="E16:O16" si="14">"Forecast "&amp;E1+8&amp;"/"&amp;RIGHT(E1,2)+9</f>
        <v>Forecast 2018/19</v>
      </c>
      <c r="F16" s="629" t="str">
        <f t="shared" si="14"/>
        <v>Forecast 2019/20</v>
      </c>
      <c r="G16" s="629" t="str">
        <f t="shared" si="14"/>
        <v>Forecast 2020/21</v>
      </c>
      <c r="H16" s="629" t="str">
        <f t="shared" si="14"/>
        <v>Forecast 2021/22</v>
      </c>
      <c r="I16" s="629" t="str">
        <f t="shared" si="14"/>
        <v>Forecast 2022/23</v>
      </c>
      <c r="J16" s="629" t="str">
        <f t="shared" si="14"/>
        <v>Forecast 2023/24</v>
      </c>
      <c r="K16" s="629" t="str">
        <f t="shared" si="14"/>
        <v>Forecast 2024/25</v>
      </c>
      <c r="L16" s="629" t="str">
        <f t="shared" si="14"/>
        <v>Forecast 2025/26</v>
      </c>
      <c r="M16" s="629" t="str">
        <f t="shared" si="14"/>
        <v>Forecast 2026/27</v>
      </c>
      <c r="N16" s="629" t="str">
        <f t="shared" si="14"/>
        <v>Forecast 2027/28</v>
      </c>
      <c r="O16" s="629" t="str">
        <f t="shared" si="14"/>
        <v>Forecast 2028/29</v>
      </c>
      <c r="P16" s="628"/>
      <c r="Z16" s="634" t="s">
        <v>854</v>
      </c>
      <c r="AA16" s="634" t="s">
        <v>1095</v>
      </c>
      <c r="AB16" s="634" t="s">
        <v>507</v>
      </c>
      <c r="AC16" s="634" t="s">
        <v>1096</v>
      </c>
      <c r="AD16" s="634" t="s">
        <v>1097</v>
      </c>
    </row>
    <row r="17" spans="1:30" x14ac:dyDescent="0.2">
      <c r="A17" s="627" t="e">
        <f>#REF!</f>
        <v>#REF!</v>
      </c>
      <c r="B17" s="628" t="s">
        <v>96</v>
      </c>
      <c r="C17" s="628" t="s">
        <v>97</v>
      </c>
      <c r="D17" s="628" t="s">
        <v>13</v>
      </c>
      <c r="E17" s="629" t="str">
        <f t="shared" ref="E17:O17" si="15">"Forecast "&amp;E1+9&amp;"/"&amp;RIGHT(E1,2)+10</f>
        <v>Forecast 2019/20</v>
      </c>
      <c r="F17" s="629" t="str">
        <f t="shared" si="15"/>
        <v>Forecast 2020/21</v>
      </c>
      <c r="G17" s="629" t="str">
        <f t="shared" si="15"/>
        <v>Forecast 2021/22</v>
      </c>
      <c r="H17" s="629" t="str">
        <f t="shared" si="15"/>
        <v>Forecast 2022/23</v>
      </c>
      <c r="I17" s="629" t="str">
        <f t="shared" si="15"/>
        <v>Forecast 2023/24</v>
      </c>
      <c r="J17" s="629" t="str">
        <f t="shared" si="15"/>
        <v>Forecast 2024/25</v>
      </c>
      <c r="K17" s="629" t="str">
        <f t="shared" si="15"/>
        <v>Forecast 2025/26</v>
      </c>
      <c r="L17" s="629" t="str">
        <f t="shared" si="15"/>
        <v>Forecast 2026/27</v>
      </c>
      <c r="M17" s="629" t="str">
        <f t="shared" si="15"/>
        <v>Forecast 2027/28</v>
      </c>
      <c r="N17" s="629" t="str">
        <f t="shared" si="15"/>
        <v>Forecast 2028/29</v>
      </c>
      <c r="O17" s="629" t="str">
        <f t="shared" si="15"/>
        <v>Forecast 2029/30</v>
      </c>
      <c r="P17" s="628"/>
      <c r="Z17" s="634" t="s">
        <v>858</v>
      </c>
      <c r="AA17" s="634" t="s">
        <v>1098</v>
      </c>
      <c r="AB17" s="634" t="s">
        <v>855</v>
      </c>
      <c r="AC17" s="634" t="s">
        <v>1099</v>
      </c>
      <c r="AD17" s="634" t="s">
        <v>1100</v>
      </c>
    </row>
    <row r="18" spans="1:30" x14ac:dyDescent="0.2">
      <c r="A18" s="627" t="e">
        <f>#REF!</f>
        <v>#REF!</v>
      </c>
      <c r="B18" s="628" t="s">
        <v>97</v>
      </c>
      <c r="C18" s="628" t="s">
        <v>13</v>
      </c>
      <c r="D18" s="628" t="s">
        <v>12</v>
      </c>
      <c r="E18" s="629" t="str">
        <f t="shared" ref="E18:O18" si="16">"Forecast "&amp;E1+10&amp;"/"&amp;RIGHT(E1,2)+11</f>
        <v>Forecast 2020/21</v>
      </c>
      <c r="F18" s="629" t="str">
        <f t="shared" si="16"/>
        <v>Forecast 2021/22</v>
      </c>
      <c r="G18" s="629" t="str">
        <f t="shared" si="16"/>
        <v>Forecast 2022/23</v>
      </c>
      <c r="H18" s="629" t="str">
        <f t="shared" si="16"/>
        <v>Forecast 2023/24</v>
      </c>
      <c r="I18" s="629" t="str">
        <f t="shared" si="16"/>
        <v>Forecast 2024/25</v>
      </c>
      <c r="J18" s="629" t="str">
        <f t="shared" si="16"/>
        <v>Forecast 2025/26</v>
      </c>
      <c r="K18" s="629" t="str">
        <f t="shared" si="16"/>
        <v>Forecast 2026/27</v>
      </c>
      <c r="L18" s="629" t="str">
        <f t="shared" si="16"/>
        <v>Forecast 2027/28</v>
      </c>
      <c r="M18" s="629" t="str">
        <f t="shared" si="16"/>
        <v>Forecast 2028/29</v>
      </c>
      <c r="N18" s="629" t="str">
        <f t="shared" si="16"/>
        <v>Forecast 2029/30</v>
      </c>
      <c r="O18" s="629" t="str">
        <f t="shared" si="16"/>
        <v>Forecast 2030/31</v>
      </c>
      <c r="P18" s="628"/>
      <c r="Z18" s="634" t="s">
        <v>862</v>
      </c>
      <c r="AA18" s="634" t="s">
        <v>1101</v>
      </c>
      <c r="AB18" s="634" t="s">
        <v>856</v>
      </c>
      <c r="AC18" s="634" t="s">
        <v>1102</v>
      </c>
      <c r="AD18" s="634" t="s">
        <v>1103</v>
      </c>
    </row>
    <row r="19" spans="1:30" x14ac:dyDescent="0.2">
      <c r="A19" s="627" t="e">
        <f>#REF!</f>
        <v>#REF!</v>
      </c>
      <c r="B19" s="628" t="s">
        <v>13</v>
      </c>
      <c r="C19" s="628" t="s">
        <v>12</v>
      </c>
      <c r="D19" s="628" t="s">
        <v>98</v>
      </c>
      <c r="E19" s="629" t="str">
        <f t="shared" ref="E19:O19" si="17">"Forecast "&amp;E1+11&amp;"/"&amp;RIGHT(E1,2)+12</f>
        <v>Forecast 2021/22</v>
      </c>
      <c r="F19" s="629" t="str">
        <f t="shared" si="17"/>
        <v>Forecast 2022/23</v>
      </c>
      <c r="G19" s="629" t="str">
        <f t="shared" si="17"/>
        <v>Forecast 2023/24</v>
      </c>
      <c r="H19" s="629" t="str">
        <f t="shared" si="17"/>
        <v>Forecast 2024/25</v>
      </c>
      <c r="I19" s="629" t="str">
        <f t="shared" si="17"/>
        <v>Forecast 2025/26</v>
      </c>
      <c r="J19" s="629" t="str">
        <f t="shared" si="17"/>
        <v>Forecast 2026/27</v>
      </c>
      <c r="K19" s="629" t="str">
        <f t="shared" si="17"/>
        <v>Forecast 2027/28</v>
      </c>
      <c r="L19" s="629" t="str">
        <f t="shared" si="17"/>
        <v>Forecast 2028/29</v>
      </c>
      <c r="M19" s="629" t="str">
        <f t="shared" si="17"/>
        <v>Forecast 2029/30</v>
      </c>
      <c r="N19" s="629" t="str">
        <f t="shared" si="17"/>
        <v>Forecast 2030/31</v>
      </c>
      <c r="O19" s="629" t="str">
        <f t="shared" si="17"/>
        <v>Forecast 2031/32</v>
      </c>
      <c r="P19" s="628"/>
      <c r="Z19" s="634" t="s">
        <v>871</v>
      </c>
      <c r="AA19" s="634" t="s">
        <v>1104</v>
      </c>
      <c r="AB19" s="634" t="s">
        <v>857</v>
      </c>
      <c r="AC19" s="634" t="s">
        <v>1105</v>
      </c>
      <c r="AD19" s="634" t="s">
        <v>1106</v>
      </c>
    </row>
    <row r="20" spans="1:30" x14ac:dyDescent="0.2">
      <c r="A20" s="627" t="e">
        <f>#REF!</f>
        <v>#REF!</v>
      </c>
      <c r="B20" s="628" t="s">
        <v>12</v>
      </c>
      <c r="C20" s="628" t="s">
        <v>98</v>
      </c>
      <c r="D20" s="628" t="s">
        <v>370</v>
      </c>
      <c r="E20" s="629" t="str">
        <f t="shared" ref="E20:O20" si="18">"Forecast "&amp;E1+12&amp;"/"&amp;RIGHT(E1,2)+13</f>
        <v>Forecast 2022/23</v>
      </c>
      <c r="F20" s="629" t="str">
        <f t="shared" si="18"/>
        <v>Forecast 2023/24</v>
      </c>
      <c r="G20" s="629" t="str">
        <f t="shared" si="18"/>
        <v>Forecast 2024/25</v>
      </c>
      <c r="H20" s="629" t="str">
        <f t="shared" si="18"/>
        <v>Forecast 2025/26</v>
      </c>
      <c r="I20" s="629" t="str">
        <f t="shared" si="18"/>
        <v>Forecast 2026/27</v>
      </c>
      <c r="J20" s="629" t="str">
        <f t="shared" si="18"/>
        <v>Forecast 2027/28</v>
      </c>
      <c r="K20" s="629" t="str">
        <f t="shared" si="18"/>
        <v>Forecast 2028/29</v>
      </c>
      <c r="L20" s="629" t="str">
        <f t="shared" si="18"/>
        <v>Forecast 2029/30</v>
      </c>
      <c r="M20" s="629" t="str">
        <f t="shared" si="18"/>
        <v>Forecast 2030/31</v>
      </c>
      <c r="N20" s="629" t="str">
        <f t="shared" si="18"/>
        <v>Forecast 2031/32</v>
      </c>
      <c r="O20" s="629" t="str">
        <f t="shared" si="18"/>
        <v>Forecast 2032/33</v>
      </c>
      <c r="P20" s="628"/>
      <c r="Z20" s="634" t="s">
        <v>881</v>
      </c>
      <c r="AA20" s="634" t="s">
        <v>1107</v>
      </c>
      <c r="AB20" s="634" t="s">
        <v>859</v>
      </c>
      <c r="AD20" s="634" t="s">
        <v>1108</v>
      </c>
    </row>
    <row r="21" spans="1:30" x14ac:dyDescent="0.2">
      <c r="A21" s="627" t="e">
        <f>#REF!</f>
        <v>#REF!</v>
      </c>
      <c r="B21" s="628" t="s">
        <v>98</v>
      </c>
      <c r="C21" s="628" t="s">
        <v>370</v>
      </c>
      <c r="D21" s="628" t="s">
        <v>473</v>
      </c>
      <c r="E21" s="629" t="str">
        <f t="shared" ref="E21:O21" si="19">"Forecast "&amp;E1+13&amp;"/"&amp;RIGHT(E1,2)+14</f>
        <v>Forecast 2023/24</v>
      </c>
      <c r="F21" s="629" t="str">
        <f t="shared" si="19"/>
        <v>Forecast 2024/25</v>
      </c>
      <c r="G21" s="629" t="str">
        <f t="shared" si="19"/>
        <v>Forecast 2025/26</v>
      </c>
      <c r="H21" s="629" t="str">
        <f t="shared" si="19"/>
        <v>Forecast 2026/27</v>
      </c>
      <c r="I21" s="629" t="str">
        <f t="shared" si="19"/>
        <v>Forecast 2027/28</v>
      </c>
      <c r="J21" s="629" t="str">
        <f t="shared" si="19"/>
        <v>Forecast 2028/29</v>
      </c>
      <c r="K21" s="629" t="str">
        <f t="shared" si="19"/>
        <v>Forecast 2029/30</v>
      </c>
      <c r="L21" s="629" t="str">
        <f t="shared" si="19"/>
        <v>Forecast 2030/31</v>
      </c>
      <c r="M21" s="629" t="str">
        <f t="shared" si="19"/>
        <v>Forecast 2031/32</v>
      </c>
      <c r="N21" s="629" t="str">
        <f t="shared" si="19"/>
        <v>Forecast 2032/33</v>
      </c>
      <c r="O21" s="629" t="str">
        <f t="shared" si="19"/>
        <v>Forecast 2033/34</v>
      </c>
      <c r="P21" s="628"/>
      <c r="Z21" s="634" t="s">
        <v>886</v>
      </c>
      <c r="AA21" s="634" t="s">
        <v>1109</v>
      </c>
      <c r="AB21" s="634" t="s">
        <v>860</v>
      </c>
      <c r="AD21" s="634" t="s">
        <v>1110</v>
      </c>
    </row>
    <row r="22" spans="1:30" x14ac:dyDescent="0.2">
      <c r="A22" s="627" t="e">
        <f>#REF!</f>
        <v>#REF!</v>
      </c>
      <c r="B22" s="628" t="s">
        <v>370</v>
      </c>
      <c r="C22" s="628" t="s">
        <v>473</v>
      </c>
      <c r="D22" s="628" t="s">
        <v>474</v>
      </c>
      <c r="E22" s="629" t="str">
        <f t="shared" ref="E22:O22" si="20">"Forecast "&amp;E1+14&amp;"/"&amp;RIGHT(E1,2)+15</f>
        <v>Forecast 2024/25</v>
      </c>
      <c r="F22" s="629" t="str">
        <f t="shared" si="20"/>
        <v>Forecast 2025/26</v>
      </c>
      <c r="G22" s="629" t="str">
        <f t="shared" si="20"/>
        <v>Forecast 2026/27</v>
      </c>
      <c r="H22" s="629" t="str">
        <f t="shared" si="20"/>
        <v>Forecast 2027/28</v>
      </c>
      <c r="I22" s="629" t="str">
        <f t="shared" si="20"/>
        <v>Forecast 2028/29</v>
      </c>
      <c r="J22" s="629" t="str">
        <f t="shared" si="20"/>
        <v>Forecast 2029/30</v>
      </c>
      <c r="K22" s="629" t="str">
        <f t="shared" si="20"/>
        <v>Forecast 2030/31</v>
      </c>
      <c r="L22" s="629" t="str">
        <f t="shared" si="20"/>
        <v>Forecast 2031/32</v>
      </c>
      <c r="M22" s="629" t="str">
        <f t="shared" si="20"/>
        <v>Forecast 2032/33</v>
      </c>
      <c r="N22" s="629" t="str">
        <f t="shared" si="20"/>
        <v>Forecast 2033/34</v>
      </c>
      <c r="O22" s="629" t="str">
        <f t="shared" si="20"/>
        <v>Forecast 2034/35</v>
      </c>
      <c r="P22" s="628"/>
      <c r="Z22" s="634" t="s">
        <v>893</v>
      </c>
      <c r="AA22" s="634" t="s">
        <v>1111</v>
      </c>
      <c r="AB22" s="634" t="s">
        <v>861</v>
      </c>
      <c r="AD22" s="634" t="s">
        <v>1112</v>
      </c>
    </row>
    <row r="23" spans="1:30" x14ac:dyDescent="0.2">
      <c r="A23" s="627" t="s">
        <v>475</v>
      </c>
      <c r="B23" s="628" t="s">
        <v>263</v>
      </c>
      <c r="C23" s="628" t="s">
        <v>476</v>
      </c>
      <c r="D23" s="628" t="s">
        <v>477</v>
      </c>
      <c r="E23" s="629" t="str">
        <f t="shared" ref="E23:O23" si="21">"Annual target " &amp; E1&amp;"/"&amp;RIGHT(E1,2)+1</f>
        <v>Annual target 2010/11</v>
      </c>
      <c r="F23" s="629" t="str">
        <f t="shared" si="21"/>
        <v>Annual target 2011/12</v>
      </c>
      <c r="G23" s="629" t="str">
        <f t="shared" si="21"/>
        <v>Annual target 2012/13</v>
      </c>
      <c r="H23" s="629" t="str">
        <f t="shared" si="21"/>
        <v>Annual target 2013/14</v>
      </c>
      <c r="I23" s="629" t="str">
        <f t="shared" si="21"/>
        <v>Annual target 2014/15</v>
      </c>
      <c r="J23" s="629" t="str">
        <f t="shared" si="21"/>
        <v>Annual target 2015/16</v>
      </c>
      <c r="K23" s="629" t="str">
        <f t="shared" si="21"/>
        <v>Annual target 2016/17</v>
      </c>
      <c r="L23" s="629" t="str">
        <f t="shared" si="21"/>
        <v>Annual target 2017/18</v>
      </c>
      <c r="M23" s="629" t="str">
        <f t="shared" si="21"/>
        <v>Annual target 2018/19</v>
      </c>
      <c r="N23" s="629" t="str">
        <f t="shared" si="21"/>
        <v>Annual target 2019/20</v>
      </c>
      <c r="O23" s="629" t="str">
        <f t="shared" si="21"/>
        <v>Annual target 2020/21</v>
      </c>
      <c r="P23" s="628"/>
      <c r="Z23" s="634" t="s">
        <v>897</v>
      </c>
      <c r="AA23" s="634" t="s">
        <v>497</v>
      </c>
      <c r="AB23" s="634" t="s">
        <v>863</v>
      </c>
      <c r="AD23" s="634" t="s">
        <v>1113</v>
      </c>
    </row>
    <row r="24" spans="1:30" x14ac:dyDescent="0.2">
      <c r="A24" s="640" t="str">
        <f>A23</f>
        <v>Adjustments Budget</v>
      </c>
      <c r="B24" s="641" t="s">
        <v>264</v>
      </c>
      <c r="C24" s="641" t="s">
        <v>478</v>
      </c>
      <c r="D24" s="641" t="s">
        <v>479</v>
      </c>
      <c r="E24" s="637" t="str">
        <f t="shared" ref="E24:O24" si="22">"Revised target "&amp; E1&amp;"/"&amp;RIGHT(E1,2)+1</f>
        <v>Revised target 2010/11</v>
      </c>
      <c r="F24" s="637" t="str">
        <f t="shared" si="22"/>
        <v>Revised target 2011/12</v>
      </c>
      <c r="G24" s="637" t="str">
        <f t="shared" si="22"/>
        <v>Revised target 2012/13</v>
      </c>
      <c r="H24" s="637" t="str">
        <f t="shared" si="22"/>
        <v>Revised target 2013/14</v>
      </c>
      <c r="I24" s="637" t="str">
        <f t="shared" si="22"/>
        <v>Revised target 2014/15</v>
      </c>
      <c r="J24" s="637" t="str">
        <f t="shared" si="22"/>
        <v>Revised target 2015/16</v>
      </c>
      <c r="K24" s="637" t="str">
        <f t="shared" si="22"/>
        <v>Revised target 2016/17</v>
      </c>
      <c r="L24" s="637" t="str">
        <f t="shared" si="22"/>
        <v>Revised target 2017/18</v>
      </c>
      <c r="M24" s="637" t="str">
        <f t="shared" si="22"/>
        <v>Revised target 2018/19</v>
      </c>
      <c r="N24" s="637" t="str">
        <f t="shared" si="22"/>
        <v>Revised target 2019/20</v>
      </c>
      <c r="O24" s="637" t="str">
        <f t="shared" si="22"/>
        <v>Revised target 2020/21</v>
      </c>
      <c r="P24" s="628"/>
      <c r="Z24" s="634" t="s">
        <v>902</v>
      </c>
      <c r="AA24" s="634" t="s">
        <v>1114</v>
      </c>
      <c r="AB24" s="634" t="s">
        <v>864</v>
      </c>
      <c r="AD24" s="634" t="s">
        <v>1115</v>
      </c>
    </row>
    <row r="25" spans="1:30" ht="18" x14ac:dyDescent="0.25">
      <c r="A25" s="642" t="s">
        <v>1116</v>
      </c>
      <c r="Z25" s="634" t="s">
        <v>907</v>
      </c>
      <c r="AA25" s="634" t="s">
        <v>1117</v>
      </c>
      <c r="AB25" s="634" t="s">
        <v>865</v>
      </c>
      <c r="AD25" s="634" t="s">
        <v>1118</v>
      </c>
    </row>
    <row r="26" spans="1:30" x14ac:dyDescent="0.2">
      <c r="Z26" s="634" t="s">
        <v>925</v>
      </c>
      <c r="AA26" s="634" t="s">
        <v>1119</v>
      </c>
      <c r="AB26" s="634" t="s">
        <v>866</v>
      </c>
      <c r="AD26" s="634" t="s">
        <v>1120</v>
      </c>
    </row>
    <row r="27" spans="1:30" ht="12.75" x14ac:dyDescent="0.2">
      <c r="A27" s="643" t="s">
        <v>557</v>
      </c>
      <c r="B27" s="643">
        <v>1</v>
      </c>
      <c r="C27" s="643"/>
      <c r="D27" s="643"/>
      <c r="Z27" s="634" t="s">
        <v>185</v>
      </c>
      <c r="AA27" s="634" t="s">
        <v>1121</v>
      </c>
      <c r="AB27" s="634" t="s">
        <v>867</v>
      </c>
      <c r="AD27" s="634" t="s">
        <v>1122</v>
      </c>
    </row>
    <row r="28" spans="1:30" ht="12.75" x14ac:dyDescent="0.2">
      <c r="A28" s="643" t="s">
        <v>558</v>
      </c>
      <c r="B28" s="643" t="str">
        <f>INDEX(B29:B307,B27,1)</f>
        <v>Choose name from list</v>
      </c>
      <c r="C28" s="643"/>
      <c r="D28" s="643"/>
      <c r="Z28" s="634" t="s">
        <v>933</v>
      </c>
      <c r="AA28" s="634" t="s">
        <v>1123</v>
      </c>
      <c r="AB28" s="634" t="s">
        <v>868</v>
      </c>
      <c r="AD28" s="634" t="s">
        <v>1124</v>
      </c>
    </row>
    <row r="29" spans="1:30" ht="12.75" x14ac:dyDescent="0.2">
      <c r="A29" s="643"/>
      <c r="B29" s="643" t="s">
        <v>559</v>
      </c>
      <c r="C29" s="643" t="s">
        <v>560</v>
      </c>
      <c r="D29" s="643"/>
      <c r="Z29" s="634" t="s">
        <v>936</v>
      </c>
      <c r="AA29" s="634" t="s">
        <v>1125</v>
      </c>
      <c r="AB29" s="634" t="s">
        <v>869</v>
      </c>
      <c r="AD29" s="634" t="s">
        <v>1126</v>
      </c>
    </row>
    <row r="30" spans="1:30" ht="12.75" x14ac:dyDescent="0.2">
      <c r="A30" s="643"/>
      <c r="B30" s="648" t="s">
        <v>799</v>
      </c>
      <c r="C30" s="649" t="s">
        <v>1127</v>
      </c>
      <c r="D30" s="643"/>
      <c r="Z30" s="634" t="s">
        <v>937</v>
      </c>
      <c r="AA30" s="634" t="s">
        <v>1128</v>
      </c>
      <c r="AB30" s="634" t="s">
        <v>870</v>
      </c>
    </row>
    <row r="31" spans="1:30" ht="12.75" x14ac:dyDescent="0.2">
      <c r="A31" s="643"/>
      <c r="B31" s="648" t="s">
        <v>800</v>
      </c>
      <c r="C31" s="650" t="s">
        <v>1127</v>
      </c>
      <c r="D31" s="643"/>
      <c r="Z31" s="634" t="s">
        <v>948</v>
      </c>
      <c r="AA31" s="634" t="s">
        <v>1129</v>
      </c>
      <c r="AB31" s="634" t="s">
        <v>857</v>
      </c>
    </row>
    <row r="32" spans="1:30" ht="12.75" x14ac:dyDescent="0.2">
      <c r="A32" s="643"/>
      <c r="B32" s="648" t="s">
        <v>980</v>
      </c>
      <c r="C32" s="649" t="s">
        <v>1127</v>
      </c>
      <c r="D32" s="643"/>
      <c r="Z32" s="634" t="s">
        <v>951</v>
      </c>
      <c r="AA32" s="634" t="s">
        <v>89</v>
      </c>
      <c r="AB32" s="634" t="s">
        <v>872</v>
      </c>
    </row>
    <row r="33" spans="1:28" ht="12.75" x14ac:dyDescent="0.2">
      <c r="A33" s="643"/>
      <c r="B33" s="648" t="s">
        <v>595</v>
      </c>
      <c r="C33" s="649" t="s">
        <v>1127</v>
      </c>
      <c r="D33" s="643"/>
      <c r="Z33" s="634" t="s">
        <v>953</v>
      </c>
      <c r="AA33" s="634" t="s">
        <v>1130</v>
      </c>
      <c r="AB33" s="634" t="s">
        <v>873</v>
      </c>
    </row>
    <row r="34" spans="1:28" ht="12.75" x14ac:dyDescent="0.2">
      <c r="A34" s="643"/>
      <c r="B34" s="648" t="s">
        <v>596</v>
      </c>
      <c r="C34" s="649" t="s">
        <v>1127</v>
      </c>
      <c r="D34" s="643"/>
      <c r="Z34" s="634" t="s">
        <v>954</v>
      </c>
      <c r="AA34" s="634" t="s">
        <v>1131</v>
      </c>
      <c r="AB34" s="634" t="s">
        <v>874</v>
      </c>
    </row>
    <row r="35" spans="1:28" ht="12.75" x14ac:dyDescent="0.2">
      <c r="A35" s="643"/>
      <c r="B35" s="648" t="s">
        <v>597</v>
      </c>
      <c r="C35" s="649" t="s">
        <v>1127</v>
      </c>
      <c r="D35" s="643"/>
      <c r="Z35" s="634" t="s">
        <v>961</v>
      </c>
      <c r="AA35" s="634" t="s">
        <v>1132</v>
      </c>
      <c r="AB35" s="634" t="s">
        <v>875</v>
      </c>
    </row>
    <row r="36" spans="1:28" ht="12.75" x14ac:dyDescent="0.2">
      <c r="A36" s="643"/>
      <c r="B36" s="648" t="s">
        <v>598</v>
      </c>
      <c r="C36" s="649" t="s">
        <v>1127</v>
      </c>
      <c r="D36" s="643"/>
      <c r="Z36" s="634" t="s">
        <v>962</v>
      </c>
      <c r="AA36" s="634" t="s">
        <v>1133</v>
      </c>
      <c r="AB36" s="634" t="s">
        <v>876</v>
      </c>
    </row>
    <row r="37" spans="1:28" ht="12.75" x14ac:dyDescent="0.2">
      <c r="A37" s="643"/>
      <c r="B37" s="648" t="s">
        <v>599</v>
      </c>
      <c r="C37" s="650" t="s">
        <v>1127</v>
      </c>
      <c r="D37" s="643"/>
      <c r="Z37" s="634" t="s">
        <v>963</v>
      </c>
      <c r="AA37" s="634" t="s">
        <v>1134</v>
      </c>
      <c r="AB37" s="634" t="s">
        <v>877</v>
      </c>
    </row>
    <row r="38" spans="1:28" ht="12.75" x14ac:dyDescent="0.2">
      <c r="A38" s="643"/>
      <c r="B38" s="648" t="s">
        <v>789</v>
      </c>
      <c r="C38" s="649" t="s">
        <v>1127</v>
      </c>
      <c r="D38" s="643"/>
      <c r="Z38" s="634" t="s">
        <v>964</v>
      </c>
      <c r="AA38" s="634" t="s">
        <v>1135</v>
      </c>
      <c r="AB38" s="634" t="s">
        <v>878</v>
      </c>
    </row>
    <row r="39" spans="1:28" ht="12.75" x14ac:dyDescent="0.2">
      <c r="A39" s="643"/>
      <c r="B39" s="648" t="s">
        <v>836</v>
      </c>
      <c r="C39" s="651" t="s">
        <v>1127</v>
      </c>
      <c r="D39" s="643"/>
      <c r="Z39" s="634" t="s">
        <v>979</v>
      </c>
      <c r="AA39" s="634" t="s">
        <v>1136</v>
      </c>
      <c r="AB39" s="634" t="s">
        <v>879</v>
      </c>
    </row>
    <row r="40" spans="1:28" ht="12.75" x14ac:dyDescent="0.2">
      <c r="A40" s="643"/>
      <c r="B40" s="648" t="s">
        <v>600</v>
      </c>
      <c r="C40" s="651" t="s">
        <v>1127</v>
      </c>
      <c r="D40" s="643"/>
      <c r="Z40" s="634" t="s">
        <v>965</v>
      </c>
      <c r="AA40" s="634" t="s">
        <v>1137</v>
      </c>
      <c r="AB40" s="634" t="s">
        <v>880</v>
      </c>
    </row>
    <row r="41" spans="1:28" ht="12.75" x14ac:dyDescent="0.2">
      <c r="A41" s="643"/>
      <c r="B41" s="648" t="s">
        <v>601</v>
      </c>
      <c r="C41" s="652" t="s">
        <v>1127</v>
      </c>
      <c r="D41" s="643"/>
      <c r="AA41" s="634" t="s">
        <v>1138</v>
      </c>
      <c r="AB41" s="634" t="s">
        <v>857</v>
      </c>
    </row>
    <row r="42" spans="1:28" ht="12.75" x14ac:dyDescent="0.2">
      <c r="A42" s="643"/>
      <c r="B42" s="648" t="s">
        <v>602</v>
      </c>
      <c r="C42" s="652" t="s">
        <v>1127</v>
      </c>
      <c r="D42" s="643"/>
      <c r="AA42" s="634" t="s">
        <v>1139</v>
      </c>
      <c r="AB42" s="634" t="s">
        <v>882</v>
      </c>
    </row>
    <row r="43" spans="1:28" ht="12.75" x14ac:dyDescent="0.2">
      <c r="A43" s="643"/>
      <c r="B43" s="648" t="s">
        <v>603</v>
      </c>
      <c r="C43" s="652" t="s">
        <v>1127</v>
      </c>
      <c r="D43" s="643"/>
      <c r="AA43" s="634" t="s">
        <v>1140</v>
      </c>
      <c r="AB43" s="634" t="s">
        <v>497</v>
      </c>
    </row>
    <row r="44" spans="1:28" ht="12.75" x14ac:dyDescent="0.2">
      <c r="A44" s="643"/>
      <c r="B44" s="648" t="s">
        <v>604</v>
      </c>
      <c r="C44" s="652" t="s">
        <v>1127</v>
      </c>
      <c r="D44" s="643"/>
      <c r="AA44" s="634" t="s">
        <v>1141</v>
      </c>
      <c r="AB44" s="634" t="s">
        <v>883</v>
      </c>
    </row>
    <row r="45" spans="1:28" ht="12.75" x14ac:dyDescent="0.2">
      <c r="A45" s="643"/>
      <c r="B45" s="653" t="s">
        <v>840</v>
      </c>
      <c r="C45" s="652" t="s">
        <v>1127</v>
      </c>
      <c r="D45" s="643"/>
      <c r="AA45" s="634" t="s">
        <v>1142</v>
      </c>
      <c r="AB45" s="634" t="s">
        <v>884</v>
      </c>
    </row>
    <row r="46" spans="1:28" ht="12.75" x14ac:dyDescent="0.2">
      <c r="A46" s="643"/>
      <c r="B46" s="648" t="s">
        <v>562</v>
      </c>
      <c r="C46" s="652" t="s">
        <v>1127</v>
      </c>
      <c r="D46" s="643"/>
      <c r="AA46" s="634" t="s">
        <v>1143</v>
      </c>
      <c r="AB46" s="634" t="s">
        <v>885</v>
      </c>
    </row>
    <row r="47" spans="1:28" ht="12.75" x14ac:dyDescent="0.2">
      <c r="A47" s="643"/>
      <c r="B47" s="648" t="s">
        <v>605</v>
      </c>
      <c r="C47" s="652" t="s">
        <v>1127</v>
      </c>
      <c r="D47" s="643"/>
      <c r="AA47" s="634" t="s">
        <v>1144</v>
      </c>
      <c r="AB47" s="634" t="s">
        <v>857</v>
      </c>
    </row>
    <row r="48" spans="1:28" ht="12.75" x14ac:dyDescent="0.2">
      <c r="A48" s="643"/>
      <c r="B48" s="648" t="s">
        <v>606</v>
      </c>
      <c r="C48" s="652" t="s">
        <v>1127</v>
      </c>
      <c r="D48" s="643"/>
      <c r="AA48" s="634" t="s">
        <v>1145</v>
      </c>
      <c r="AB48" s="634" t="s">
        <v>887</v>
      </c>
    </row>
    <row r="49" spans="1:28" ht="12.75" x14ac:dyDescent="0.2">
      <c r="A49" s="643"/>
      <c r="B49" s="648" t="s">
        <v>837</v>
      </c>
      <c r="C49" s="652" t="s">
        <v>1127</v>
      </c>
      <c r="D49" s="643"/>
      <c r="AA49" s="634" t="s">
        <v>1146</v>
      </c>
      <c r="AB49" s="634" t="s">
        <v>888</v>
      </c>
    </row>
    <row r="50" spans="1:28" ht="12.75" x14ac:dyDescent="0.2">
      <c r="A50" s="643"/>
      <c r="B50" s="648" t="s">
        <v>607</v>
      </c>
      <c r="C50" s="652" t="s">
        <v>1127</v>
      </c>
      <c r="D50" s="643"/>
      <c r="AA50" s="634" t="s">
        <v>1147</v>
      </c>
      <c r="AB50" s="634" t="s">
        <v>889</v>
      </c>
    </row>
    <row r="51" spans="1:28" ht="12.75" x14ac:dyDescent="0.2">
      <c r="A51" s="643"/>
      <c r="B51" s="648" t="s">
        <v>608</v>
      </c>
      <c r="C51" s="651" t="s">
        <v>1127</v>
      </c>
      <c r="D51" s="643"/>
      <c r="AA51" s="634" t="s">
        <v>10</v>
      </c>
      <c r="AB51" s="634" t="s">
        <v>890</v>
      </c>
    </row>
    <row r="52" spans="1:28" ht="12.75" x14ac:dyDescent="0.2">
      <c r="A52" s="643"/>
      <c r="B52" s="653" t="s">
        <v>841</v>
      </c>
      <c r="C52" s="651" t="s">
        <v>1127</v>
      </c>
      <c r="D52" s="643"/>
      <c r="AA52" s="634" t="s">
        <v>11</v>
      </c>
      <c r="AB52" s="634" t="s">
        <v>891</v>
      </c>
    </row>
    <row r="53" spans="1:28" ht="12.75" x14ac:dyDescent="0.2">
      <c r="A53" s="643"/>
      <c r="B53" s="648" t="s">
        <v>563</v>
      </c>
      <c r="C53" s="651" t="s">
        <v>1127</v>
      </c>
      <c r="D53" s="643"/>
      <c r="AA53" s="634" t="s">
        <v>1148</v>
      </c>
      <c r="AB53" s="634" t="s">
        <v>892</v>
      </c>
    </row>
    <row r="54" spans="1:28" ht="12.75" x14ac:dyDescent="0.2">
      <c r="A54" s="643"/>
      <c r="B54" s="648" t="s">
        <v>609</v>
      </c>
      <c r="C54" s="651" t="s">
        <v>1127</v>
      </c>
      <c r="D54" s="643"/>
      <c r="AA54" s="634" t="s">
        <v>1149</v>
      </c>
      <c r="AB54" s="634" t="s">
        <v>857</v>
      </c>
    </row>
    <row r="55" spans="1:28" ht="12.75" x14ac:dyDescent="0.2">
      <c r="A55" s="643"/>
      <c r="B55" s="648" t="s">
        <v>610</v>
      </c>
      <c r="C55" s="651" t="s">
        <v>1127</v>
      </c>
      <c r="D55" s="643"/>
      <c r="AA55" s="634" t="s">
        <v>1150</v>
      </c>
      <c r="AB55" s="634" t="s">
        <v>894</v>
      </c>
    </row>
    <row r="56" spans="1:28" ht="12.75" x14ac:dyDescent="0.2">
      <c r="A56" s="643"/>
      <c r="B56" s="653" t="s">
        <v>842</v>
      </c>
      <c r="C56" s="651" t="s">
        <v>1127</v>
      </c>
      <c r="D56" s="643"/>
      <c r="AA56" s="634" t="s">
        <v>1151</v>
      </c>
      <c r="AB56" s="634" t="s">
        <v>895</v>
      </c>
    </row>
    <row r="57" spans="1:28" ht="12.75" x14ac:dyDescent="0.2">
      <c r="A57" s="643"/>
      <c r="B57" s="648" t="s">
        <v>787</v>
      </c>
      <c r="C57" s="651" t="s">
        <v>1127</v>
      </c>
      <c r="D57" s="643"/>
      <c r="AA57" s="634" t="s">
        <v>1152</v>
      </c>
      <c r="AB57" s="634" t="s">
        <v>896</v>
      </c>
    </row>
    <row r="58" spans="1:28" ht="12.75" x14ac:dyDescent="0.2">
      <c r="A58" s="643"/>
      <c r="B58" s="648" t="s">
        <v>611</v>
      </c>
      <c r="C58" s="410" t="s">
        <v>1127</v>
      </c>
      <c r="D58" s="643"/>
      <c r="AA58" s="634" t="s">
        <v>229</v>
      </c>
      <c r="AB58" s="634" t="s">
        <v>859</v>
      </c>
    </row>
    <row r="59" spans="1:28" ht="12.75" x14ac:dyDescent="0.2">
      <c r="A59" s="643"/>
      <c r="B59" s="648" t="s">
        <v>612</v>
      </c>
      <c r="C59" s="410" t="s">
        <v>1127</v>
      </c>
      <c r="D59" s="643"/>
      <c r="AB59" s="634" t="s">
        <v>860</v>
      </c>
    </row>
    <row r="60" spans="1:28" ht="12.75" x14ac:dyDescent="0.2">
      <c r="A60" s="643"/>
      <c r="B60" s="648" t="s">
        <v>613</v>
      </c>
      <c r="C60" s="651" t="s">
        <v>1127</v>
      </c>
      <c r="D60" s="643"/>
      <c r="Z60" s="625" t="s">
        <v>1153</v>
      </c>
      <c r="AA60" s="625"/>
      <c r="AB60" s="634" t="s">
        <v>861</v>
      </c>
    </row>
    <row r="61" spans="1:28" ht="12.75" x14ac:dyDescent="0.2">
      <c r="A61" s="643"/>
      <c r="B61" s="648" t="s">
        <v>614</v>
      </c>
      <c r="C61" s="651" t="s">
        <v>1127</v>
      </c>
      <c r="D61" s="643"/>
      <c r="Z61" s="646" t="s">
        <v>1154</v>
      </c>
      <c r="AA61" s="646" t="s">
        <v>1155</v>
      </c>
      <c r="AB61" s="634" t="s">
        <v>867</v>
      </c>
    </row>
    <row r="62" spans="1:28" ht="12.75" x14ac:dyDescent="0.2">
      <c r="A62" s="643"/>
      <c r="B62" s="648" t="s">
        <v>615</v>
      </c>
      <c r="C62" s="651" t="s">
        <v>1127</v>
      </c>
      <c r="D62" s="643"/>
      <c r="Z62" s="647" t="s">
        <v>539</v>
      </c>
      <c r="AA62" s="647" t="s">
        <v>1156</v>
      </c>
      <c r="AB62" s="634" t="s">
        <v>870</v>
      </c>
    </row>
    <row r="63" spans="1:28" ht="12.75" x14ac:dyDescent="0.2">
      <c r="A63" s="643"/>
      <c r="B63" s="648" t="s">
        <v>564</v>
      </c>
      <c r="C63" s="651" t="s">
        <v>1127</v>
      </c>
      <c r="D63" s="643"/>
      <c r="Z63" s="647" t="s">
        <v>540</v>
      </c>
      <c r="AA63" s="647" t="s">
        <v>1064</v>
      </c>
      <c r="AB63" s="634" t="s">
        <v>857</v>
      </c>
    </row>
    <row r="64" spans="1:28" ht="12.75" x14ac:dyDescent="0.2">
      <c r="A64" s="643"/>
      <c r="B64" s="648" t="s">
        <v>616</v>
      </c>
      <c r="C64" s="652" t="s">
        <v>1127</v>
      </c>
      <c r="D64" s="643"/>
      <c r="AB64" s="634" t="s">
        <v>898</v>
      </c>
    </row>
    <row r="65" spans="1:28" ht="12.75" x14ac:dyDescent="0.2">
      <c r="A65" s="643"/>
      <c r="B65" s="648" t="s">
        <v>617</v>
      </c>
      <c r="C65" s="651" t="s">
        <v>1127</v>
      </c>
      <c r="D65" s="643"/>
      <c r="AB65" s="634" t="s">
        <v>899</v>
      </c>
    </row>
    <row r="66" spans="1:28" ht="12.75" x14ac:dyDescent="0.2">
      <c r="A66" s="643"/>
      <c r="B66" s="648" t="s">
        <v>801</v>
      </c>
      <c r="C66" s="651" t="s">
        <v>1127</v>
      </c>
      <c r="D66" s="643"/>
      <c r="Z66" s="625" t="s">
        <v>1157</v>
      </c>
      <c r="AB66" s="634" t="s">
        <v>900</v>
      </c>
    </row>
    <row r="67" spans="1:28" ht="12.75" x14ac:dyDescent="0.2">
      <c r="A67" s="643"/>
      <c r="B67" s="648" t="s">
        <v>802</v>
      </c>
      <c r="C67" s="651" t="s">
        <v>1127</v>
      </c>
      <c r="D67" s="643"/>
      <c r="Z67" s="634" t="s">
        <v>539</v>
      </c>
      <c r="AB67" s="634" t="s">
        <v>901</v>
      </c>
    </row>
    <row r="68" spans="1:28" ht="12.75" x14ac:dyDescent="0.2">
      <c r="A68" s="643"/>
      <c r="B68" s="648" t="s">
        <v>590</v>
      </c>
      <c r="C68" s="651" t="s">
        <v>1127</v>
      </c>
      <c r="D68" s="643"/>
      <c r="Z68" s="634" t="s">
        <v>540</v>
      </c>
      <c r="AB68" s="634" t="s">
        <v>857</v>
      </c>
    </row>
    <row r="69" spans="1:28" ht="12.75" x14ac:dyDescent="0.2">
      <c r="A69" s="643"/>
      <c r="B69" s="648" t="s">
        <v>803</v>
      </c>
      <c r="C69" s="651" t="s">
        <v>1158</v>
      </c>
      <c r="D69" s="643"/>
      <c r="AB69" s="634" t="s">
        <v>903</v>
      </c>
    </row>
    <row r="70" spans="1:28" ht="12.75" x14ac:dyDescent="0.2">
      <c r="A70" s="643"/>
      <c r="B70" s="648" t="s">
        <v>618</v>
      </c>
      <c r="C70" s="651" t="s">
        <v>1158</v>
      </c>
      <c r="D70" s="643"/>
      <c r="AB70" s="634" t="s">
        <v>904</v>
      </c>
    </row>
    <row r="71" spans="1:28" ht="12.75" x14ac:dyDescent="0.2">
      <c r="A71" s="643"/>
      <c r="B71" s="648" t="s">
        <v>619</v>
      </c>
      <c r="C71" s="651" t="s">
        <v>1158</v>
      </c>
      <c r="D71" s="643"/>
      <c r="AB71" s="634" t="s">
        <v>905</v>
      </c>
    </row>
    <row r="72" spans="1:28" ht="12.75" x14ac:dyDescent="0.2">
      <c r="A72" s="643"/>
      <c r="B72" s="648" t="s">
        <v>620</v>
      </c>
      <c r="C72" s="651" t="s">
        <v>1158</v>
      </c>
      <c r="D72" s="643"/>
      <c r="AB72" s="634" t="s">
        <v>857</v>
      </c>
    </row>
    <row r="73" spans="1:28" ht="12.75" x14ac:dyDescent="0.2">
      <c r="A73" s="643"/>
      <c r="B73" s="648" t="s">
        <v>565</v>
      </c>
      <c r="C73" s="651" t="s">
        <v>1158</v>
      </c>
      <c r="D73" s="643"/>
      <c r="AB73" s="634" t="s">
        <v>908</v>
      </c>
    </row>
    <row r="74" spans="1:28" ht="12.75" x14ac:dyDescent="0.2">
      <c r="A74" s="643"/>
      <c r="B74" s="648" t="s">
        <v>621</v>
      </c>
      <c r="C74" s="651" t="s">
        <v>1158</v>
      </c>
      <c r="D74" s="643"/>
      <c r="AB74" s="634" t="s">
        <v>909</v>
      </c>
    </row>
    <row r="75" spans="1:28" ht="12.75" x14ac:dyDescent="0.2">
      <c r="A75" s="643"/>
      <c r="B75" s="648" t="s">
        <v>622</v>
      </c>
      <c r="C75" s="651" t="s">
        <v>1158</v>
      </c>
      <c r="D75" s="643"/>
      <c r="AB75" s="634" t="s">
        <v>910</v>
      </c>
    </row>
    <row r="76" spans="1:28" ht="12.75" x14ac:dyDescent="0.2">
      <c r="A76" s="643"/>
      <c r="B76" s="648" t="s">
        <v>623</v>
      </c>
      <c r="C76" s="651" t="s">
        <v>1158</v>
      </c>
      <c r="D76" s="643"/>
      <c r="AB76" s="634" t="s">
        <v>911</v>
      </c>
    </row>
    <row r="77" spans="1:28" ht="12.75" x14ac:dyDescent="0.2">
      <c r="A77" s="643"/>
      <c r="B77" s="648" t="s">
        <v>624</v>
      </c>
      <c r="C77" s="651" t="s">
        <v>1158</v>
      </c>
      <c r="D77" s="643"/>
      <c r="AB77" s="634" t="s">
        <v>912</v>
      </c>
    </row>
    <row r="78" spans="1:28" ht="12.75" x14ac:dyDescent="0.2">
      <c r="A78" s="643"/>
      <c r="B78" s="648" t="s">
        <v>625</v>
      </c>
      <c r="C78" s="651" t="s">
        <v>1158</v>
      </c>
      <c r="D78" s="643"/>
      <c r="AB78" s="634" t="s">
        <v>913</v>
      </c>
    </row>
    <row r="79" spans="1:28" ht="12.75" x14ac:dyDescent="0.2">
      <c r="A79" s="643"/>
      <c r="B79" s="648" t="s">
        <v>566</v>
      </c>
      <c r="C79" s="651" t="s">
        <v>1158</v>
      </c>
      <c r="D79" s="643"/>
      <c r="AB79" s="634" t="s">
        <v>914</v>
      </c>
    </row>
    <row r="80" spans="1:28" ht="12.75" x14ac:dyDescent="0.2">
      <c r="A80" s="643"/>
      <c r="B80" s="648" t="s">
        <v>626</v>
      </c>
      <c r="C80" s="651" t="s">
        <v>1158</v>
      </c>
      <c r="D80" s="643"/>
      <c r="AB80" s="634" t="s">
        <v>915</v>
      </c>
    </row>
    <row r="81" spans="1:28" ht="12.75" x14ac:dyDescent="0.2">
      <c r="A81" s="643"/>
      <c r="B81" s="648" t="s">
        <v>627</v>
      </c>
      <c r="C81" s="651" t="s">
        <v>1158</v>
      </c>
      <c r="D81" s="643"/>
      <c r="AB81" s="634" t="s">
        <v>916</v>
      </c>
    </row>
    <row r="82" spans="1:28" ht="12.75" x14ac:dyDescent="0.2">
      <c r="A82" s="643"/>
      <c r="B82" s="648" t="s">
        <v>628</v>
      </c>
      <c r="C82" s="651" t="s">
        <v>1158</v>
      </c>
      <c r="D82" s="643"/>
      <c r="AB82" s="634" t="s">
        <v>89</v>
      </c>
    </row>
    <row r="83" spans="1:28" ht="12.75" x14ac:dyDescent="0.2">
      <c r="A83" s="643"/>
      <c r="B83" s="648" t="s">
        <v>629</v>
      </c>
      <c r="C83" s="651" t="s">
        <v>1158</v>
      </c>
      <c r="D83" s="643"/>
      <c r="AB83" s="634" t="s">
        <v>917</v>
      </c>
    </row>
    <row r="84" spans="1:28" ht="12.75" x14ac:dyDescent="0.2">
      <c r="A84" s="643"/>
      <c r="B84" s="648" t="s">
        <v>630</v>
      </c>
      <c r="C84" s="651" t="s">
        <v>1158</v>
      </c>
      <c r="D84" s="643"/>
      <c r="AB84" s="634" t="s">
        <v>918</v>
      </c>
    </row>
    <row r="85" spans="1:28" ht="12.75" x14ac:dyDescent="0.2">
      <c r="A85" s="643"/>
      <c r="B85" s="648" t="s">
        <v>804</v>
      </c>
      <c r="C85" s="651" t="s">
        <v>1158</v>
      </c>
      <c r="D85" s="643"/>
      <c r="AB85" s="634" t="s">
        <v>1159</v>
      </c>
    </row>
    <row r="86" spans="1:28" ht="12.75" x14ac:dyDescent="0.2">
      <c r="A86" s="643"/>
      <c r="B86" s="648" t="s">
        <v>567</v>
      </c>
      <c r="C86" s="651" t="s">
        <v>1158</v>
      </c>
      <c r="D86" s="643"/>
      <c r="AB86" s="634" t="s">
        <v>919</v>
      </c>
    </row>
    <row r="87" spans="1:28" ht="12.75" x14ac:dyDescent="0.2">
      <c r="A87" s="643"/>
      <c r="B87" s="648" t="s">
        <v>631</v>
      </c>
      <c r="C87" s="651" t="s">
        <v>1158</v>
      </c>
      <c r="D87" s="643"/>
      <c r="AB87" s="634" t="s">
        <v>920</v>
      </c>
    </row>
    <row r="88" spans="1:28" ht="12.75" x14ac:dyDescent="0.2">
      <c r="A88" s="643"/>
      <c r="B88" s="648" t="s">
        <v>632</v>
      </c>
      <c r="C88" s="651" t="s">
        <v>1158</v>
      </c>
      <c r="D88" s="643"/>
      <c r="AB88" s="634" t="s">
        <v>921</v>
      </c>
    </row>
    <row r="89" spans="1:28" ht="12.75" x14ac:dyDescent="0.2">
      <c r="A89" s="643"/>
      <c r="B89" s="648" t="s">
        <v>633</v>
      </c>
      <c r="C89" s="651" t="s">
        <v>1158</v>
      </c>
      <c r="D89" s="643"/>
      <c r="AB89" s="634" t="s">
        <v>11</v>
      </c>
    </row>
    <row r="90" spans="1:28" ht="12.75" x14ac:dyDescent="0.2">
      <c r="A90" s="643"/>
      <c r="B90" s="648" t="s">
        <v>634</v>
      </c>
      <c r="C90" s="651" t="s">
        <v>1158</v>
      </c>
      <c r="D90" s="643"/>
      <c r="AB90" s="634" t="s">
        <v>922</v>
      </c>
    </row>
    <row r="91" spans="1:28" ht="12.75" x14ac:dyDescent="0.2">
      <c r="A91" s="643"/>
      <c r="B91" s="648" t="s">
        <v>568</v>
      </c>
      <c r="C91" s="651" t="s">
        <v>1158</v>
      </c>
      <c r="D91" s="643"/>
      <c r="AB91" s="634" t="s">
        <v>10</v>
      </c>
    </row>
    <row r="92" spans="1:28" ht="12.75" x14ac:dyDescent="0.2">
      <c r="A92" s="643"/>
      <c r="B92" s="648" t="s">
        <v>981</v>
      </c>
      <c r="C92" s="651" t="s">
        <v>1160</v>
      </c>
      <c r="D92" s="643"/>
      <c r="AB92" s="634" t="s">
        <v>923</v>
      </c>
    </row>
    <row r="93" spans="1:28" ht="12.75" x14ac:dyDescent="0.2">
      <c r="A93" s="643"/>
      <c r="B93" s="648" t="s">
        <v>805</v>
      </c>
      <c r="C93" s="651" t="s">
        <v>1160</v>
      </c>
      <c r="D93" s="643"/>
      <c r="AB93" s="634" t="s">
        <v>924</v>
      </c>
    </row>
    <row r="94" spans="1:28" ht="12.75" x14ac:dyDescent="0.2">
      <c r="A94" s="643"/>
      <c r="B94" s="648" t="s">
        <v>806</v>
      </c>
      <c r="C94" s="651" t="s">
        <v>1160</v>
      </c>
      <c r="D94" s="643"/>
      <c r="AB94" s="634" t="s">
        <v>857</v>
      </c>
    </row>
    <row r="95" spans="1:28" ht="12.75" x14ac:dyDescent="0.2">
      <c r="A95" s="643"/>
      <c r="B95" s="648" t="s">
        <v>635</v>
      </c>
      <c r="C95" s="651" t="s">
        <v>1160</v>
      </c>
      <c r="D95" s="643"/>
      <c r="AB95" s="634" t="s">
        <v>926</v>
      </c>
    </row>
    <row r="96" spans="1:28" ht="12.75" x14ac:dyDescent="0.2">
      <c r="A96" s="643"/>
      <c r="B96" s="648" t="s">
        <v>636</v>
      </c>
      <c r="C96" s="651" t="s">
        <v>1160</v>
      </c>
      <c r="D96" s="643"/>
      <c r="AB96" s="634" t="s">
        <v>927</v>
      </c>
    </row>
    <row r="97" spans="1:28" ht="12.75" x14ac:dyDescent="0.2">
      <c r="A97" s="643"/>
      <c r="B97" s="648" t="s">
        <v>637</v>
      </c>
      <c r="C97" s="651" t="s">
        <v>1160</v>
      </c>
      <c r="D97" s="643"/>
      <c r="AB97" s="634" t="s">
        <v>857</v>
      </c>
    </row>
    <row r="98" spans="1:28" ht="12.75" x14ac:dyDescent="0.2">
      <c r="A98" s="643"/>
      <c r="B98" s="648" t="s">
        <v>589</v>
      </c>
      <c r="C98" s="651" t="s">
        <v>1160</v>
      </c>
      <c r="D98" s="643"/>
      <c r="AB98" s="634" t="s">
        <v>928</v>
      </c>
    </row>
    <row r="99" spans="1:28" ht="12.75" x14ac:dyDescent="0.2">
      <c r="A99" s="643"/>
      <c r="B99" s="648" t="s">
        <v>638</v>
      </c>
      <c r="C99" s="651" t="s">
        <v>1160</v>
      </c>
      <c r="D99" s="643"/>
      <c r="AB99" s="634" t="s">
        <v>929</v>
      </c>
    </row>
    <row r="100" spans="1:28" ht="12.75" x14ac:dyDescent="0.2">
      <c r="A100" s="643"/>
      <c r="B100" s="648" t="s">
        <v>790</v>
      </c>
      <c r="C100" s="651" t="s">
        <v>1160</v>
      </c>
      <c r="D100" s="643"/>
      <c r="AB100" s="634" t="s">
        <v>930</v>
      </c>
    </row>
    <row r="101" spans="1:28" ht="12.75" x14ac:dyDescent="0.2">
      <c r="A101" s="643"/>
      <c r="B101" s="653" t="s">
        <v>982</v>
      </c>
      <c r="C101" s="651" t="s">
        <v>1160</v>
      </c>
      <c r="D101" s="643"/>
      <c r="AB101" s="634" t="s">
        <v>931</v>
      </c>
    </row>
    <row r="102" spans="1:28" ht="12.75" x14ac:dyDescent="0.2">
      <c r="A102" s="643"/>
      <c r="B102" s="648" t="s">
        <v>591</v>
      </c>
      <c r="C102" s="651" t="s">
        <v>1160</v>
      </c>
      <c r="D102" s="643"/>
      <c r="AB102" s="634" t="s">
        <v>932</v>
      </c>
    </row>
    <row r="103" spans="1:28" ht="12.75" x14ac:dyDescent="0.2">
      <c r="A103" s="643"/>
      <c r="B103" s="648" t="s">
        <v>807</v>
      </c>
      <c r="C103" s="651" t="s">
        <v>1161</v>
      </c>
      <c r="D103" s="643"/>
      <c r="AB103" s="634" t="s">
        <v>934</v>
      </c>
    </row>
    <row r="104" spans="1:28" ht="12.75" x14ac:dyDescent="0.2">
      <c r="A104" s="643"/>
      <c r="B104" s="648" t="s">
        <v>639</v>
      </c>
      <c r="C104" s="651" t="s">
        <v>1161</v>
      </c>
      <c r="D104" s="643"/>
      <c r="AB104" s="634" t="s">
        <v>935</v>
      </c>
    </row>
    <row r="105" spans="1:28" ht="12.75" x14ac:dyDescent="0.2">
      <c r="A105" s="643"/>
      <c r="B105" s="648" t="s">
        <v>640</v>
      </c>
      <c r="C105" s="649" t="s">
        <v>1161</v>
      </c>
      <c r="D105" s="643"/>
      <c r="AB105" s="634" t="s">
        <v>938</v>
      </c>
    </row>
    <row r="106" spans="1:28" ht="12.75" x14ac:dyDescent="0.2">
      <c r="A106" s="643"/>
      <c r="B106" s="648" t="s">
        <v>641</v>
      </c>
      <c r="C106" s="649" t="s">
        <v>1161</v>
      </c>
      <c r="D106" s="643"/>
      <c r="AB106" s="634" t="s">
        <v>939</v>
      </c>
    </row>
    <row r="107" spans="1:28" ht="12.75" x14ac:dyDescent="0.2">
      <c r="A107" s="643"/>
      <c r="B107" s="648" t="s">
        <v>848</v>
      </c>
      <c r="C107" s="649" t="s">
        <v>1161</v>
      </c>
      <c r="D107" s="643"/>
      <c r="AB107" s="634" t="s">
        <v>940</v>
      </c>
    </row>
    <row r="108" spans="1:28" ht="12.75" x14ac:dyDescent="0.2">
      <c r="A108" s="643"/>
      <c r="B108" s="648" t="s">
        <v>569</v>
      </c>
      <c r="C108" s="649" t="s">
        <v>1161</v>
      </c>
      <c r="D108" s="643"/>
      <c r="AB108" s="634" t="s">
        <v>941</v>
      </c>
    </row>
    <row r="109" spans="1:28" ht="12.75" x14ac:dyDescent="0.2">
      <c r="A109" s="643"/>
      <c r="B109" s="648" t="s">
        <v>642</v>
      </c>
      <c r="C109" s="649" t="s">
        <v>1161</v>
      </c>
      <c r="D109" s="643"/>
      <c r="AB109" s="634" t="s">
        <v>942</v>
      </c>
    </row>
    <row r="110" spans="1:28" ht="12.75" x14ac:dyDescent="0.2">
      <c r="A110" s="643"/>
      <c r="B110" s="648" t="s">
        <v>643</v>
      </c>
      <c r="C110" s="649" t="s">
        <v>1161</v>
      </c>
      <c r="D110" s="643"/>
      <c r="AB110" s="634" t="s">
        <v>943</v>
      </c>
    </row>
    <row r="111" spans="1:28" ht="12.75" x14ac:dyDescent="0.2">
      <c r="A111" s="643"/>
      <c r="B111" s="648" t="s">
        <v>644</v>
      </c>
      <c r="C111" s="649" t="s">
        <v>1161</v>
      </c>
      <c r="D111" s="643"/>
      <c r="AB111" s="634" t="s">
        <v>944</v>
      </c>
    </row>
    <row r="112" spans="1:28" ht="12.75" x14ac:dyDescent="0.2">
      <c r="A112" s="643"/>
      <c r="B112" s="648" t="s">
        <v>645</v>
      </c>
      <c r="C112" s="649" t="s">
        <v>1161</v>
      </c>
      <c r="D112" s="643"/>
      <c r="AB112" s="634" t="s">
        <v>945</v>
      </c>
    </row>
    <row r="113" spans="1:28" ht="12.75" x14ac:dyDescent="0.2">
      <c r="A113" s="643"/>
      <c r="B113" s="648" t="s">
        <v>646</v>
      </c>
      <c r="C113" s="649" t="s">
        <v>1161</v>
      </c>
      <c r="D113" s="643"/>
      <c r="AB113" s="634" t="s">
        <v>946</v>
      </c>
    </row>
    <row r="114" spans="1:28" ht="12.75" x14ac:dyDescent="0.2">
      <c r="A114" s="643"/>
      <c r="B114" s="648" t="s">
        <v>647</v>
      </c>
      <c r="C114" s="649" t="s">
        <v>1161</v>
      </c>
      <c r="D114" s="643"/>
      <c r="AB114" s="634" t="s">
        <v>947</v>
      </c>
    </row>
    <row r="115" spans="1:28" ht="12.75" x14ac:dyDescent="0.2">
      <c r="A115" s="643"/>
      <c r="B115" s="648" t="s">
        <v>648</v>
      </c>
      <c r="C115" s="649" t="s">
        <v>1161</v>
      </c>
      <c r="D115" s="643"/>
      <c r="AB115" s="634" t="s">
        <v>857</v>
      </c>
    </row>
    <row r="116" spans="1:28" ht="12.75" x14ac:dyDescent="0.2">
      <c r="A116" s="643"/>
      <c r="B116" s="648" t="s">
        <v>570</v>
      </c>
      <c r="C116" s="649" t="s">
        <v>1161</v>
      </c>
      <c r="D116" s="643"/>
      <c r="AB116" s="634" t="s">
        <v>949</v>
      </c>
    </row>
    <row r="117" spans="1:28" ht="12.75" x14ac:dyDescent="0.2">
      <c r="A117" s="643"/>
      <c r="B117" s="648" t="s">
        <v>649</v>
      </c>
      <c r="C117" s="649" t="s">
        <v>1161</v>
      </c>
      <c r="D117" s="643"/>
      <c r="AB117" s="634" t="s">
        <v>950</v>
      </c>
    </row>
    <row r="118" spans="1:28" ht="12.75" x14ac:dyDescent="0.2">
      <c r="A118" s="643"/>
      <c r="B118" s="653" t="s">
        <v>843</v>
      </c>
      <c r="C118" s="649" t="s">
        <v>1161</v>
      </c>
      <c r="D118" s="643"/>
      <c r="AB118" s="634" t="s">
        <v>857</v>
      </c>
    </row>
    <row r="119" spans="1:28" ht="12.75" x14ac:dyDescent="0.2">
      <c r="A119" s="643"/>
      <c r="B119" s="653" t="s">
        <v>844</v>
      </c>
      <c r="C119" s="649" t="s">
        <v>1161</v>
      </c>
      <c r="D119" s="643"/>
      <c r="AB119" s="634" t="s">
        <v>955</v>
      </c>
    </row>
    <row r="120" spans="1:28" ht="12.75" x14ac:dyDescent="0.2">
      <c r="A120" s="643"/>
      <c r="B120" s="648" t="s">
        <v>571</v>
      </c>
      <c r="C120" s="649" t="s">
        <v>1161</v>
      </c>
      <c r="D120" s="643"/>
      <c r="AB120" s="634" t="s">
        <v>956</v>
      </c>
    </row>
    <row r="121" spans="1:28" ht="12.75" x14ac:dyDescent="0.2">
      <c r="A121" s="643"/>
      <c r="B121" s="648" t="s">
        <v>650</v>
      </c>
      <c r="C121" s="649" t="s">
        <v>1161</v>
      </c>
      <c r="D121" s="643"/>
      <c r="AB121" s="634" t="s">
        <v>957</v>
      </c>
    </row>
    <row r="122" spans="1:28" ht="12.75" x14ac:dyDescent="0.2">
      <c r="A122" s="643"/>
      <c r="B122" s="648" t="s">
        <v>651</v>
      </c>
      <c r="C122" s="649" t="s">
        <v>1161</v>
      </c>
      <c r="D122" s="643"/>
      <c r="AB122" s="634" t="s">
        <v>958</v>
      </c>
    </row>
    <row r="123" spans="1:28" ht="12.75" x14ac:dyDescent="0.2">
      <c r="A123" s="643"/>
      <c r="B123" s="648" t="s">
        <v>652</v>
      </c>
      <c r="C123" s="649" t="s">
        <v>1161</v>
      </c>
      <c r="D123" s="643"/>
      <c r="AB123" s="634" t="s">
        <v>959</v>
      </c>
    </row>
    <row r="124" spans="1:28" ht="12.75" x14ac:dyDescent="0.2">
      <c r="A124" s="643"/>
      <c r="B124" s="648" t="s">
        <v>653</v>
      </c>
      <c r="C124" s="649" t="s">
        <v>1161</v>
      </c>
      <c r="D124" s="643"/>
      <c r="AB124" s="634" t="s">
        <v>960</v>
      </c>
    </row>
    <row r="125" spans="1:28" ht="12.75" x14ac:dyDescent="0.2">
      <c r="A125" s="643"/>
      <c r="B125" s="648" t="s">
        <v>572</v>
      </c>
      <c r="C125" s="651" t="s">
        <v>1161</v>
      </c>
      <c r="D125" s="643"/>
    </row>
    <row r="126" spans="1:28" ht="12.75" x14ac:dyDescent="0.2">
      <c r="A126" s="643"/>
      <c r="B126" s="648" t="s">
        <v>654</v>
      </c>
      <c r="C126" s="651" t="s">
        <v>1161</v>
      </c>
      <c r="D126" s="643"/>
    </row>
    <row r="127" spans="1:28" ht="12.75" x14ac:dyDescent="0.2">
      <c r="A127" s="643"/>
      <c r="B127" s="648" t="s">
        <v>983</v>
      </c>
      <c r="C127" s="651" t="s">
        <v>1161</v>
      </c>
      <c r="D127" s="643"/>
    </row>
    <row r="128" spans="1:28" ht="12.75" x14ac:dyDescent="0.2">
      <c r="A128" s="643"/>
      <c r="B128" s="648" t="s">
        <v>655</v>
      </c>
      <c r="C128" s="651" t="s">
        <v>1161</v>
      </c>
      <c r="D128" s="643"/>
    </row>
    <row r="129" spans="1:4" ht="12.75" x14ac:dyDescent="0.2">
      <c r="A129" s="643"/>
      <c r="B129" s="648" t="s">
        <v>573</v>
      </c>
      <c r="C129" s="651" t="s">
        <v>1161</v>
      </c>
      <c r="D129" s="643"/>
    </row>
    <row r="130" spans="1:4" ht="12.75" x14ac:dyDescent="0.2">
      <c r="A130" s="643"/>
      <c r="B130" s="648" t="s">
        <v>656</v>
      </c>
      <c r="C130" s="651" t="s">
        <v>1161</v>
      </c>
      <c r="D130" s="643"/>
    </row>
    <row r="131" spans="1:4" ht="12.75" x14ac:dyDescent="0.2">
      <c r="A131" s="643"/>
      <c r="B131" s="648" t="s">
        <v>657</v>
      </c>
      <c r="C131" s="651" t="s">
        <v>1161</v>
      </c>
      <c r="D131" s="643"/>
    </row>
    <row r="132" spans="1:4" ht="12.75" x14ac:dyDescent="0.2">
      <c r="A132" s="643"/>
      <c r="B132" s="648" t="s">
        <v>658</v>
      </c>
      <c r="C132" s="651" t="s">
        <v>1161</v>
      </c>
      <c r="D132" s="643"/>
    </row>
    <row r="133" spans="1:4" ht="12.75" x14ac:dyDescent="0.2">
      <c r="A133" s="643"/>
      <c r="B133" s="648" t="s">
        <v>659</v>
      </c>
      <c r="C133" s="651" t="s">
        <v>1161</v>
      </c>
      <c r="D133" s="643"/>
    </row>
    <row r="134" spans="1:4" ht="12.75" x14ac:dyDescent="0.2">
      <c r="A134" s="643"/>
      <c r="B134" s="648" t="s">
        <v>660</v>
      </c>
      <c r="C134" s="651" t="s">
        <v>1161</v>
      </c>
      <c r="D134" s="643"/>
    </row>
    <row r="135" spans="1:4" ht="12.75" x14ac:dyDescent="0.2">
      <c r="A135" s="643"/>
      <c r="B135" s="648" t="s">
        <v>574</v>
      </c>
      <c r="C135" s="652" t="s">
        <v>1161</v>
      </c>
      <c r="D135" s="643"/>
    </row>
    <row r="136" spans="1:4" ht="12.75" x14ac:dyDescent="0.2">
      <c r="A136" s="643"/>
      <c r="B136" s="648" t="s">
        <v>661</v>
      </c>
      <c r="C136" s="652" t="s">
        <v>1161</v>
      </c>
      <c r="D136" s="643"/>
    </row>
    <row r="137" spans="1:4" ht="12.75" x14ac:dyDescent="0.2">
      <c r="A137" s="643"/>
      <c r="B137" s="648" t="s">
        <v>662</v>
      </c>
      <c r="C137" s="652" t="s">
        <v>1161</v>
      </c>
      <c r="D137" s="643"/>
    </row>
    <row r="138" spans="1:4" ht="12.75" x14ac:dyDescent="0.2">
      <c r="A138" s="643"/>
      <c r="B138" s="648" t="s">
        <v>663</v>
      </c>
      <c r="C138" s="652" t="s">
        <v>1161</v>
      </c>
      <c r="D138" s="643"/>
    </row>
    <row r="139" spans="1:4" ht="12.75" x14ac:dyDescent="0.2">
      <c r="A139" s="643"/>
      <c r="B139" s="653" t="s">
        <v>984</v>
      </c>
      <c r="C139" s="652" t="s">
        <v>1161</v>
      </c>
      <c r="D139" s="643"/>
    </row>
    <row r="140" spans="1:4" ht="12.75" x14ac:dyDescent="0.2">
      <c r="A140" s="643"/>
      <c r="B140" s="648" t="s">
        <v>575</v>
      </c>
      <c r="C140" s="652" t="s">
        <v>1161</v>
      </c>
      <c r="D140" s="643"/>
    </row>
    <row r="141" spans="1:4" ht="12.75" x14ac:dyDescent="0.2">
      <c r="A141" s="643"/>
      <c r="B141" s="648" t="s">
        <v>791</v>
      </c>
      <c r="C141" s="652" t="s">
        <v>1161</v>
      </c>
      <c r="D141" s="643"/>
    </row>
    <row r="142" spans="1:4" ht="12.75" x14ac:dyDescent="0.2">
      <c r="A142" s="643"/>
      <c r="B142" s="648" t="s">
        <v>664</v>
      </c>
      <c r="C142" s="652" t="s">
        <v>1161</v>
      </c>
      <c r="D142" s="643"/>
    </row>
    <row r="143" spans="1:4" ht="12.75" x14ac:dyDescent="0.2">
      <c r="A143" s="643"/>
      <c r="B143" s="648" t="s">
        <v>792</v>
      </c>
      <c r="C143" s="652" t="s">
        <v>1161</v>
      </c>
      <c r="D143" s="643"/>
    </row>
    <row r="144" spans="1:4" ht="12.75" x14ac:dyDescent="0.2">
      <c r="A144" s="643"/>
      <c r="B144" s="648" t="s">
        <v>665</v>
      </c>
      <c r="C144" s="652" t="s">
        <v>1161</v>
      </c>
      <c r="D144" s="643"/>
    </row>
    <row r="145" spans="1:4" ht="12.75" x14ac:dyDescent="0.2">
      <c r="A145" s="643"/>
      <c r="B145" s="648" t="s">
        <v>666</v>
      </c>
      <c r="C145" s="652" t="s">
        <v>1161</v>
      </c>
      <c r="D145" s="643"/>
    </row>
    <row r="146" spans="1:4" ht="12.75" x14ac:dyDescent="0.2">
      <c r="A146" s="643"/>
      <c r="B146" s="648" t="s">
        <v>845</v>
      </c>
      <c r="C146" s="652" t="s">
        <v>1161</v>
      </c>
      <c r="D146" s="643"/>
    </row>
    <row r="147" spans="1:4" ht="12.75" x14ac:dyDescent="0.2">
      <c r="A147" s="643"/>
      <c r="B147" s="648" t="s">
        <v>667</v>
      </c>
      <c r="C147" s="652" t="s">
        <v>1161</v>
      </c>
      <c r="D147" s="643"/>
    </row>
    <row r="148" spans="1:4" ht="12.75" x14ac:dyDescent="0.2">
      <c r="A148" s="643"/>
      <c r="B148" s="648" t="s">
        <v>668</v>
      </c>
      <c r="C148" s="652" t="s">
        <v>1161</v>
      </c>
      <c r="D148" s="643"/>
    </row>
    <row r="149" spans="1:4" ht="12.75" x14ac:dyDescent="0.2">
      <c r="A149" s="643"/>
      <c r="B149" s="648" t="s">
        <v>669</v>
      </c>
      <c r="C149" s="652" t="s">
        <v>1161</v>
      </c>
      <c r="D149" s="643"/>
    </row>
    <row r="150" spans="1:4" ht="12.75" x14ac:dyDescent="0.2">
      <c r="A150" s="643"/>
      <c r="B150" s="648" t="s">
        <v>670</v>
      </c>
      <c r="C150" s="652" t="s">
        <v>1161</v>
      </c>
      <c r="D150" s="643"/>
    </row>
    <row r="151" spans="1:4" ht="12.75" x14ac:dyDescent="0.2">
      <c r="A151" s="643"/>
      <c r="B151" s="648" t="s">
        <v>576</v>
      </c>
      <c r="C151" s="652" t="s">
        <v>1161</v>
      </c>
      <c r="D151" s="643"/>
    </row>
    <row r="152" spans="1:4" ht="12.75" x14ac:dyDescent="0.2">
      <c r="A152" s="643"/>
      <c r="B152" s="648" t="s">
        <v>671</v>
      </c>
      <c r="C152" s="652" t="s">
        <v>1161</v>
      </c>
      <c r="D152" s="643"/>
    </row>
    <row r="153" spans="1:4" ht="12.75" x14ac:dyDescent="0.2">
      <c r="A153" s="643"/>
      <c r="B153" s="648" t="s">
        <v>672</v>
      </c>
      <c r="C153" s="652" t="s">
        <v>1161</v>
      </c>
      <c r="D153" s="643"/>
    </row>
    <row r="154" spans="1:4" ht="12.75" x14ac:dyDescent="0.2">
      <c r="A154" s="643"/>
      <c r="B154" s="648" t="s">
        <v>673</v>
      </c>
      <c r="C154" s="652" t="s">
        <v>1161</v>
      </c>
      <c r="D154" s="643"/>
    </row>
    <row r="155" spans="1:4" ht="12.75" x14ac:dyDescent="0.2">
      <c r="A155" s="643"/>
      <c r="B155" s="653" t="s">
        <v>846</v>
      </c>
      <c r="C155" s="652" t="s">
        <v>1161</v>
      </c>
      <c r="D155" s="643"/>
    </row>
    <row r="156" spans="1:4" ht="12.75" x14ac:dyDescent="0.2">
      <c r="A156" s="643"/>
      <c r="B156" s="648" t="s">
        <v>808</v>
      </c>
      <c r="C156" s="652" t="s">
        <v>1161</v>
      </c>
      <c r="D156" s="643"/>
    </row>
    <row r="157" spans="1:4" ht="12.75" x14ac:dyDescent="0.2">
      <c r="A157" s="643"/>
      <c r="B157" s="648" t="s">
        <v>674</v>
      </c>
      <c r="C157" s="652" t="s">
        <v>1162</v>
      </c>
      <c r="D157" s="643"/>
    </row>
    <row r="158" spans="1:4" ht="12.75" x14ac:dyDescent="0.2">
      <c r="A158" s="643"/>
      <c r="B158" s="648" t="s">
        <v>675</v>
      </c>
      <c r="C158" s="652" t="s">
        <v>1162</v>
      </c>
      <c r="D158" s="643"/>
    </row>
    <row r="159" spans="1:4" ht="12.75" x14ac:dyDescent="0.2">
      <c r="A159" s="643"/>
      <c r="B159" s="648" t="s">
        <v>676</v>
      </c>
      <c r="C159" s="652" t="s">
        <v>1162</v>
      </c>
      <c r="D159" s="643"/>
    </row>
    <row r="160" spans="1:4" ht="12.75" x14ac:dyDescent="0.2">
      <c r="A160" s="643"/>
      <c r="B160" s="648" t="s">
        <v>677</v>
      </c>
      <c r="C160" s="652" t="s">
        <v>1162</v>
      </c>
      <c r="D160" s="643"/>
    </row>
    <row r="161" spans="1:4" ht="12.75" x14ac:dyDescent="0.2">
      <c r="A161" s="643"/>
      <c r="B161" s="648" t="s">
        <v>678</v>
      </c>
      <c r="C161" s="652" t="s">
        <v>1162</v>
      </c>
      <c r="D161" s="643"/>
    </row>
    <row r="162" spans="1:4" ht="12.75" x14ac:dyDescent="0.2">
      <c r="A162" s="643"/>
      <c r="B162" s="648" t="s">
        <v>581</v>
      </c>
      <c r="C162" s="652" t="s">
        <v>1162</v>
      </c>
      <c r="D162" s="643"/>
    </row>
    <row r="163" spans="1:4" ht="12.75" x14ac:dyDescent="0.2">
      <c r="A163" s="643"/>
      <c r="B163" s="648" t="s">
        <v>679</v>
      </c>
      <c r="C163" s="652" t="s">
        <v>1162</v>
      </c>
      <c r="D163" s="643"/>
    </row>
    <row r="164" spans="1:4" ht="12.75" x14ac:dyDescent="0.2">
      <c r="A164" s="643"/>
      <c r="B164" s="648" t="s">
        <v>680</v>
      </c>
      <c r="C164" s="652" t="s">
        <v>1162</v>
      </c>
      <c r="D164" s="643"/>
    </row>
    <row r="165" spans="1:4" ht="12.75" x14ac:dyDescent="0.2">
      <c r="A165" s="643"/>
      <c r="B165" s="648" t="s">
        <v>681</v>
      </c>
      <c r="C165" s="652" t="s">
        <v>1162</v>
      </c>
      <c r="D165" s="643"/>
    </row>
    <row r="166" spans="1:4" ht="12.75" x14ac:dyDescent="0.2">
      <c r="A166" s="643"/>
      <c r="B166" s="653" t="s">
        <v>985</v>
      </c>
      <c r="C166" s="652" t="s">
        <v>1162</v>
      </c>
      <c r="D166" s="643"/>
    </row>
    <row r="167" spans="1:4" ht="12.75" x14ac:dyDescent="0.2">
      <c r="A167" s="643"/>
      <c r="B167" s="648" t="s">
        <v>582</v>
      </c>
      <c r="C167" s="652" t="s">
        <v>1162</v>
      </c>
      <c r="D167" s="643"/>
    </row>
    <row r="168" spans="1:4" ht="12.75" x14ac:dyDescent="0.2">
      <c r="A168" s="643"/>
      <c r="B168" s="648" t="s">
        <v>682</v>
      </c>
      <c r="C168" s="652" t="s">
        <v>1162</v>
      </c>
      <c r="D168" s="643"/>
    </row>
    <row r="169" spans="1:4" ht="12.75" x14ac:dyDescent="0.2">
      <c r="A169" s="643"/>
      <c r="B169" s="648" t="s">
        <v>683</v>
      </c>
      <c r="C169" s="652" t="s">
        <v>1162</v>
      </c>
      <c r="D169" s="643"/>
    </row>
    <row r="170" spans="1:4" ht="12.75" x14ac:dyDescent="0.2">
      <c r="A170" s="643"/>
      <c r="B170" s="648" t="s">
        <v>684</v>
      </c>
      <c r="C170" s="652" t="s">
        <v>1162</v>
      </c>
      <c r="D170" s="643"/>
    </row>
    <row r="171" spans="1:4" ht="12.75" x14ac:dyDescent="0.2">
      <c r="A171" s="643"/>
      <c r="B171" s="648" t="s">
        <v>685</v>
      </c>
      <c r="C171" s="652" t="s">
        <v>1162</v>
      </c>
      <c r="D171" s="643"/>
    </row>
    <row r="172" spans="1:4" ht="12.75" x14ac:dyDescent="0.2">
      <c r="A172" s="643"/>
      <c r="B172" s="648" t="s">
        <v>583</v>
      </c>
      <c r="C172" s="652" t="s">
        <v>1162</v>
      </c>
      <c r="D172" s="643"/>
    </row>
    <row r="173" spans="1:4" ht="12.75" x14ac:dyDescent="0.2">
      <c r="A173" s="643"/>
      <c r="B173" s="648" t="s">
        <v>686</v>
      </c>
      <c r="C173" s="652" t="s">
        <v>1162</v>
      </c>
      <c r="D173" s="643"/>
    </row>
    <row r="174" spans="1:4" ht="12.75" x14ac:dyDescent="0.2">
      <c r="A174" s="643"/>
      <c r="B174" s="648" t="s">
        <v>687</v>
      </c>
      <c r="C174" s="652" t="s">
        <v>1162</v>
      </c>
      <c r="D174" s="643"/>
    </row>
    <row r="175" spans="1:4" ht="12.75" x14ac:dyDescent="0.2">
      <c r="A175" s="643"/>
      <c r="B175" s="648" t="s">
        <v>688</v>
      </c>
      <c r="C175" s="652" t="s">
        <v>1162</v>
      </c>
      <c r="D175" s="643"/>
    </row>
    <row r="176" spans="1:4" ht="12.75" x14ac:dyDescent="0.2">
      <c r="A176" s="643"/>
      <c r="B176" s="648" t="s">
        <v>689</v>
      </c>
      <c r="C176" s="652" t="s">
        <v>1162</v>
      </c>
      <c r="D176" s="643"/>
    </row>
    <row r="177" spans="1:4" ht="12.75" x14ac:dyDescent="0.2">
      <c r="A177" s="643"/>
      <c r="B177" s="653" t="s">
        <v>986</v>
      </c>
      <c r="C177" s="652" t="s">
        <v>1162</v>
      </c>
      <c r="D177" s="643"/>
    </row>
    <row r="178" spans="1:4" ht="12.75" x14ac:dyDescent="0.2">
      <c r="A178" s="643"/>
      <c r="B178" s="648" t="s">
        <v>584</v>
      </c>
      <c r="C178" s="652" t="s">
        <v>1162</v>
      </c>
      <c r="D178" s="643"/>
    </row>
    <row r="179" spans="1:4" ht="12.75" x14ac:dyDescent="0.2">
      <c r="A179" s="643"/>
      <c r="B179" s="648" t="s">
        <v>793</v>
      </c>
      <c r="C179" s="651" t="s">
        <v>1162</v>
      </c>
      <c r="D179" s="643"/>
    </row>
    <row r="180" spans="1:4" ht="12.75" x14ac:dyDescent="0.2">
      <c r="A180" s="643"/>
      <c r="B180" s="648" t="s">
        <v>690</v>
      </c>
      <c r="C180" s="651" t="s">
        <v>1162</v>
      </c>
      <c r="D180" s="643"/>
    </row>
    <row r="181" spans="1:4" ht="12.75" x14ac:dyDescent="0.2">
      <c r="A181" s="643"/>
      <c r="B181" s="648" t="s">
        <v>794</v>
      </c>
      <c r="C181" s="651" t="s">
        <v>1162</v>
      </c>
      <c r="D181" s="643"/>
    </row>
    <row r="182" spans="1:4" ht="12.75" x14ac:dyDescent="0.2">
      <c r="A182" s="643"/>
      <c r="B182" s="653" t="s">
        <v>987</v>
      </c>
      <c r="C182" s="651" t="s">
        <v>1162</v>
      </c>
      <c r="D182" s="643"/>
    </row>
    <row r="183" spans="1:4" ht="12.75" x14ac:dyDescent="0.2">
      <c r="A183" s="643"/>
      <c r="B183" s="648" t="s">
        <v>809</v>
      </c>
      <c r="C183" s="651" t="s">
        <v>1162</v>
      </c>
      <c r="D183" s="643"/>
    </row>
    <row r="184" spans="1:4" ht="12.75" x14ac:dyDescent="0.2">
      <c r="A184" s="643"/>
      <c r="B184" s="648" t="s">
        <v>691</v>
      </c>
      <c r="C184" s="651" t="s">
        <v>1163</v>
      </c>
      <c r="D184" s="643"/>
    </row>
    <row r="185" spans="1:4" ht="12.75" x14ac:dyDescent="0.2">
      <c r="A185" s="643"/>
      <c r="B185" s="648" t="s">
        <v>692</v>
      </c>
      <c r="C185" s="651" t="s">
        <v>1163</v>
      </c>
      <c r="D185" s="643"/>
    </row>
    <row r="186" spans="1:4" ht="12.75" x14ac:dyDescent="0.2">
      <c r="A186" s="643"/>
      <c r="B186" s="648" t="s">
        <v>693</v>
      </c>
      <c r="C186" s="651" t="s">
        <v>1163</v>
      </c>
      <c r="D186" s="643"/>
    </row>
    <row r="187" spans="1:4" ht="12.75" x14ac:dyDescent="0.2">
      <c r="A187" s="643"/>
      <c r="B187" s="648" t="s">
        <v>795</v>
      </c>
      <c r="C187" s="651" t="s">
        <v>1163</v>
      </c>
      <c r="D187" s="643"/>
    </row>
    <row r="188" spans="1:4" ht="12.75" x14ac:dyDescent="0.2">
      <c r="A188" s="643"/>
      <c r="B188" s="648" t="s">
        <v>694</v>
      </c>
      <c r="C188" s="651" t="s">
        <v>1163</v>
      </c>
      <c r="D188" s="643"/>
    </row>
    <row r="189" spans="1:4" ht="12.75" x14ac:dyDescent="0.2">
      <c r="A189" s="643"/>
      <c r="B189" s="648" t="s">
        <v>695</v>
      </c>
      <c r="C189" s="651" t="s">
        <v>1163</v>
      </c>
      <c r="D189" s="643"/>
    </row>
    <row r="190" spans="1:4" ht="12.75" x14ac:dyDescent="0.2">
      <c r="A190" s="643"/>
      <c r="B190" s="648" t="s">
        <v>696</v>
      </c>
      <c r="C190" s="651" t="s">
        <v>1163</v>
      </c>
      <c r="D190" s="643"/>
    </row>
    <row r="191" spans="1:4" ht="12.75" x14ac:dyDescent="0.2">
      <c r="A191" s="643"/>
      <c r="B191" s="648" t="s">
        <v>578</v>
      </c>
      <c r="C191" s="651" t="s">
        <v>1163</v>
      </c>
      <c r="D191" s="643"/>
    </row>
    <row r="192" spans="1:4" ht="12.75" x14ac:dyDescent="0.2">
      <c r="A192" s="643"/>
      <c r="B192" s="648" t="s">
        <v>796</v>
      </c>
      <c r="C192" s="651" t="s">
        <v>1163</v>
      </c>
      <c r="D192" s="643"/>
    </row>
    <row r="193" spans="1:4" ht="12.75" x14ac:dyDescent="0.2">
      <c r="A193" s="643"/>
      <c r="B193" s="648" t="s">
        <v>810</v>
      </c>
      <c r="C193" s="651" t="s">
        <v>1163</v>
      </c>
      <c r="D193" s="643"/>
    </row>
    <row r="194" spans="1:4" ht="12.75" x14ac:dyDescent="0.2">
      <c r="A194" s="643"/>
      <c r="B194" s="648" t="s">
        <v>697</v>
      </c>
      <c r="C194" s="651" t="s">
        <v>1163</v>
      </c>
      <c r="D194" s="643"/>
    </row>
    <row r="195" spans="1:4" ht="12.75" x14ac:dyDescent="0.2">
      <c r="A195" s="643"/>
      <c r="B195" s="648" t="s">
        <v>698</v>
      </c>
      <c r="C195" s="651" t="s">
        <v>1163</v>
      </c>
      <c r="D195" s="643"/>
    </row>
    <row r="196" spans="1:4" ht="12.75" x14ac:dyDescent="0.2">
      <c r="A196" s="643"/>
      <c r="B196" s="648" t="s">
        <v>811</v>
      </c>
      <c r="C196" s="651" t="s">
        <v>1163</v>
      </c>
      <c r="D196" s="643"/>
    </row>
    <row r="197" spans="1:4" ht="12.75" x14ac:dyDescent="0.2">
      <c r="A197" s="643"/>
      <c r="B197" s="648" t="s">
        <v>699</v>
      </c>
      <c r="C197" s="651" t="s">
        <v>1163</v>
      </c>
      <c r="D197" s="643"/>
    </row>
    <row r="198" spans="1:4" ht="12.75" x14ac:dyDescent="0.2">
      <c r="A198" s="643"/>
      <c r="B198" s="648" t="s">
        <v>579</v>
      </c>
      <c r="C198" s="651" t="s">
        <v>1163</v>
      </c>
      <c r="D198" s="643"/>
    </row>
    <row r="199" spans="1:4" ht="12.75" x14ac:dyDescent="0.2">
      <c r="A199" s="643"/>
      <c r="B199" s="648" t="s">
        <v>700</v>
      </c>
      <c r="C199" s="651" t="s">
        <v>1163</v>
      </c>
      <c r="D199" s="643"/>
    </row>
    <row r="200" spans="1:4" ht="12.75" x14ac:dyDescent="0.2">
      <c r="A200" s="643"/>
      <c r="B200" s="648" t="s">
        <v>701</v>
      </c>
      <c r="C200" s="651" t="s">
        <v>1163</v>
      </c>
      <c r="D200" s="643"/>
    </row>
    <row r="201" spans="1:4" ht="12.75" x14ac:dyDescent="0.2">
      <c r="A201" s="643"/>
      <c r="B201" s="648" t="s">
        <v>702</v>
      </c>
      <c r="C201" s="651" t="s">
        <v>1163</v>
      </c>
      <c r="D201" s="643"/>
    </row>
    <row r="202" spans="1:4" ht="12.75" x14ac:dyDescent="0.2">
      <c r="A202" s="643"/>
      <c r="B202" s="653" t="s">
        <v>847</v>
      </c>
      <c r="C202" s="651" t="s">
        <v>1163</v>
      </c>
      <c r="D202" s="643"/>
    </row>
    <row r="203" spans="1:4" ht="12.75" x14ac:dyDescent="0.2">
      <c r="A203" s="643"/>
      <c r="B203" s="648" t="s">
        <v>580</v>
      </c>
      <c r="C203" s="651" t="s">
        <v>1163</v>
      </c>
      <c r="D203" s="643"/>
    </row>
    <row r="204" spans="1:4" ht="12.75" x14ac:dyDescent="0.2">
      <c r="A204" s="643"/>
      <c r="B204" s="648" t="s">
        <v>797</v>
      </c>
      <c r="C204" s="651" t="s">
        <v>1164</v>
      </c>
      <c r="D204" s="643"/>
    </row>
    <row r="205" spans="1:4" ht="12.75" x14ac:dyDescent="0.2">
      <c r="A205" s="643"/>
      <c r="B205" s="648" t="s">
        <v>725</v>
      </c>
      <c r="C205" s="651" t="s">
        <v>1164</v>
      </c>
      <c r="D205" s="643"/>
    </row>
    <row r="206" spans="1:4" ht="12.75" x14ac:dyDescent="0.2">
      <c r="A206" s="643"/>
      <c r="B206" s="648" t="s">
        <v>726</v>
      </c>
      <c r="C206" s="651" t="s">
        <v>1164</v>
      </c>
      <c r="D206" s="643"/>
    </row>
    <row r="207" spans="1:4" ht="12.75" x14ac:dyDescent="0.2">
      <c r="A207" s="643"/>
      <c r="B207" s="648" t="s">
        <v>788</v>
      </c>
      <c r="C207" s="651" t="s">
        <v>1164</v>
      </c>
      <c r="D207" s="643"/>
    </row>
    <row r="208" spans="1:4" ht="12.75" x14ac:dyDescent="0.2">
      <c r="A208" s="643"/>
      <c r="B208" s="648" t="s">
        <v>703</v>
      </c>
      <c r="C208" s="651" t="s">
        <v>1164</v>
      </c>
      <c r="D208" s="643"/>
    </row>
    <row r="209" spans="1:4" ht="12.75" x14ac:dyDescent="0.2">
      <c r="A209" s="643"/>
      <c r="B209" s="648" t="s">
        <v>704</v>
      </c>
      <c r="C209" s="651" t="s">
        <v>1164</v>
      </c>
      <c r="D209" s="643"/>
    </row>
    <row r="210" spans="1:4" ht="12.75" x14ac:dyDescent="0.2">
      <c r="A210" s="643"/>
      <c r="B210" s="648" t="s">
        <v>705</v>
      </c>
      <c r="C210" s="651" t="s">
        <v>1164</v>
      </c>
      <c r="D210" s="643"/>
    </row>
    <row r="211" spans="1:4" ht="12.75" x14ac:dyDescent="0.2">
      <c r="A211" s="643"/>
      <c r="B211" s="648" t="s">
        <v>706</v>
      </c>
      <c r="C211" s="651" t="s">
        <v>1164</v>
      </c>
      <c r="D211" s="643"/>
    </row>
    <row r="212" spans="1:4" ht="12.75" x14ac:dyDescent="0.2">
      <c r="A212" s="643"/>
      <c r="B212" s="648" t="s">
        <v>707</v>
      </c>
      <c r="C212" s="651" t="s">
        <v>1164</v>
      </c>
      <c r="D212" s="643"/>
    </row>
    <row r="213" spans="1:4" ht="12.75" x14ac:dyDescent="0.2">
      <c r="A213" s="643"/>
      <c r="B213" s="648" t="s">
        <v>708</v>
      </c>
      <c r="C213" s="651" t="s">
        <v>1164</v>
      </c>
      <c r="D213" s="643"/>
    </row>
    <row r="214" spans="1:4" ht="12.75" x14ac:dyDescent="0.2">
      <c r="A214" s="643"/>
      <c r="B214" s="648" t="s">
        <v>593</v>
      </c>
      <c r="C214" s="651" t="s">
        <v>1164</v>
      </c>
      <c r="D214" s="643"/>
    </row>
    <row r="215" spans="1:4" ht="12.75" x14ac:dyDescent="0.2">
      <c r="A215" s="643"/>
      <c r="B215" s="648" t="s">
        <v>709</v>
      </c>
      <c r="C215" s="651" t="s">
        <v>1164</v>
      </c>
      <c r="D215" s="643"/>
    </row>
    <row r="216" spans="1:4" ht="12.75" x14ac:dyDescent="0.2">
      <c r="A216" s="643"/>
      <c r="B216" s="648" t="s">
        <v>710</v>
      </c>
      <c r="C216" s="651" t="s">
        <v>1164</v>
      </c>
      <c r="D216" s="643"/>
    </row>
    <row r="217" spans="1:4" ht="12.75" x14ac:dyDescent="0.2">
      <c r="A217" s="643"/>
      <c r="B217" s="648" t="s">
        <v>711</v>
      </c>
      <c r="C217" s="651" t="s">
        <v>1164</v>
      </c>
      <c r="D217" s="643"/>
    </row>
    <row r="218" spans="1:4" ht="12.75" x14ac:dyDescent="0.2">
      <c r="A218" s="643"/>
      <c r="B218" s="648" t="s">
        <v>712</v>
      </c>
      <c r="C218" s="651" t="s">
        <v>1164</v>
      </c>
      <c r="D218" s="643"/>
    </row>
    <row r="219" spans="1:4" ht="12.75" x14ac:dyDescent="0.2">
      <c r="A219" s="643"/>
      <c r="B219" s="648" t="s">
        <v>713</v>
      </c>
      <c r="C219" s="651" t="s">
        <v>1164</v>
      </c>
      <c r="D219" s="643"/>
    </row>
    <row r="220" spans="1:4" ht="12.75" x14ac:dyDescent="0.2">
      <c r="A220" s="643"/>
      <c r="B220" s="648" t="s">
        <v>714</v>
      </c>
      <c r="C220" s="651" t="s">
        <v>1164</v>
      </c>
      <c r="D220" s="643"/>
    </row>
    <row r="221" spans="1:4" ht="12.75" x14ac:dyDescent="0.2">
      <c r="A221" s="643"/>
      <c r="B221" s="648" t="s">
        <v>715</v>
      </c>
      <c r="C221" s="651" t="s">
        <v>1164</v>
      </c>
      <c r="D221" s="643"/>
    </row>
    <row r="222" spans="1:4" ht="12.75" x14ac:dyDescent="0.2">
      <c r="A222" s="643"/>
      <c r="B222" s="648" t="s">
        <v>716</v>
      </c>
      <c r="C222" s="651" t="s">
        <v>1164</v>
      </c>
      <c r="D222" s="643"/>
    </row>
    <row r="223" spans="1:4" ht="12.75" x14ac:dyDescent="0.2">
      <c r="A223" s="643"/>
      <c r="B223" s="648" t="s">
        <v>812</v>
      </c>
      <c r="C223" s="651" t="s">
        <v>1164</v>
      </c>
      <c r="D223" s="643"/>
    </row>
    <row r="224" spans="1:4" ht="12.75" x14ac:dyDescent="0.2">
      <c r="A224" s="643"/>
      <c r="B224" s="648" t="s">
        <v>717</v>
      </c>
      <c r="C224" s="651" t="s">
        <v>1164</v>
      </c>
      <c r="D224" s="643"/>
    </row>
    <row r="225" spans="1:4" ht="12.75" x14ac:dyDescent="0.2">
      <c r="A225" s="643"/>
      <c r="B225" s="648" t="s">
        <v>718</v>
      </c>
      <c r="C225" s="651" t="s">
        <v>1164</v>
      </c>
      <c r="D225" s="643"/>
    </row>
    <row r="226" spans="1:4" ht="12.75" x14ac:dyDescent="0.2">
      <c r="A226" s="643"/>
      <c r="B226" s="648" t="s">
        <v>719</v>
      </c>
      <c r="C226" s="651" t="s">
        <v>1164</v>
      </c>
      <c r="D226" s="643"/>
    </row>
    <row r="227" spans="1:4" ht="12.75" x14ac:dyDescent="0.2">
      <c r="A227" s="643"/>
      <c r="B227" s="648" t="s">
        <v>720</v>
      </c>
      <c r="C227" s="651" t="s">
        <v>1164</v>
      </c>
      <c r="D227" s="643"/>
    </row>
    <row r="228" spans="1:4" ht="12.75" x14ac:dyDescent="0.2">
      <c r="A228" s="643"/>
      <c r="B228" s="653" t="s">
        <v>988</v>
      </c>
      <c r="C228" s="651" t="s">
        <v>1164</v>
      </c>
      <c r="D228" s="643"/>
    </row>
    <row r="229" spans="1:4" ht="12.75" x14ac:dyDescent="0.2">
      <c r="A229" s="643"/>
      <c r="B229" s="648" t="s">
        <v>838</v>
      </c>
      <c r="C229" s="651" t="s">
        <v>1164</v>
      </c>
      <c r="D229" s="643"/>
    </row>
    <row r="230" spans="1:4" ht="12.75" x14ac:dyDescent="0.2">
      <c r="A230" s="643"/>
      <c r="B230" s="648" t="s">
        <v>721</v>
      </c>
      <c r="C230" s="651" t="s">
        <v>1164</v>
      </c>
      <c r="D230" s="643"/>
    </row>
    <row r="231" spans="1:4" ht="12.75" x14ac:dyDescent="0.2">
      <c r="A231" s="643"/>
      <c r="B231" s="648" t="s">
        <v>722</v>
      </c>
      <c r="C231" s="651" t="s">
        <v>1164</v>
      </c>
      <c r="D231" s="643"/>
    </row>
    <row r="232" spans="1:4" ht="12.75" x14ac:dyDescent="0.2">
      <c r="A232" s="643"/>
      <c r="B232" s="648" t="s">
        <v>723</v>
      </c>
      <c r="C232" s="651" t="s">
        <v>1164</v>
      </c>
      <c r="D232" s="643"/>
    </row>
    <row r="233" spans="1:4" ht="12.75" x14ac:dyDescent="0.2">
      <c r="A233" s="643"/>
      <c r="B233" s="648" t="s">
        <v>724</v>
      </c>
      <c r="C233" s="651" t="s">
        <v>1164</v>
      </c>
      <c r="D233" s="643"/>
    </row>
    <row r="234" spans="1:4" ht="12.75" x14ac:dyDescent="0.2">
      <c r="A234" s="643"/>
      <c r="B234" s="648" t="s">
        <v>594</v>
      </c>
      <c r="C234" s="651" t="s">
        <v>1164</v>
      </c>
      <c r="D234" s="643"/>
    </row>
    <row r="235" spans="1:4" ht="12.75" x14ac:dyDescent="0.2">
      <c r="A235" s="643"/>
      <c r="B235" s="648" t="s">
        <v>727</v>
      </c>
      <c r="C235" s="651" t="s">
        <v>1165</v>
      </c>
      <c r="D235" s="643"/>
    </row>
    <row r="236" spans="1:4" ht="12.75" x14ac:dyDescent="0.2">
      <c r="A236" s="643"/>
      <c r="B236" s="648" t="s">
        <v>728</v>
      </c>
      <c r="C236" s="651" t="s">
        <v>1165</v>
      </c>
      <c r="D236" s="643"/>
    </row>
    <row r="237" spans="1:4" ht="12.75" x14ac:dyDescent="0.2">
      <c r="A237" s="643"/>
      <c r="B237" s="648" t="s">
        <v>729</v>
      </c>
      <c r="C237" s="651" t="s">
        <v>1165</v>
      </c>
      <c r="D237" s="643"/>
    </row>
    <row r="238" spans="1:4" ht="12.75" x14ac:dyDescent="0.2">
      <c r="A238" s="643"/>
      <c r="B238" s="648" t="s">
        <v>730</v>
      </c>
      <c r="C238" s="651" t="s">
        <v>1165</v>
      </c>
      <c r="D238" s="643"/>
    </row>
    <row r="239" spans="1:4" ht="12.75" x14ac:dyDescent="0.2">
      <c r="A239" s="643"/>
      <c r="B239" s="648" t="s">
        <v>731</v>
      </c>
      <c r="C239" s="651" t="s">
        <v>1165</v>
      </c>
      <c r="D239" s="643"/>
    </row>
    <row r="240" spans="1:4" ht="12.75" x14ac:dyDescent="0.2">
      <c r="A240" s="643"/>
      <c r="B240" s="648" t="s">
        <v>585</v>
      </c>
      <c r="C240" s="651" t="s">
        <v>1165</v>
      </c>
      <c r="D240" s="643"/>
    </row>
    <row r="241" spans="1:4" ht="12.75" x14ac:dyDescent="0.2">
      <c r="A241" s="643"/>
      <c r="B241" s="648" t="s">
        <v>732</v>
      </c>
      <c r="C241" s="651" t="s">
        <v>1165</v>
      </c>
      <c r="D241" s="643"/>
    </row>
    <row r="242" spans="1:4" ht="12.75" x14ac:dyDescent="0.2">
      <c r="A242" s="643"/>
      <c r="B242" s="648" t="s">
        <v>733</v>
      </c>
      <c r="C242" s="651" t="s">
        <v>1165</v>
      </c>
      <c r="D242" s="643"/>
    </row>
    <row r="243" spans="1:4" ht="12.75" x14ac:dyDescent="0.2">
      <c r="A243" s="643"/>
      <c r="B243" s="648" t="s">
        <v>734</v>
      </c>
      <c r="C243" s="651" t="s">
        <v>1165</v>
      </c>
      <c r="D243" s="643"/>
    </row>
    <row r="244" spans="1:4" ht="12.75" x14ac:dyDescent="0.2">
      <c r="A244" s="643"/>
      <c r="B244" s="648" t="s">
        <v>735</v>
      </c>
      <c r="C244" s="651" t="s">
        <v>1165</v>
      </c>
      <c r="D244" s="643"/>
    </row>
    <row r="245" spans="1:4" ht="12.75" x14ac:dyDescent="0.2">
      <c r="A245" s="643"/>
      <c r="B245" s="648" t="s">
        <v>736</v>
      </c>
      <c r="C245" s="651" t="s">
        <v>1165</v>
      </c>
      <c r="D245" s="643"/>
    </row>
    <row r="246" spans="1:4" ht="12.75" x14ac:dyDescent="0.2">
      <c r="A246" s="643"/>
      <c r="B246" s="648" t="s">
        <v>586</v>
      </c>
      <c r="C246" s="651" t="s">
        <v>1165</v>
      </c>
      <c r="D246" s="643"/>
    </row>
    <row r="247" spans="1:4" ht="12.75" x14ac:dyDescent="0.2">
      <c r="A247" s="643"/>
      <c r="B247" s="648" t="s">
        <v>737</v>
      </c>
      <c r="C247" s="651" t="s">
        <v>1165</v>
      </c>
      <c r="D247" s="643"/>
    </row>
    <row r="248" spans="1:4" ht="12.75" x14ac:dyDescent="0.2">
      <c r="A248" s="643"/>
      <c r="B248" s="648" t="s">
        <v>738</v>
      </c>
      <c r="C248" s="651" t="s">
        <v>1165</v>
      </c>
      <c r="D248" s="643"/>
    </row>
    <row r="249" spans="1:4" ht="12.75" x14ac:dyDescent="0.2">
      <c r="A249" s="643"/>
      <c r="B249" s="648" t="s">
        <v>739</v>
      </c>
      <c r="C249" s="651" t="s">
        <v>1165</v>
      </c>
      <c r="D249" s="643"/>
    </row>
    <row r="250" spans="1:4" ht="12.75" x14ac:dyDescent="0.2">
      <c r="A250" s="643"/>
      <c r="B250" s="648" t="s">
        <v>740</v>
      </c>
      <c r="C250" s="651" t="s">
        <v>1165</v>
      </c>
      <c r="D250" s="643"/>
    </row>
    <row r="251" spans="1:4" ht="12.75" x14ac:dyDescent="0.2">
      <c r="A251" s="643"/>
      <c r="B251" s="648" t="s">
        <v>839</v>
      </c>
      <c r="C251" s="651" t="s">
        <v>1165</v>
      </c>
      <c r="D251" s="643"/>
    </row>
    <row r="252" spans="1:4" ht="12.75" x14ac:dyDescent="0.2">
      <c r="A252" s="643"/>
      <c r="B252" s="648" t="s">
        <v>587</v>
      </c>
      <c r="C252" s="651" t="s">
        <v>1165</v>
      </c>
      <c r="D252" s="643"/>
    </row>
    <row r="253" spans="1:4" ht="12.75" x14ac:dyDescent="0.2">
      <c r="A253" s="643"/>
      <c r="B253" s="648" t="s">
        <v>741</v>
      </c>
      <c r="C253" s="651" t="s">
        <v>1165</v>
      </c>
      <c r="D253" s="643"/>
    </row>
    <row r="254" spans="1:4" ht="12.75" x14ac:dyDescent="0.2">
      <c r="A254" s="643"/>
      <c r="B254" s="648" t="s">
        <v>742</v>
      </c>
      <c r="C254" s="651" t="s">
        <v>1165</v>
      </c>
      <c r="D254" s="643"/>
    </row>
    <row r="255" spans="1:4" ht="12.75" x14ac:dyDescent="0.2">
      <c r="A255" s="643"/>
      <c r="B255" s="653" t="s">
        <v>989</v>
      </c>
      <c r="C255" s="651" t="s">
        <v>1165</v>
      </c>
      <c r="D255" s="643"/>
    </row>
    <row r="256" spans="1:4" ht="12.75" x14ac:dyDescent="0.2">
      <c r="A256" s="643"/>
      <c r="B256" s="648" t="s">
        <v>588</v>
      </c>
      <c r="C256" s="651" t="s">
        <v>1165</v>
      </c>
      <c r="D256" s="643"/>
    </row>
    <row r="257" spans="1:4" ht="12.75" x14ac:dyDescent="0.2">
      <c r="A257" s="643"/>
      <c r="B257" s="648" t="s">
        <v>813</v>
      </c>
      <c r="C257" s="651" t="s">
        <v>1166</v>
      </c>
      <c r="D257" s="643"/>
    </row>
    <row r="258" spans="1:4" ht="12.75" x14ac:dyDescent="0.2">
      <c r="A258" s="643"/>
      <c r="B258" s="648" t="s">
        <v>743</v>
      </c>
      <c r="C258" s="651" t="s">
        <v>1166</v>
      </c>
      <c r="D258" s="643"/>
    </row>
    <row r="259" spans="1:4" ht="12.75" x14ac:dyDescent="0.2">
      <c r="A259" s="643"/>
      <c r="B259" s="648" t="s">
        <v>744</v>
      </c>
      <c r="C259" s="651" t="s">
        <v>1166</v>
      </c>
      <c r="D259" s="643"/>
    </row>
    <row r="260" spans="1:4" ht="12.75" x14ac:dyDescent="0.2">
      <c r="A260" s="643"/>
      <c r="B260" s="648" t="s">
        <v>745</v>
      </c>
      <c r="C260" s="651" t="s">
        <v>1166</v>
      </c>
      <c r="D260" s="643"/>
    </row>
    <row r="261" spans="1:4" ht="12.75" x14ac:dyDescent="0.2">
      <c r="A261" s="643"/>
      <c r="B261" s="648" t="s">
        <v>746</v>
      </c>
      <c r="C261" s="651" t="s">
        <v>1166</v>
      </c>
      <c r="D261" s="643"/>
    </row>
    <row r="262" spans="1:4" ht="12.75" x14ac:dyDescent="0.2">
      <c r="A262" s="643"/>
      <c r="B262" s="648" t="s">
        <v>747</v>
      </c>
      <c r="C262" s="651" t="s">
        <v>1166</v>
      </c>
      <c r="D262" s="643"/>
    </row>
    <row r="263" spans="1:4" ht="12.75" x14ac:dyDescent="0.2">
      <c r="A263" s="643"/>
      <c r="B263" s="648" t="s">
        <v>561</v>
      </c>
      <c r="C263" s="651" t="s">
        <v>1166</v>
      </c>
      <c r="D263" s="643"/>
    </row>
    <row r="264" spans="1:4" ht="12.75" x14ac:dyDescent="0.2">
      <c r="A264" s="643"/>
      <c r="B264" s="648" t="s">
        <v>748</v>
      </c>
      <c r="C264" s="651" t="s">
        <v>1166</v>
      </c>
      <c r="D264" s="643"/>
    </row>
    <row r="265" spans="1:4" ht="12.75" x14ac:dyDescent="0.2">
      <c r="A265" s="643"/>
      <c r="B265" s="648" t="s">
        <v>749</v>
      </c>
      <c r="C265" s="651" t="s">
        <v>1166</v>
      </c>
      <c r="D265" s="643"/>
    </row>
    <row r="266" spans="1:4" ht="12.75" x14ac:dyDescent="0.2">
      <c r="A266" s="643"/>
      <c r="B266" s="648" t="s">
        <v>750</v>
      </c>
      <c r="C266" s="651" t="s">
        <v>1166</v>
      </c>
      <c r="D266" s="643"/>
    </row>
    <row r="267" spans="1:4" ht="12.75" x14ac:dyDescent="0.2">
      <c r="A267" s="643"/>
      <c r="B267" s="648" t="s">
        <v>751</v>
      </c>
      <c r="C267" s="651" t="s">
        <v>1166</v>
      </c>
      <c r="D267" s="643"/>
    </row>
    <row r="268" spans="1:4" ht="12.75" x14ac:dyDescent="0.2">
      <c r="A268" s="643"/>
      <c r="B268" s="648" t="s">
        <v>798</v>
      </c>
      <c r="C268" s="651" t="s">
        <v>1166</v>
      </c>
      <c r="D268" s="643"/>
    </row>
    <row r="269" spans="1:4" ht="12.75" x14ac:dyDescent="0.2">
      <c r="A269" s="643"/>
      <c r="B269" s="648" t="s">
        <v>814</v>
      </c>
      <c r="C269" s="651" t="s">
        <v>1166</v>
      </c>
      <c r="D269" s="643"/>
    </row>
    <row r="270" spans="1:4" ht="12.75" x14ac:dyDescent="0.2">
      <c r="A270" s="643"/>
      <c r="B270" s="648" t="s">
        <v>752</v>
      </c>
      <c r="C270" s="651" t="s">
        <v>1166</v>
      </c>
      <c r="D270" s="643"/>
    </row>
    <row r="271" spans="1:4" ht="12.75" x14ac:dyDescent="0.2">
      <c r="A271" s="643"/>
      <c r="B271" s="648" t="s">
        <v>753</v>
      </c>
      <c r="C271" s="651" t="s">
        <v>1166</v>
      </c>
      <c r="D271" s="643"/>
    </row>
    <row r="272" spans="1:4" ht="12.75" x14ac:dyDescent="0.2">
      <c r="A272" s="643"/>
      <c r="B272" s="648" t="s">
        <v>754</v>
      </c>
      <c r="C272" s="651" t="s">
        <v>1166</v>
      </c>
      <c r="D272" s="643"/>
    </row>
    <row r="273" spans="1:4" ht="12.75" x14ac:dyDescent="0.2">
      <c r="A273" s="643"/>
      <c r="B273" s="648" t="s">
        <v>755</v>
      </c>
      <c r="C273" s="651" t="s">
        <v>1166</v>
      </c>
      <c r="D273" s="643"/>
    </row>
    <row r="274" spans="1:4" ht="12.75" x14ac:dyDescent="0.2">
      <c r="A274" s="643"/>
      <c r="B274" s="648" t="s">
        <v>577</v>
      </c>
      <c r="C274" s="651" t="s">
        <v>1166</v>
      </c>
      <c r="D274" s="643"/>
    </row>
    <row r="275" spans="1:4" ht="12.75" x14ac:dyDescent="0.2">
      <c r="A275" s="643"/>
      <c r="B275" s="648" t="s">
        <v>756</v>
      </c>
      <c r="C275" s="651" t="s">
        <v>1166</v>
      </c>
      <c r="D275" s="643"/>
    </row>
    <row r="276" spans="1:4" ht="12.75" x14ac:dyDescent="0.2">
      <c r="A276" s="643"/>
      <c r="B276" s="648" t="s">
        <v>757</v>
      </c>
      <c r="C276" s="651" t="s">
        <v>1166</v>
      </c>
      <c r="D276" s="643"/>
    </row>
    <row r="277" spans="1:4" ht="12.75" x14ac:dyDescent="0.2">
      <c r="A277" s="643"/>
      <c r="B277" s="648" t="s">
        <v>758</v>
      </c>
      <c r="C277" s="651" t="s">
        <v>1166</v>
      </c>
      <c r="D277" s="643"/>
    </row>
    <row r="278" spans="1:4" ht="12.75" x14ac:dyDescent="0.2">
      <c r="A278" s="643"/>
      <c r="B278" s="648" t="s">
        <v>759</v>
      </c>
      <c r="C278" s="651" t="s">
        <v>1166</v>
      </c>
      <c r="D278" s="643"/>
    </row>
    <row r="279" spans="1:4" ht="12.75" x14ac:dyDescent="0.2">
      <c r="A279" s="643"/>
      <c r="B279" s="648" t="s">
        <v>760</v>
      </c>
      <c r="C279" s="651" t="s">
        <v>1166</v>
      </c>
      <c r="D279" s="643"/>
    </row>
    <row r="280" spans="1:4" ht="12.75" x14ac:dyDescent="0.2">
      <c r="A280" s="643"/>
      <c r="B280" s="648" t="s">
        <v>761</v>
      </c>
      <c r="C280" s="651" t="s">
        <v>1166</v>
      </c>
      <c r="D280" s="643"/>
    </row>
    <row r="281" spans="1:4" ht="12.75" x14ac:dyDescent="0.2">
      <c r="A281" s="643"/>
      <c r="B281" s="648" t="s">
        <v>762</v>
      </c>
      <c r="C281" s="651" t="s">
        <v>1166</v>
      </c>
      <c r="D281" s="643"/>
    </row>
    <row r="282" spans="1:4" ht="12.75" x14ac:dyDescent="0.2">
      <c r="A282" s="643"/>
      <c r="B282" s="648" t="s">
        <v>1167</v>
      </c>
      <c r="C282" s="651" t="s">
        <v>1166</v>
      </c>
      <c r="D282" s="643"/>
    </row>
    <row r="283" spans="1:4" ht="12.75" x14ac:dyDescent="0.2">
      <c r="A283" s="643"/>
      <c r="B283" s="648" t="s">
        <v>763</v>
      </c>
      <c r="C283" s="651" t="s">
        <v>1166</v>
      </c>
      <c r="D283" s="643"/>
    </row>
    <row r="284" spans="1:4" ht="12.75" x14ac:dyDescent="0.2">
      <c r="A284" s="643"/>
      <c r="B284" s="648" t="s">
        <v>764</v>
      </c>
      <c r="C284" s="651" t="s">
        <v>1166</v>
      </c>
      <c r="D284" s="643"/>
    </row>
    <row r="285" spans="1:4" ht="12.75" x14ac:dyDescent="0.2">
      <c r="A285" s="643"/>
      <c r="B285" s="648" t="s">
        <v>765</v>
      </c>
      <c r="C285" s="651" t="s">
        <v>1166</v>
      </c>
      <c r="D285" s="643"/>
    </row>
    <row r="286" spans="1:4" ht="12.75" x14ac:dyDescent="0.2">
      <c r="A286" s="643"/>
      <c r="B286" s="648" t="s">
        <v>592</v>
      </c>
      <c r="C286" s="651" t="s">
        <v>1166</v>
      </c>
      <c r="D286" s="643"/>
    </row>
    <row r="287" spans="1:4" ht="12.75" x14ac:dyDescent="0.2">
      <c r="A287" s="643"/>
      <c r="B287" s="644"/>
      <c r="C287" s="645"/>
      <c r="D287" s="643"/>
    </row>
    <row r="288" spans="1:4" ht="12.75" x14ac:dyDescent="0.2">
      <c r="A288" s="643"/>
      <c r="B288" s="644"/>
      <c r="D288" s="643"/>
    </row>
    <row r="289" spans="1:4" ht="12.75" x14ac:dyDescent="0.2">
      <c r="A289" s="643"/>
      <c r="B289" s="644"/>
      <c r="D289" s="643"/>
    </row>
    <row r="290" spans="1:4" ht="12.75" x14ac:dyDescent="0.2">
      <c r="A290" s="643"/>
      <c r="B290" s="644"/>
      <c r="D290" s="643"/>
    </row>
    <row r="291" spans="1:4" ht="12.75" x14ac:dyDescent="0.2">
      <c r="A291" s="643"/>
      <c r="B291" s="644"/>
      <c r="D291" s="643"/>
    </row>
    <row r="292" spans="1:4" ht="12.75" x14ac:dyDescent="0.2">
      <c r="A292" s="643"/>
      <c r="B292" s="644"/>
      <c r="D292" s="643"/>
    </row>
    <row r="293" spans="1:4" ht="12.75" x14ac:dyDescent="0.2">
      <c r="A293" s="643"/>
      <c r="B293" s="644"/>
      <c r="D293" s="643"/>
    </row>
    <row r="294" spans="1:4" ht="12.75" x14ac:dyDescent="0.2">
      <c r="A294" s="643"/>
      <c r="B294" s="644"/>
      <c r="D294" s="643"/>
    </row>
    <row r="295" spans="1:4" ht="12.75" x14ac:dyDescent="0.2">
      <c r="A295" s="643"/>
      <c r="B295" s="644"/>
      <c r="D295" s="643"/>
    </row>
    <row r="296" spans="1:4" ht="12.75" x14ac:dyDescent="0.2">
      <c r="A296" s="643"/>
      <c r="B296" s="644"/>
      <c r="D296" s="643"/>
    </row>
    <row r="297" spans="1:4" ht="12.75" x14ac:dyDescent="0.2">
      <c r="A297" s="643"/>
      <c r="B297" s="644"/>
      <c r="D297" s="643"/>
    </row>
    <row r="298" spans="1:4" ht="12.75" x14ac:dyDescent="0.2">
      <c r="A298" s="643"/>
      <c r="B298" s="644"/>
      <c r="D298" s="643"/>
    </row>
    <row r="299" spans="1:4" ht="12.75" x14ac:dyDescent="0.2">
      <c r="A299" s="643"/>
      <c r="B299" s="644"/>
      <c r="D299" s="643"/>
    </row>
    <row r="300" spans="1:4" ht="12.75" x14ac:dyDescent="0.2">
      <c r="A300" s="643"/>
      <c r="B300" s="644"/>
      <c r="D300" s="643"/>
    </row>
    <row r="301" spans="1:4" ht="12.75" x14ac:dyDescent="0.2">
      <c r="A301" s="643"/>
      <c r="B301" s="644"/>
      <c r="D301" s="643"/>
    </row>
    <row r="302" spans="1:4" ht="12.75" x14ac:dyDescent="0.2">
      <c r="A302" s="643"/>
      <c r="B302" s="644"/>
      <c r="D302" s="643"/>
    </row>
    <row r="303" spans="1:4" ht="12.75" x14ac:dyDescent="0.2">
      <c r="A303" s="643"/>
      <c r="B303" s="644"/>
      <c r="D303" s="643"/>
    </row>
    <row r="304" spans="1:4" ht="12.75" x14ac:dyDescent="0.2">
      <c r="A304" s="643"/>
      <c r="B304" s="644"/>
      <c r="D304" s="643"/>
    </row>
    <row r="305" spans="1:4" ht="12.75" x14ac:dyDescent="0.2">
      <c r="A305" s="643"/>
      <c r="B305" s="644"/>
      <c r="D305" s="643"/>
    </row>
    <row r="306" spans="1:4" ht="12.75" x14ac:dyDescent="0.2">
      <c r="A306" s="643"/>
      <c r="B306" s="644"/>
      <c r="D306" s="643"/>
    </row>
    <row r="307" spans="1:4" ht="12.75" x14ac:dyDescent="0.2">
      <c r="A307" s="643"/>
      <c r="B307" s="644"/>
      <c r="D307" s="643"/>
    </row>
    <row r="308" spans="1:4" x14ac:dyDescent="0.2">
      <c r="B308" s="634">
        <f>COUNTA(B30:B307)</f>
        <v>257</v>
      </c>
    </row>
  </sheetData>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zoomScaleNormal="100" workbookViewId="0">
      <pane xSplit="1" ySplit="3" topLeftCell="B4" activePane="bottomRight" state="frozen"/>
      <selection activeCell="M160" sqref="M158:P160"/>
      <selection pane="topRight" activeCell="M160" sqref="M158:P160"/>
      <selection pane="bottomLeft" activeCell="M160" sqref="M158:P160"/>
      <selection pane="bottomRight" activeCell="A46" sqref="A1:J46"/>
    </sheetView>
  </sheetViews>
  <sheetFormatPr defaultRowHeight="12.75" x14ac:dyDescent="0.25"/>
  <cols>
    <col min="1" max="1" width="34.28515625" style="19" customWidth="1"/>
    <col min="2" max="11" width="8.7109375" style="19" customWidth="1"/>
    <col min="12" max="14" width="7.7109375" style="19" customWidth="1"/>
    <col min="15" max="16384" width="9.140625" style="19"/>
  </cols>
  <sheetData>
    <row r="1" spans="1:10" ht="13.5" x14ac:dyDescent="0.25">
      <c r="A1" s="100" t="str">
        <f>MEBsum</f>
        <v>Centlec - Table D1 Budget Summary</v>
      </c>
    </row>
    <row r="2" spans="1:10" ht="31.5" customHeight="1" x14ac:dyDescent="0.25">
      <c r="A2" s="388" t="str">
        <f>desc</f>
        <v>Description</v>
      </c>
      <c r="B2" s="97" t="str">
        <f>head1b</f>
        <v>2016/17</v>
      </c>
      <c r="C2" s="20" t="str">
        <f>head1A</f>
        <v>2017/18</v>
      </c>
      <c r="D2" s="92" t="str">
        <f>Head1</f>
        <v>2018/19</v>
      </c>
      <c r="E2" s="118" t="str">
        <f>Head2</f>
        <v>Current Year 2019/20</v>
      </c>
      <c r="F2" s="116"/>
      <c r="G2" s="117"/>
      <c r="H2" s="118" t="str">
        <f>Head3a</f>
        <v>Medium Term Revenue and Expenditure Framework</v>
      </c>
      <c r="I2" s="116"/>
      <c r="J2" s="117"/>
    </row>
    <row r="3" spans="1:10" ht="36" customHeight="1" x14ac:dyDescent="0.25">
      <c r="A3" s="390" t="s">
        <v>184</v>
      </c>
      <c r="B3" s="113" t="str">
        <f>Head5</f>
        <v>Audited Outcome</v>
      </c>
      <c r="C3" s="91" t="str">
        <f>Head5</f>
        <v>Audited Outcome</v>
      </c>
      <c r="D3" s="379" t="str">
        <f>Head5</f>
        <v>Audited Outcome</v>
      </c>
      <c r="E3" s="378" t="str">
        <f>Head6</f>
        <v>Original Budget</v>
      </c>
      <c r="F3" s="114" t="str">
        <f>Head7</f>
        <v>Adjusted Budget</v>
      </c>
      <c r="G3" s="379" t="str">
        <f>Head8</f>
        <v>Full Year Forecast</v>
      </c>
      <c r="H3" s="378" t="str">
        <f>Head9</f>
        <v>Budget Year 2020/21</v>
      </c>
      <c r="I3" s="114" t="str">
        <f>Head10</f>
        <v>Budget Year +1 2021/22</v>
      </c>
      <c r="J3" s="379" t="str">
        <f>Head11</f>
        <v>Budget Year +2 2022/23</v>
      </c>
    </row>
    <row r="4" spans="1:10" ht="12.75" customHeight="1" x14ac:dyDescent="0.25">
      <c r="A4" s="261" t="s">
        <v>245</v>
      </c>
      <c r="B4" s="57"/>
      <c r="C4" s="56"/>
      <c r="D4" s="112"/>
      <c r="E4" s="57"/>
      <c r="F4" s="56"/>
      <c r="G4" s="112"/>
      <c r="H4" s="57"/>
      <c r="I4" s="56"/>
      <c r="J4" s="112"/>
    </row>
    <row r="5" spans="1:10" ht="12.75" customHeight="1" x14ac:dyDescent="0.25">
      <c r="A5" s="517" t="s">
        <v>360</v>
      </c>
      <c r="B5" s="26">
        <f>'D2-FinPerf'!C5</f>
        <v>0</v>
      </c>
      <c r="C5" s="25">
        <f>'D2-FinPerf'!D5</f>
        <v>0</v>
      </c>
      <c r="D5" s="95">
        <f>'D2-FinPerf'!E5</f>
        <v>0</v>
      </c>
      <c r="E5" s="26">
        <f>'D2-FinPerf'!F5</f>
        <v>0</v>
      </c>
      <c r="F5" s="25">
        <f>'D2-FinPerf'!G5</f>
        <v>0</v>
      </c>
      <c r="G5" s="95">
        <f>'D2-FinPerf'!H5</f>
        <v>0</v>
      </c>
      <c r="H5" s="26">
        <f>'D2-FinPerf'!I5</f>
        <v>0</v>
      </c>
      <c r="I5" s="25">
        <f>'D2-FinPerf'!J5</f>
        <v>0</v>
      </c>
      <c r="J5" s="95">
        <f>'D2-FinPerf'!K5</f>
        <v>0</v>
      </c>
    </row>
    <row r="6" spans="1:10" ht="12.75" customHeight="1" x14ac:dyDescent="0.25">
      <c r="A6" s="517" t="s">
        <v>404</v>
      </c>
      <c r="B6" s="26">
        <f>SUM('D2-FinPerf'!C6:C9)</f>
        <v>2163286198</v>
      </c>
      <c r="C6" s="25">
        <f>SUM('D2-FinPerf'!D6:D9)</f>
        <v>2193332987</v>
      </c>
      <c r="D6" s="95">
        <f>SUM('D2-FinPerf'!E6:E9)</f>
        <v>2392451159.3200002</v>
      </c>
      <c r="E6" s="26">
        <f>SUM('D2-FinPerf'!F6:F9)</f>
        <v>2672427073</v>
      </c>
      <c r="F6" s="25">
        <f>SUM('D2-FinPerf'!G6:G9)</f>
        <v>2672427073</v>
      </c>
      <c r="G6" s="95">
        <f>SUM('D2-FinPerf'!H6:H9)</f>
        <v>2672427073</v>
      </c>
      <c r="H6" s="26">
        <f>SUM('D2-FinPerf'!I6:I9)</f>
        <v>2737318115</v>
      </c>
      <c r="I6" s="25">
        <f>SUM('D2-FinPerf'!J6:J9)</f>
        <v>2806709385</v>
      </c>
      <c r="J6" s="95">
        <f>SUM('D2-FinPerf'!K6:K9)</f>
        <v>2941207435.5085402</v>
      </c>
    </row>
    <row r="7" spans="1:10" ht="12.75" customHeight="1" x14ac:dyDescent="0.25">
      <c r="A7" s="517" t="s">
        <v>54</v>
      </c>
      <c r="B7" s="26">
        <f>'D2-FinPerf'!C12</f>
        <v>18577245</v>
      </c>
      <c r="C7" s="25">
        <f>'D2-FinPerf'!D12</f>
        <v>9708209</v>
      </c>
      <c r="D7" s="95">
        <f>'D2-FinPerf'!E12</f>
        <v>4267324.28</v>
      </c>
      <c r="E7" s="26">
        <f>'D2-FinPerf'!F12</f>
        <v>9088795</v>
      </c>
      <c r="F7" s="25">
        <f>'D2-FinPerf'!G12</f>
        <v>9088795</v>
      </c>
      <c r="G7" s="95">
        <f>'D2-FinPerf'!H12</f>
        <v>9088795</v>
      </c>
      <c r="H7" s="26">
        <f>'D2-FinPerf'!I12</f>
        <v>4506879.57</v>
      </c>
      <c r="I7" s="25">
        <f>'D2-FinPerf'!J12</f>
        <v>4723209.7893599998</v>
      </c>
      <c r="J7" s="95">
        <f>'D2-FinPerf'!K12</f>
        <v>4949923.8592492798</v>
      </c>
    </row>
    <row r="8" spans="1:10" ht="12.75" customHeight="1" x14ac:dyDescent="0.25">
      <c r="A8" s="517" t="s">
        <v>976</v>
      </c>
      <c r="B8" s="25">
        <f>'D2-FinPerf'!C18+'D2-FinPerf'!C38</f>
        <v>7456140</v>
      </c>
      <c r="C8" s="25">
        <f>'D2-FinPerf'!D18+'D2-FinPerf'!D38</f>
        <v>17506656</v>
      </c>
      <c r="D8" s="95">
        <f>'D2-FinPerf'!E18+'D2-FinPerf'!E38</f>
        <v>0</v>
      </c>
      <c r="E8" s="26">
        <f>'D2-FinPerf'!F18+'D2-FinPerf'!F38</f>
        <v>26000000</v>
      </c>
      <c r="F8" s="25">
        <f>'D2-FinPerf'!G18+'D2-FinPerf'!G38</f>
        <v>26000000</v>
      </c>
      <c r="G8" s="95">
        <f>'D2-FinPerf'!H18+'D2-FinPerf'!H38</f>
        <v>26000000</v>
      </c>
      <c r="H8" s="26">
        <f>'D2-FinPerf'!I18+'D2-FinPerf'!I38</f>
        <v>126932802.634</v>
      </c>
      <c r="I8" s="25">
        <f>'D2-FinPerf'!J18+'D2-FinPerf'!J38</f>
        <v>62242729.464432001</v>
      </c>
      <c r="J8" s="95">
        <f>'D2-FinPerf'!K18+'D2-FinPerf'!K38</f>
        <v>67534199.58272469</v>
      </c>
    </row>
    <row r="9" spans="1:10" ht="12.75" customHeight="1" x14ac:dyDescent="0.25">
      <c r="A9" s="517" t="s">
        <v>52</v>
      </c>
      <c r="B9" s="26">
        <f>'D2-FinPerf'!C11+'D2-FinPerf'!C13+'D2-FinPerf'!C14+'D2-FinPerf'!C15+'D2-FinPerf'!C16+'D2-FinPerf'!C17+'D2-FinPerf'!C19+'D2-FinPerf'!C20</f>
        <v>33372417</v>
      </c>
      <c r="C9" s="25">
        <f>'D2-FinPerf'!D11+'D2-FinPerf'!D13+'D2-FinPerf'!D14+'D2-FinPerf'!D15+'D2-FinPerf'!D16+'D2-FinPerf'!D17+'D2-FinPerf'!D19+'D2-FinPerf'!D20</f>
        <v>151835816</v>
      </c>
      <c r="D9" s="95">
        <f>'D2-FinPerf'!E11+'D2-FinPerf'!E13+'D2-FinPerf'!E14+'D2-FinPerf'!E15+'D2-FinPerf'!E16+'D2-FinPerf'!E17+'D2-FinPerf'!E19+'D2-FinPerf'!E20</f>
        <v>57606916.909999996</v>
      </c>
      <c r="E9" s="26">
        <f>'D2-FinPerf'!F11+'D2-FinPerf'!F13+'D2-FinPerf'!F14+'D2-FinPerf'!F15+'D2-FinPerf'!F16+'D2-FinPerf'!F17+'D2-FinPerf'!F19+'D2-FinPerf'!F18</f>
        <v>35041918</v>
      </c>
      <c r="F9" s="25">
        <f>'D2-FinPerf'!G11+'D2-FinPerf'!G13+'D2-FinPerf'!G14+'D2-FinPerf'!G15+'D2-FinPerf'!G16+'D2-FinPerf'!G17+'D2-FinPerf'!G19+'D2-FinPerf'!G20</f>
        <v>85386278</v>
      </c>
      <c r="G9" s="95">
        <f>'D2-FinPerf'!H11+'D2-FinPerf'!H13+'D2-FinPerf'!H14+'D2-FinPerf'!H15+'D2-FinPerf'!H16+'D2-FinPerf'!H17+'D2-FinPerf'!H19+'D2-FinPerf'!H20</f>
        <v>85386278</v>
      </c>
      <c r="H9" s="26">
        <f>'D2-FinPerf'!I11+'D2-FinPerf'!I13+'D2-FinPerf'!I14+'D2-FinPerf'!I15+'D2-FinPerf'!I16+'D2-FinPerf'!I17+'D2-FinPerf'!I19+'D2-FinPerf'!I20</f>
        <v>41132601.706</v>
      </c>
      <c r="I9" s="25">
        <f>'D2-FinPerf'!J11+'D2-FinPerf'!J13+'D2-FinPerf'!J14+'D2-FinPerf'!J15+'D2-FinPerf'!J16+'D2-FinPerf'!J17+'D2-FinPerf'!J19+'D2-FinPerf'!J20</f>
        <v>43106966.587888002</v>
      </c>
      <c r="J9" s="95">
        <f>'D2-FinPerf'!K11+'D2-FinPerf'!K13+'D2-FinPerf'!K14+'D2-FinPerf'!K15+'D2-FinPerf'!K16+'D2-FinPerf'!K17+'D2-FinPerf'!K19+'D2-FinPerf'!K20</f>
        <v>45176100.984106623</v>
      </c>
    </row>
    <row r="10" spans="1:10" ht="25.5" customHeight="1" x14ac:dyDescent="0.25">
      <c r="A10" s="436" t="s">
        <v>496</v>
      </c>
      <c r="B10" s="278">
        <f>SUM(B5:B9)</f>
        <v>2222692000</v>
      </c>
      <c r="C10" s="279">
        <f t="shared" ref="C10:J10" si="0">SUM(C5:C9)</f>
        <v>2372383668</v>
      </c>
      <c r="D10" s="280">
        <f t="shared" si="0"/>
        <v>2454325400.5100002</v>
      </c>
      <c r="E10" s="278">
        <f t="shared" si="0"/>
        <v>2742557786</v>
      </c>
      <c r="F10" s="279">
        <f t="shared" si="0"/>
        <v>2792902146</v>
      </c>
      <c r="G10" s="280">
        <f t="shared" si="0"/>
        <v>2792902146</v>
      </c>
      <c r="H10" s="278">
        <f t="shared" si="0"/>
        <v>2909890398.9099998</v>
      </c>
      <c r="I10" s="279">
        <f t="shared" si="0"/>
        <v>2916782290.8416796</v>
      </c>
      <c r="J10" s="280">
        <f t="shared" si="0"/>
        <v>3058867659.9346204</v>
      </c>
    </row>
    <row r="11" spans="1:10" ht="12.75" customHeight="1" x14ac:dyDescent="0.25">
      <c r="A11" s="517" t="s">
        <v>35</v>
      </c>
      <c r="B11" s="26">
        <f>'D2-FinPerf'!C24</f>
        <v>203601077.27000001</v>
      </c>
      <c r="C11" s="25">
        <f>'D2-FinPerf'!D24</f>
        <v>302450932.33999997</v>
      </c>
      <c r="D11" s="95">
        <f>'D2-FinPerf'!E24</f>
        <v>347493787.24000001</v>
      </c>
      <c r="E11" s="26">
        <f>'D2-FinPerf'!F24</f>
        <v>344699027</v>
      </c>
      <c r="F11" s="25">
        <f>'D2-FinPerf'!G24</f>
        <v>345196091</v>
      </c>
      <c r="G11" s="95">
        <f>'D2-FinPerf'!H24</f>
        <v>345196091</v>
      </c>
      <c r="H11" s="26">
        <f>'D2-FinPerf'!I24</f>
        <v>369359817.37000006</v>
      </c>
      <c r="I11" s="25">
        <f>'D2-FinPerf'!J24</f>
        <v>395215004.58590007</v>
      </c>
      <c r="J11" s="95">
        <f>'D2-FinPerf'!K24</f>
        <v>422880054.90691304</v>
      </c>
    </row>
    <row r="12" spans="1:10" ht="12.75" customHeight="1" x14ac:dyDescent="0.25">
      <c r="A12" s="517" t="s">
        <v>977</v>
      </c>
      <c r="B12" s="26">
        <f>'D2-FinPerf'!C25</f>
        <v>1161283.18</v>
      </c>
      <c r="C12" s="25">
        <f>'D2-FinPerf'!D25</f>
        <v>1262584</v>
      </c>
      <c r="D12" s="95">
        <f>'D2-FinPerf'!E25</f>
        <v>406169</v>
      </c>
      <c r="E12" s="26">
        <f>'D2-FinPerf'!F25</f>
        <v>1751260</v>
      </c>
      <c r="F12" s="25">
        <f>'D2-FinPerf'!G25</f>
        <v>1751260</v>
      </c>
      <c r="G12" s="95">
        <f>'D2-FinPerf'!H25</f>
        <v>1751260</v>
      </c>
      <c r="H12" s="26">
        <f>'D2-FinPerf'!I25</f>
        <v>1831817.96</v>
      </c>
      <c r="I12" s="25">
        <f>'D2-FinPerf'!J25</f>
        <v>1919745.2220800002</v>
      </c>
      <c r="J12" s="95">
        <f>'D2-FinPerf'!K25</f>
        <v>2011892.9927398399</v>
      </c>
    </row>
    <row r="13" spans="1:10" ht="12.75" customHeight="1" x14ac:dyDescent="0.25">
      <c r="A13" s="517" t="s">
        <v>179</v>
      </c>
      <c r="B13" s="26">
        <f>'D2-FinPerf'!C27</f>
        <v>141354558</v>
      </c>
      <c r="C13" s="25">
        <f>'D2-FinPerf'!D27</f>
        <v>134199325</v>
      </c>
      <c r="D13" s="95">
        <f>'D2-FinPerf'!E27</f>
        <v>135051724.91</v>
      </c>
      <c r="E13" s="26">
        <f>'D2-FinPerf'!F27</f>
        <v>104948807</v>
      </c>
      <c r="F13" s="25">
        <f>'D2-FinPerf'!G27</f>
        <v>70887428</v>
      </c>
      <c r="G13" s="95">
        <f>'D2-FinPerf'!H27</f>
        <v>70887428</v>
      </c>
      <c r="H13" s="26">
        <f>'D2-FinPerf'!I27</f>
        <v>74148249.687999994</v>
      </c>
      <c r="I13" s="25">
        <f>'D2-FinPerf'!J27</f>
        <v>77707365.673023984</v>
      </c>
      <c r="J13" s="95">
        <f>'D2-FinPerf'!K27</f>
        <v>81437319.225329146</v>
      </c>
    </row>
    <row r="14" spans="1:10" ht="12.75" customHeight="1" x14ac:dyDescent="0.25">
      <c r="A14" s="517" t="s">
        <v>19</v>
      </c>
      <c r="B14" s="26">
        <f>'D2-FinPerf'!C28</f>
        <v>210207777</v>
      </c>
      <c r="C14" s="25">
        <f>'D2-FinPerf'!D28</f>
        <v>117459</v>
      </c>
      <c r="D14" s="95">
        <f>'D2-FinPerf'!E28</f>
        <v>9340427.5199999996</v>
      </c>
      <c r="E14" s="26">
        <f>'D2-FinPerf'!F28</f>
        <v>54163</v>
      </c>
      <c r="F14" s="25">
        <f>'D2-FinPerf'!G28</f>
        <v>54163</v>
      </c>
      <c r="G14" s="95">
        <f>'D2-FinPerf'!H28</f>
        <v>54163</v>
      </c>
      <c r="H14" s="26">
        <f>'D2-FinPerf'!I28</f>
        <v>56600.334999999999</v>
      </c>
      <c r="I14" s="25">
        <f>'D2-FinPerf'!J28</f>
        <v>59203.950409999998</v>
      </c>
      <c r="J14" s="95">
        <f>'D2-FinPerf'!K28</f>
        <v>61927.332128859998</v>
      </c>
    </row>
    <row r="15" spans="1:10" ht="12.75" customHeight="1" x14ac:dyDescent="0.25">
      <c r="A15" s="517" t="s">
        <v>53</v>
      </c>
      <c r="B15" s="26">
        <f>'D2-FinPerf'!C29+'D2-FinPerf'!C30</f>
        <v>1478240236</v>
      </c>
      <c r="C15" s="25">
        <f>'D2-FinPerf'!D29+'D2-FinPerf'!D30</f>
        <v>1429951599</v>
      </c>
      <c r="D15" s="95">
        <f>'D2-FinPerf'!E29+'D2-FinPerf'!E30</f>
        <v>1532653589.6699998</v>
      </c>
      <c r="E15" s="26">
        <f>'D2-FinPerf'!F29+'D2-FinPerf'!F30</f>
        <v>1758832052</v>
      </c>
      <c r="F15" s="25">
        <f>'D2-FinPerf'!G29+'D2-FinPerf'!G30</f>
        <v>1569561585</v>
      </c>
      <c r="G15" s="95">
        <f>'D2-FinPerf'!H29+'D2-FinPerf'!H30</f>
        <v>1569561585</v>
      </c>
      <c r="H15" s="26">
        <f>'D2-FinPerf'!I29+'D2-FinPerf'!I30</f>
        <v>1688760007.6340001</v>
      </c>
      <c r="I15" s="25">
        <f>'D2-FinPerf'!J29+'D2-FinPerf'!J30</f>
        <v>1769818488.000432</v>
      </c>
      <c r="J15" s="95">
        <f>'D2-FinPerf'!K29+'D2-FinPerf'!K30</f>
        <v>1881767683.4244528</v>
      </c>
    </row>
    <row r="16" spans="1:10" ht="12.75" customHeight="1" x14ac:dyDescent="0.25">
      <c r="A16" s="281" t="s">
        <v>978</v>
      </c>
      <c r="B16" s="26">
        <f>'D2-FinPerf'!C32</f>
        <v>0</v>
      </c>
      <c r="C16" s="25">
        <f>'D2-FinPerf'!D32</f>
        <v>0</v>
      </c>
      <c r="D16" s="95">
        <f>'D2-FinPerf'!E32</f>
        <v>0</v>
      </c>
      <c r="E16" s="26">
        <f>'D2-FinPerf'!F32</f>
        <v>120000000</v>
      </c>
      <c r="F16" s="25">
        <f>'D2-FinPerf'!G32</f>
        <v>120000000</v>
      </c>
      <c r="G16" s="95">
        <f>'D2-FinPerf'!H32</f>
        <v>120000000</v>
      </c>
      <c r="H16" s="26">
        <f>'D2-FinPerf'!I32</f>
        <v>120000000</v>
      </c>
      <c r="I16" s="25">
        <f>'D2-FinPerf'!J32</f>
        <v>120000000</v>
      </c>
      <c r="J16" s="95">
        <f>'D2-FinPerf'!K32</f>
        <v>120000000</v>
      </c>
    </row>
    <row r="17" spans="1:11" ht="12.75" customHeight="1" x14ac:dyDescent="0.25">
      <c r="A17" s="517" t="s">
        <v>6</v>
      </c>
      <c r="B17" s="26">
        <f>'D2-FinPerf'!C35-SUM('D1-Sum'!B11:B16)</f>
        <v>305381811.81000018</v>
      </c>
      <c r="C17" s="25">
        <f>'D2-FinPerf'!D35-SUM('D1-Sum'!C11:C16)</f>
        <v>327949645.00000024</v>
      </c>
      <c r="D17" s="95">
        <f>'D2-FinPerf'!E35-SUM('D1-Sum'!D11:D16)</f>
        <v>416444901.51000023</v>
      </c>
      <c r="E17" s="26">
        <f>'D2-FinPerf'!F35-SUM('D1-Sum'!E11:E16)</f>
        <v>278068168</v>
      </c>
      <c r="F17" s="25">
        <f>'D2-FinPerf'!G35-SUM('D1-Sum'!F11:F16)</f>
        <v>131530169</v>
      </c>
      <c r="G17" s="95">
        <f>'D2-FinPerf'!H35-SUM('D1-Sum'!G11:G16)</f>
        <v>131530169</v>
      </c>
      <c r="H17" s="26">
        <f>'D2-FinPerf'!I35-SUM('D1-Sum'!H11:H16)</f>
        <v>208265371.81200027</v>
      </c>
      <c r="I17" s="25">
        <f>'D2-FinPerf'!J35-SUM('D1-Sum'!I11:I16)</f>
        <v>218262109.65897608</v>
      </c>
      <c r="J17" s="95">
        <f>'D2-FinPerf'!K35-SUM('D1-Sum'!J11:J16)</f>
        <v>228738690.92260695</v>
      </c>
    </row>
    <row r="18" spans="1:11" ht="12.75" customHeight="1" x14ac:dyDescent="0.25">
      <c r="A18" s="282" t="s">
        <v>47</v>
      </c>
      <c r="B18" s="43">
        <f>SUM(B11:B17)</f>
        <v>2339946743.2600002</v>
      </c>
      <c r="C18" s="42">
        <f t="shared" ref="C18:J18" si="1">SUM(C11:C17)</f>
        <v>2195931544.3400002</v>
      </c>
      <c r="D18" s="96">
        <f t="shared" si="1"/>
        <v>2441390599.8499999</v>
      </c>
      <c r="E18" s="43">
        <f t="shared" si="1"/>
        <v>2608353477</v>
      </c>
      <c r="F18" s="42">
        <f t="shared" si="1"/>
        <v>2238980696</v>
      </c>
      <c r="G18" s="96">
        <f t="shared" si="1"/>
        <v>2238980696</v>
      </c>
      <c r="H18" s="43">
        <f t="shared" si="1"/>
        <v>2462421864.7990003</v>
      </c>
      <c r="I18" s="42">
        <f t="shared" si="1"/>
        <v>2582981917.0908222</v>
      </c>
      <c r="J18" s="96">
        <f t="shared" si="1"/>
        <v>2736897568.8041706</v>
      </c>
    </row>
    <row r="19" spans="1:11" ht="12.75" customHeight="1" x14ac:dyDescent="0.25">
      <c r="A19" s="283" t="s">
        <v>48</v>
      </c>
      <c r="B19" s="29">
        <f>B10-B18</f>
        <v>-117254743.26000023</v>
      </c>
      <c r="C19" s="28">
        <f t="shared" ref="C19:J19" si="2">C10-C18</f>
        <v>176452123.65999985</v>
      </c>
      <c r="D19" s="111">
        <f t="shared" si="2"/>
        <v>12934800.660000324</v>
      </c>
      <c r="E19" s="29">
        <f t="shared" si="2"/>
        <v>134204309</v>
      </c>
      <c r="F19" s="28">
        <f t="shared" si="2"/>
        <v>553921450</v>
      </c>
      <c r="G19" s="111">
        <f t="shared" si="2"/>
        <v>553921450</v>
      </c>
      <c r="H19" s="29">
        <f t="shared" si="2"/>
        <v>447468534.11099958</v>
      </c>
      <c r="I19" s="28">
        <f t="shared" si="2"/>
        <v>333800373.75085735</v>
      </c>
      <c r="J19" s="111">
        <f t="shared" si="2"/>
        <v>321970091.13044977</v>
      </c>
    </row>
    <row r="20" spans="1:11" ht="22.9" customHeight="1" x14ac:dyDescent="0.25">
      <c r="A20" s="654" t="str">
        <f>'D2-FinPerf'!A38</f>
        <v>Transfers and subsidies - capital (monetary allocations) (National / Provincial and District)</v>
      </c>
      <c r="B20" s="26">
        <f>'D2-FinPerf'!C38</f>
        <v>7456140</v>
      </c>
      <c r="C20" s="25">
        <f>'D2-FinPerf'!D38</f>
        <v>17506656</v>
      </c>
      <c r="D20" s="95">
        <f>'D2-FinPerf'!E38</f>
        <v>0</v>
      </c>
      <c r="E20" s="26">
        <f>'D2-FinPerf'!F38</f>
        <v>26000000</v>
      </c>
      <c r="F20" s="25">
        <f>'D2-FinPerf'!G38</f>
        <v>26000000</v>
      </c>
      <c r="G20" s="95">
        <f>'D2-FinPerf'!H38</f>
        <v>26000000</v>
      </c>
      <c r="H20" s="26">
        <f>'D2-FinPerf'!I38</f>
        <v>57499976</v>
      </c>
      <c r="I20" s="25">
        <f>'D2-FinPerf'!J38</f>
        <v>24868551</v>
      </c>
      <c r="J20" s="95">
        <f>'D2-FinPerf'!K38</f>
        <v>27214151</v>
      </c>
    </row>
    <row r="21" spans="1:11" ht="53.45" customHeight="1" x14ac:dyDescent="0.25">
      <c r="A21" s="654" t="str">
        <f>'D2-FinPerf'!A39&amp;" &amp; "&amp;'D2-FinPerf'!A40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1" s="26">
        <f>'D2-FinPerf'!C39+'D2-FinPerf'!C40</f>
        <v>12811431</v>
      </c>
      <c r="C21" s="25">
        <f>'D2-FinPerf'!D39+'D2-FinPerf'!D40</f>
        <v>1706656</v>
      </c>
      <c r="D21" s="95">
        <f>'D2-FinPerf'!E39+'D2-FinPerf'!E40</f>
        <v>21912812.579999998</v>
      </c>
      <c r="E21" s="26">
        <f>'D2-FinPerf'!F39+'D2-FinPerf'!F40</f>
        <v>11408079</v>
      </c>
      <c r="F21" s="25">
        <f>'D2-FinPerf'!G39+'D2-FinPerf'!G40</f>
        <v>11408079</v>
      </c>
      <c r="G21" s="95">
        <f>'D2-FinPerf'!H39+'D2-FinPerf'!H40</f>
        <v>11408079</v>
      </c>
      <c r="H21" s="26">
        <f>'D2-FinPerf'!I39+'D2-FinPerf'!I40</f>
        <v>11932850.634</v>
      </c>
      <c r="I21" s="25">
        <f>'D2-FinPerf'!J39+'D2-FinPerf'!J40</f>
        <v>12505627.464431999</v>
      </c>
      <c r="J21" s="95">
        <f>'D2-FinPerf'!K39+'D2-FinPerf'!K40</f>
        <v>13105897.582724735</v>
      </c>
    </row>
    <row r="22" spans="1:11" ht="15" customHeight="1" x14ac:dyDescent="0.25">
      <c r="A22" s="377" t="s">
        <v>525</v>
      </c>
      <c r="B22" s="407">
        <f>B19+B20+B21</f>
        <v>-96987172.260000229</v>
      </c>
      <c r="C22" s="408">
        <f t="shared" ref="C22:J22" si="3">C19+C20+C21</f>
        <v>195665435.65999985</v>
      </c>
      <c r="D22" s="409">
        <f t="shared" si="3"/>
        <v>34847613.240000322</v>
      </c>
      <c r="E22" s="407">
        <f t="shared" si="3"/>
        <v>171612388</v>
      </c>
      <c r="F22" s="408">
        <f t="shared" si="3"/>
        <v>591329529</v>
      </c>
      <c r="G22" s="409">
        <f t="shared" si="3"/>
        <v>591329529</v>
      </c>
      <c r="H22" s="407">
        <f t="shared" si="3"/>
        <v>516901360.74499959</v>
      </c>
      <c r="I22" s="408">
        <f t="shared" si="3"/>
        <v>371174552.21528935</v>
      </c>
      <c r="J22" s="409">
        <f t="shared" si="3"/>
        <v>362290139.71317452</v>
      </c>
    </row>
    <row r="23" spans="1:11" ht="12.75" customHeight="1" x14ac:dyDescent="0.25">
      <c r="A23" s="610" t="s">
        <v>30</v>
      </c>
      <c r="B23" s="26">
        <f>'D2-FinPerf'!C42</f>
        <v>-24280825</v>
      </c>
      <c r="C23" s="25">
        <f>'D2-FinPerf'!D42</f>
        <v>46179009</v>
      </c>
      <c r="D23" s="95">
        <f>'D2-FinPerf'!E42</f>
        <v>0</v>
      </c>
      <c r="E23" s="26">
        <f>'D2-FinPerf'!F42</f>
        <v>0</v>
      </c>
      <c r="F23" s="25">
        <f>'D2-FinPerf'!G42</f>
        <v>0</v>
      </c>
      <c r="G23" s="95">
        <f>'D2-FinPerf'!H42</f>
        <v>0</v>
      </c>
      <c r="H23" s="26">
        <f>'D2-FinPerf'!I42</f>
        <v>0</v>
      </c>
      <c r="I23" s="25">
        <f>'D2-FinPerf'!J42</f>
        <v>0</v>
      </c>
      <c r="J23" s="95">
        <f>'D2-FinPerf'!K42</f>
        <v>0</v>
      </c>
    </row>
    <row r="24" spans="1:11" ht="12.75" customHeight="1" x14ac:dyDescent="0.25">
      <c r="A24" s="262" t="s">
        <v>336</v>
      </c>
      <c r="B24" s="186">
        <f>B22-B23</f>
        <v>-72706347.260000229</v>
      </c>
      <c r="C24" s="187">
        <f t="shared" ref="C24:J24" si="4">C22-C23</f>
        <v>149486426.65999985</v>
      </c>
      <c r="D24" s="188">
        <f t="shared" si="4"/>
        <v>34847613.240000322</v>
      </c>
      <c r="E24" s="186">
        <f t="shared" si="4"/>
        <v>171612388</v>
      </c>
      <c r="F24" s="187">
        <f t="shared" si="4"/>
        <v>591329529</v>
      </c>
      <c r="G24" s="188">
        <f t="shared" si="4"/>
        <v>591329529</v>
      </c>
      <c r="H24" s="186">
        <f t="shared" si="4"/>
        <v>516901360.74499959</v>
      </c>
      <c r="I24" s="187">
        <f t="shared" si="4"/>
        <v>371174552.21528935</v>
      </c>
      <c r="J24" s="188">
        <f t="shared" si="4"/>
        <v>362290139.71317452</v>
      </c>
    </row>
    <row r="25" spans="1:11" ht="5.0999999999999996" customHeight="1" x14ac:dyDescent="0.25">
      <c r="A25" s="263"/>
      <c r="B25" s="63"/>
      <c r="C25" s="62"/>
      <c r="D25" s="110"/>
      <c r="E25" s="63"/>
      <c r="F25" s="62"/>
      <c r="G25" s="110"/>
      <c r="H25" s="63"/>
      <c r="I25" s="62"/>
      <c r="J25" s="110"/>
    </row>
    <row r="26" spans="1:11" ht="12.75" customHeight="1" x14ac:dyDescent="0.25">
      <c r="A26" s="264" t="s">
        <v>359</v>
      </c>
      <c r="B26" s="61"/>
      <c r="C26" s="60"/>
      <c r="D26" s="94"/>
      <c r="E26" s="61"/>
      <c r="F26" s="60"/>
      <c r="G26" s="94"/>
      <c r="H26" s="61"/>
      <c r="I26" s="60"/>
      <c r="J26" s="94"/>
    </row>
    <row r="27" spans="1:11" ht="12.75" customHeight="1" x14ac:dyDescent="0.25">
      <c r="A27" s="265" t="s">
        <v>115</v>
      </c>
      <c r="B27" s="29">
        <f>'D3-Capex'!C167</f>
        <v>222562922.25000003</v>
      </c>
      <c r="C27" s="28">
        <f>'D3-Capex'!D167</f>
        <v>118986262.99999999</v>
      </c>
      <c r="D27" s="111">
        <f>'D3-Capex'!E167</f>
        <v>178299145.59999996</v>
      </c>
      <c r="E27" s="29">
        <f>'D3-Capex'!F167</f>
        <v>145638821</v>
      </c>
      <c r="F27" s="28">
        <f>'D3-Capex'!G167</f>
        <v>119158821</v>
      </c>
      <c r="G27" s="111">
        <f>'D3-Capex'!H167</f>
        <v>119158821</v>
      </c>
      <c r="H27" s="29">
        <f>'D3-Capex'!I167</f>
        <v>169725000.458</v>
      </c>
      <c r="I27" s="28">
        <f>'D3-Capex'!J167</f>
        <v>124041374.831984</v>
      </c>
      <c r="J27" s="111">
        <f>'D3-Capex'!K167</f>
        <v>129048133.50332275</v>
      </c>
      <c r="K27" s="40"/>
    </row>
    <row r="28" spans="1:11" ht="12.75" customHeight="1" x14ac:dyDescent="0.25">
      <c r="A28" s="437" t="s">
        <v>391</v>
      </c>
      <c r="B28" s="26">
        <f>'D3-Capex'!C174</f>
        <v>20267571</v>
      </c>
      <c r="C28" s="25">
        <f>'D3-Capex'!D174</f>
        <v>29018784</v>
      </c>
      <c r="D28" s="95">
        <f>'D3-Capex'!E174</f>
        <v>23648812.539999999</v>
      </c>
      <c r="E28" s="26">
        <f>'D3-Capex'!F174</f>
        <v>37408079</v>
      </c>
      <c r="F28" s="25">
        <f>'D3-Capex'!G174</f>
        <v>72883380</v>
      </c>
      <c r="G28" s="95">
        <f>'D3-Capex'!H174</f>
        <v>72883380</v>
      </c>
      <c r="H28" s="26">
        <f>'D3-Capex'!I174</f>
        <v>69432826.634000003</v>
      </c>
      <c r="I28" s="25">
        <f>'D3-Capex'!J174</f>
        <v>37374178.464432001</v>
      </c>
      <c r="J28" s="95">
        <f>'D3-Capex'!K174</f>
        <v>40320048.582724735</v>
      </c>
      <c r="K28" s="98"/>
    </row>
    <row r="29" spans="1:11" ht="0.95" customHeight="1" x14ac:dyDescent="0.25">
      <c r="A29" s="50"/>
      <c r="B29" s="26"/>
      <c r="C29" s="25"/>
      <c r="D29" s="95"/>
      <c r="E29" s="26"/>
      <c r="F29" s="25"/>
      <c r="G29" s="95"/>
      <c r="H29" s="26"/>
      <c r="I29" s="25"/>
      <c r="J29" s="95"/>
      <c r="K29" s="98"/>
    </row>
    <row r="30" spans="1:11" ht="12.75" customHeight="1" x14ac:dyDescent="0.25">
      <c r="A30" s="50" t="s">
        <v>270</v>
      </c>
      <c r="B30" s="26">
        <f>'D3-Capex'!C176</f>
        <v>0</v>
      </c>
      <c r="C30" s="25">
        <f>'D3-Capex'!D176</f>
        <v>0</v>
      </c>
      <c r="D30" s="95">
        <f>'D3-Capex'!E176</f>
        <v>0</v>
      </c>
      <c r="E30" s="26">
        <f>'D3-Capex'!F176</f>
        <v>0</v>
      </c>
      <c r="F30" s="25">
        <f>'D3-Capex'!G176</f>
        <v>0</v>
      </c>
      <c r="G30" s="95">
        <f>'D3-Capex'!H176</f>
        <v>0</v>
      </c>
      <c r="H30" s="26">
        <f>'D3-Capex'!I176</f>
        <v>0</v>
      </c>
      <c r="I30" s="25">
        <f>'D3-Capex'!J176</f>
        <v>0</v>
      </c>
      <c r="J30" s="95">
        <f>'D3-Capex'!K176</f>
        <v>0</v>
      </c>
      <c r="K30" s="98"/>
    </row>
    <row r="31" spans="1:11" ht="12.75" customHeight="1" x14ac:dyDescent="0.25">
      <c r="A31" s="281" t="s">
        <v>34</v>
      </c>
      <c r="B31" s="26">
        <f>'D3-Capex'!C177</f>
        <v>202295351.25</v>
      </c>
      <c r="C31" s="25">
        <f>'D3-Capex'!D177</f>
        <v>89967478.999999985</v>
      </c>
      <c r="D31" s="95">
        <f>'D3-Capex'!E177</f>
        <v>154650333.05999997</v>
      </c>
      <c r="E31" s="26">
        <f>'D3-Capex'!F177</f>
        <v>108230742</v>
      </c>
      <c r="F31" s="25">
        <f>'D3-Capex'!G177</f>
        <v>46275441</v>
      </c>
      <c r="G31" s="95">
        <f>'D3-Capex'!H177</f>
        <v>46275441</v>
      </c>
      <c r="H31" s="26">
        <f>'D3-Capex'!I177</f>
        <v>100292172.794</v>
      </c>
      <c r="I31" s="25">
        <f>'D3-Capex'!J177</f>
        <v>86667197.088111997</v>
      </c>
      <c r="J31" s="95">
        <f>'D3-Capex'!K177</f>
        <v>88728084.548341379</v>
      </c>
      <c r="K31" s="98"/>
    </row>
    <row r="32" spans="1:11" ht="12.75" customHeight="1" x14ac:dyDescent="0.25">
      <c r="A32" s="52" t="s">
        <v>105</v>
      </c>
      <c r="B32" s="29">
        <f>+B28+B30+B31</f>
        <v>222562922.25</v>
      </c>
      <c r="C32" s="28">
        <f t="shared" ref="C32:J32" si="5">+C28+C30+C31</f>
        <v>118986262.99999999</v>
      </c>
      <c r="D32" s="111">
        <f t="shared" si="5"/>
        <v>178299145.59999996</v>
      </c>
      <c r="E32" s="29">
        <f t="shared" si="5"/>
        <v>145638821</v>
      </c>
      <c r="F32" s="28">
        <f t="shared" si="5"/>
        <v>119158821</v>
      </c>
      <c r="G32" s="111">
        <f t="shared" si="5"/>
        <v>119158821</v>
      </c>
      <c r="H32" s="29">
        <f t="shared" si="5"/>
        <v>169724999.428</v>
      </c>
      <c r="I32" s="28">
        <f t="shared" si="5"/>
        <v>124041375.552544</v>
      </c>
      <c r="J32" s="111">
        <f t="shared" si="5"/>
        <v>129048133.13106611</v>
      </c>
    </row>
    <row r="33" spans="1:10" ht="5.0999999999999996" customHeight="1" x14ac:dyDescent="0.25">
      <c r="A33" s="266"/>
      <c r="B33" s="63"/>
      <c r="C33" s="62"/>
      <c r="D33" s="110"/>
      <c r="E33" s="63"/>
      <c r="F33" s="62"/>
      <c r="G33" s="110"/>
      <c r="H33" s="63"/>
      <c r="I33" s="62"/>
      <c r="J33" s="110"/>
    </row>
    <row r="34" spans="1:10" ht="12.75" customHeight="1" x14ac:dyDescent="0.25">
      <c r="A34" s="264" t="s">
        <v>50</v>
      </c>
      <c r="B34" s="61"/>
      <c r="C34" s="60"/>
      <c r="D34" s="94"/>
      <c r="E34" s="61"/>
      <c r="F34" s="60"/>
      <c r="G34" s="94"/>
      <c r="H34" s="61"/>
      <c r="I34" s="60"/>
      <c r="J34" s="94"/>
    </row>
    <row r="35" spans="1:10" ht="12.75" customHeight="1" x14ac:dyDescent="0.25">
      <c r="A35" s="50" t="s">
        <v>151</v>
      </c>
      <c r="B35" s="26">
        <f>'D4-FinPos'!C12</f>
        <v>909166016</v>
      </c>
      <c r="C35" s="25">
        <f>'D4-FinPos'!D12</f>
        <v>888229644</v>
      </c>
      <c r="D35" s="95">
        <f>'D4-FinPos'!E12</f>
        <v>937401927</v>
      </c>
      <c r="E35" s="26">
        <f>'D4-FinPos'!F12</f>
        <v>958632755</v>
      </c>
      <c r="F35" s="25">
        <f>'D4-FinPos'!G12</f>
        <v>958632755</v>
      </c>
      <c r="G35" s="95">
        <f>'D4-FinPos'!H12</f>
        <v>958632755</v>
      </c>
      <c r="H35" s="26">
        <f>'D4-FinPos'!I12</f>
        <v>1001771228.9749999</v>
      </c>
      <c r="I35" s="25">
        <f>'D4-FinPos'!J12</f>
        <v>1047852705.5078498</v>
      </c>
      <c r="J35" s="95">
        <f>'D4-FinPos'!K12</f>
        <v>1096053929.9612112</v>
      </c>
    </row>
    <row r="36" spans="1:10" ht="12.75" customHeight="1" x14ac:dyDescent="0.25">
      <c r="A36" s="50" t="s">
        <v>150</v>
      </c>
      <c r="B36" s="26">
        <f>'D4-FinPos'!C24</f>
        <v>4187418669</v>
      </c>
      <c r="C36" s="25">
        <f>'D4-FinPos'!D24</f>
        <v>4215570153</v>
      </c>
      <c r="D36" s="95">
        <f>'D4-FinPos'!E24</f>
        <v>4406942272</v>
      </c>
      <c r="E36" s="26">
        <f>'D4-FinPos'!F24</f>
        <v>4372234565</v>
      </c>
      <c r="F36" s="25">
        <f>'D4-FinPos'!G24</f>
        <v>4345754565</v>
      </c>
      <c r="G36" s="95">
        <f>'D4-FinPos'!H24</f>
        <v>4345754565</v>
      </c>
      <c r="H36" s="26">
        <f>'D4-FinPos'!I24</f>
        <v>4431098765.1499996</v>
      </c>
      <c r="I36" s="25">
        <f>'D4-FinPos'!J24</f>
        <v>4641839831.09832</v>
      </c>
      <c r="J36" s="95">
        <f>'D4-FinPos'!K24</f>
        <v>4862665158.9979429</v>
      </c>
    </row>
    <row r="37" spans="1:10" ht="12.75" customHeight="1" x14ac:dyDescent="0.25">
      <c r="A37" s="50" t="s">
        <v>25</v>
      </c>
      <c r="B37" s="26">
        <f>'D4-FinPos'!C34</f>
        <v>614352980</v>
      </c>
      <c r="C37" s="25">
        <f>'D4-FinPos'!D34</f>
        <v>680083556</v>
      </c>
      <c r="D37" s="95">
        <f>'D4-FinPos'!E34</f>
        <v>1022687787</v>
      </c>
      <c r="E37" s="26">
        <f>'D4-FinPos'!F34</f>
        <v>668490177</v>
      </c>
      <c r="F37" s="25">
        <f>'D4-FinPos'!G34</f>
        <v>668490177</v>
      </c>
      <c r="G37" s="95">
        <f>'D4-FinPos'!H34</f>
        <v>668490177</v>
      </c>
      <c r="H37" s="26">
        <f>'D4-FinPos'!I34</f>
        <v>698572234.96500003</v>
      </c>
      <c r="I37" s="25">
        <f>'D4-FinPos'!J34</f>
        <v>730706557.77338994</v>
      </c>
      <c r="J37" s="95">
        <f>'D4-FinPos'!K34</f>
        <v>764319059.43096602</v>
      </c>
    </row>
    <row r="38" spans="1:10" ht="12.75" customHeight="1" x14ac:dyDescent="0.25">
      <c r="A38" s="50" t="s">
        <v>24</v>
      </c>
      <c r="B38" s="26">
        <f>'D4-FinPos'!C39</f>
        <v>2256245415</v>
      </c>
      <c r="C38" s="25">
        <f>'D4-FinPos'!D39</f>
        <v>594244899</v>
      </c>
      <c r="D38" s="95">
        <f>'D4-FinPos'!E39</f>
        <v>687953110.80999994</v>
      </c>
      <c r="E38" s="26">
        <f>'D4-FinPos'!F39</f>
        <v>623775810</v>
      </c>
      <c r="F38" s="25">
        <f>'D4-FinPos'!G39</f>
        <v>623775810</v>
      </c>
      <c r="G38" s="95">
        <f>'D4-FinPos'!H39</f>
        <v>623775810</v>
      </c>
      <c r="H38" s="26">
        <f>'D4-FinPos'!I39</f>
        <v>654340824.69000006</v>
      </c>
      <c r="I38" s="25">
        <f>'D4-FinPos'!J39</f>
        <v>685749184.27512014</v>
      </c>
      <c r="J38" s="95">
        <f>'D4-FinPos'!K39</f>
        <v>718665145.12032592</v>
      </c>
    </row>
    <row r="39" spans="1:10" ht="12.75" customHeight="1" x14ac:dyDescent="0.25">
      <c r="A39" s="50" t="s">
        <v>56</v>
      </c>
      <c r="B39" s="26">
        <f>'D4-FinPos'!C48</f>
        <v>2225986290</v>
      </c>
      <c r="C39" s="25">
        <f>'D4-FinPos'!D48</f>
        <v>3829471342</v>
      </c>
      <c r="D39" s="95">
        <f>'D4-FinPos'!E48</f>
        <v>3633703301.1900001</v>
      </c>
      <c r="E39" s="26">
        <f>'D4-FinPos'!F48</f>
        <v>4038601333</v>
      </c>
      <c r="F39" s="25">
        <f>'D4-FinPos'!G48</f>
        <v>4012121333</v>
      </c>
      <c r="G39" s="95">
        <f>'D4-FinPos'!H48</f>
        <v>4012121333</v>
      </c>
      <c r="H39" s="26">
        <f>'D4-FinPos'!I48</f>
        <v>4079956934.4699993</v>
      </c>
      <c r="I39" s="25">
        <f>'D4-FinPos'!J48</f>
        <v>4273236794.5576596</v>
      </c>
      <c r="J39" s="95">
        <f>'D4-FinPos'!K48</f>
        <v>4475734884.4078617</v>
      </c>
    </row>
    <row r="40" spans="1:10" ht="5.0999999999999996" customHeight="1" x14ac:dyDescent="0.25">
      <c r="A40" s="263"/>
      <c r="B40" s="63"/>
      <c r="C40" s="62"/>
      <c r="D40" s="110"/>
      <c r="E40" s="63"/>
      <c r="F40" s="62"/>
      <c r="G40" s="110"/>
      <c r="H40" s="63"/>
      <c r="I40" s="62"/>
      <c r="J40" s="110"/>
    </row>
    <row r="41" spans="1:10" ht="12.75" customHeight="1" x14ac:dyDescent="0.25">
      <c r="A41" s="267" t="s">
        <v>51</v>
      </c>
      <c r="B41" s="26"/>
      <c r="C41" s="25"/>
      <c r="D41" s="95"/>
      <c r="E41" s="26"/>
      <c r="F41" s="25"/>
      <c r="G41" s="95"/>
      <c r="H41" s="26"/>
      <c r="I41" s="25"/>
      <c r="J41" s="95"/>
    </row>
    <row r="42" spans="1:10" ht="12.75" customHeight="1" x14ac:dyDescent="0.25">
      <c r="A42" s="50" t="s">
        <v>165</v>
      </c>
      <c r="B42" s="26">
        <f>'D5-CFlow'!C18</f>
        <v>225334638</v>
      </c>
      <c r="C42" s="25">
        <f>'D5-CFlow'!D18</f>
        <v>123087076</v>
      </c>
      <c r="D42" s="95">
        <f>'D5-CFlow'!E18</f>
        <v>153684938.25099945</v>
      </c>
      <c r="E42" s="26">
        <f>'D5-CFlow'!F18</f>
        <v>337106807.03552961</v>
      </c>
      <c r="F42" s="25">
        <f>'D5-CFlow'!G18</f>
        <v>337106807.03552961</v>
      </c>
      <c r="G42" s="95">
        <f>'D5-CFlow'!H18</f>
        <v>337106807.03552961</v>
      </c>
      <c r="H42" s="26">
        <f>'D5-CFlow'!I18</f>
        <v>216024554.42720985</v>
      </c>
      <c r="I42" s="25">
        <f>'D5-CFlow'!J18</f>
        <v>130440971.00696898</v>
      </c>
      <c r="J42" s="95">
        <f>'D5-CFlow'!K18</f>
        <v>135762352.01633024</v>
      </c>
    </row>
    <row r="43" spans="1:10" ht="12.75" customHeight="1" x14ac:dyDescent="0.25">
      <c r="A43" s="50" t="s">
        <v>166</v>
      </c>
      <c r="B43" s="26">
        <f>'D5-CFlow'!C28</f>
        <v>-279259305</v>
      </c>
      <c r="C43" s="25">
        <f>'D5-CFlow'!D28</f>
        <v>-13100204</v>
      </c>
      <c r="D43" s="95">
        <f>'D5-CFlow'!E28</f>
        <v>-157213237.16999999</v>
      </c>
      <c r="E43" s="26">
        <f>'D5-CFlow'!F28</f>
        <v>-205537659.93078002</v>
      </c>
      <c r="F43" s="25">
        <f>'D5-CFlow'!G28</f>
        <v>-205537659.93078002</v>
      </c>
      <c r="G43" s="95">
        <f>'D5-CFlow'!H28</f>
        <v>-205537658.93078002</v>
      </c>
      <c r="H43" s="26">
        <f>'D5-CFlow'!I28</f>
        <v>-164283854.90196002</v>
      </c>
      <c r="I43" s="25">
        <f>'D5-CFlow'!J28</f>
        <v>-119953968.80469407</v>
      </c>
      <c r="J43" s="95">
        <f>'D5-CFlow'!K28</f>
        <v>-124792947.71275929</v>
      </c>
    </row>
    <row r="44" spans="1:10" ht="12.75" customHeight="1" x14ac:dyDescent="0.25">
      <c r="A44" s="50" t="s">
        <v>164</v>
      </c>
      <c r="B44" s="26">
        <f>'D5-CFlow'!C37</f>
        <v>-154639357</v>
      </c>
      <c r="C44" s="25">
        <f>'D5-CFlow'!D37</f>
        <v>-73666460</v>
      </c>
      <c r="D44" s="95">
        <f>'D5-CFlow'!E37</f>
        <v>-112276876.52</v>
      </c>
      <c r="E44" s="26">
        <f>'D5-CFlow'!F37</f>
        <v>-125106477.936</v>
      </c>
      <c r="F44" s="25">
        <f>'D5-CFlow'!G37</f>
        <v>-125106477.936</v>
      </c>
      <c r="G44" s="95">
        <f>'D5-CFlow'!H37</f>
        <v>-125106476.936</v>
      </c>
      <c r="H44" s="26">
        <f>'D5-CFlow'!I37</f>
        <v>-4333211.27999999</v>
      </c>
      <c r="I44" s="25">
        <f>'D5-CFlow'!J37</f>
        <v>-4628832.5828800099</v>
      </c>
      <c r="J44" s="95">
        <f>'D5-CFlow'!K37</f>
        <v>-4841758.8816924803</v>
      </c>
    </row>
    <row r="45" spans="1:10" ht="12.75" customHeight="1" x14ac:dyDescent="0.25">
      <c r="A45" s="268" t="s">
        <v>28</v>
      </c>
      <c r="B45" s="29">
        <f>'D5-CFlow'!C41</f>
        <v>152966117.49000025</v>
      </c>
      <c r="C45" s="28">
        <f>'D5-CFlow'!D41</f>
        <v>189286529.49000025</v>
      </c>
      <c r="D45" s="111">
        <f>'D5-CFlow'!E41</f>
        <v>73481354.050999716</v>
      </c>
      <c r="E45" s="29">
        <f>'D5-CFlow'!F41</f>
        <v>121867478.30399607</v>
      </c>
      <c r="F45" s="28">
        <f>'D5-CFlow'!G41</f>
        <v>79944023.219749302</v>
      </c>
      <c r="G45" s="111">
        <f>'D5-CFlow'!H41</f>
        <v>79944025.219749302</v>
      </c>
      <c r="H45" s="29">
        <f>'D5-CFlow'!I41</f>
        <v>127351513.46499915</v>
      </c>
      <c r="I45" s="28">
        <f>'D5-CFlow'!J41</f>
        <v>133209683.08439405</v>
      </c>
      <c r="J45" s="111">
        <f>'D5-CFlow'!K41</f>
        <v>139337328.50627252</v>
      </c>
    </row>
    <row r="46" spans="1:10" ht="5.0999999999999996" customHeight="1" x14ac:dyDescent="0.25">
      <c r="A46" s="263"/>
      <c r="B46" s="63"/>
      <c r="C46" s="62"/>
      <c r="D46" s="110"/>
      <c r="E46" s="63"/>
      <c r="F46" s="62"/>
      <c r="G46" s="110"/>
      <c r="H46" s="63"/>
      <c r="I46" s="62"/>
      <c r="J46" s="110"/>
    </row>
  </sheetData>
  <sheetProtection password="A35B" sheet="1" objects="1" scenarios="1"/>
  <phoneticPr fontId="2" type="noConversion"/>
  <printOptions horizontalCentered="1"/>
  <pageMargins left="0.36" right="0.17" top="0.79" bottom="0.6" header="0.51181102362204722" footer="0.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X50"/>
  <sheetViews>
    <sheetView showGridLines="0" zoomScaleNormal="100" workbookViewId="0">
      <pane xSplit="2" ySplit="3" topLeftCell="C34" activePane="bottomRight" state="frozen"/>
      <selection activeCell="M160" sqref="M158:P160"/>
      <selection pane="topRight" activeCell="M160" sqref="M158:P160"/>
      <selection pane="bottomLeft" activeCell="M160" sqref="M158:P160"/>
      <selection pane="bottomRight" activeCell="A43" sqref="A1:K43"/>
    </sheetView>
  </sheetViews>
  <sheetFormatPr defaultRowHeight="12.75" x14ac:dyDescent="0.25"/>
  <cols>
    <col min="1" max="1" width="35.7109375" style="196" customWidth="1"/>
    <col min="2" max="2" width="3.140625" style="195" customWidth="1"/>
    <col min="3" max="11" width="8.7109375" style="196" customWidth="1"/>
    <col min="12" max="16384" width="9.140625" style="196"/>
  </cols>
  <sheetData>
    <row r="1" spans="1:23" ht="13.5" x14ac:dyDescent="0.25">
      <c r="A1" s="194" t="str">
        <f>_MEB1</f>
        <v>Centlec - Table D2 Budgeted Financial Performance (revenue and expenditure)</v>
      </c>
    </row>
    <row r="2" spans="1:23" s="391" customFormat="1" ht="25.5" x14ac:dyDescent="0.25">
      <c r="A2" s="381" t="str">
        <f>desc</f>
        <v>Description</v>
      </c>
      <c r="B2" s="381" t="str">
        <f>head27</f>
        <v>Ref</v>
      </c>
      <c r="C2" s="260" t="str">
        <f>head1b</f>
        <v>2016/17</v>
      </c>
      <c r="D2" s="197" t="str">
        <f>head1A</f>
        <v>2017/18</v>
      </c>
      <c r="E2" s="198" t="str">
        <f>Head1</f>
        <v>2018/19</v>
      </c>
      <c r="F2" s="199" t="str">
        <f>Head2</f>
        <v>Current Year 2019/20</v>
      </c>
      <c r="G2" s="200"/>
      <c r="H2" s="201"/>
      <c r="I2" s="199" t="str">
        <f>Head3a</f>
        <v>Medium Term Revenue and Expenditure Framework</v>
      </c>
      <c r="J2" s="200"/>
      <c r="K2" s="201"/>
    </row>
    <row r="3" spans="1:23" s="391" customFormat="1" ht="29.25" customHeight="1" x14ac:dyDescent="0.25">
      <c r="A3" s="392" t="s">
        <v>184</v>
      </c>
      <c r="B3" s="382"/>
      <c r="C3" s="385" t="str">
        <f>Head5</f>
        <v>Audited Outcome</v>
      </c>
      <c r="D3" s="386" t="str">
        <f>Head5</f>
        <v>Audited Outcome</v>
      </c>
      <c r="E3" s="384" t="str">
        <f>Head5</f>
        <v>Audited Outcome</v>
      </c>
      <c r="F3" s="387" t="str">
        <f>Head6</f>
        <v>Original Budget</v>
      </c>
      <c r="G3" s="383" t="str">
        <f>Head7</f>
        <v>Adjusted Budget</v>
      </c>
      <c r="H3" s="384" t="str">
        <f>Head8</f>
        <v>Full Year Forecast</v>
      </c>
      <c r="I3" s="387" t="str">
        <f>Head9</f>
        <v>Budget Year 2020/21</v>
      </c>
      <c r="J3" s="383" t="str">
        <f>Head10</f>
        <v>Budget Year +1 2021/22</v>
      </c>
      <c r="K3" s="384" t="str">
        <f>Head11</f>
        <v>Budget Year +2 2022/23</v>
      </c>
    </row>
    <row r="4" spans="1:23" ht="12.75" customHeight="1" x14ac:dyDescent="0.25">
      <c r="A4" s="286" t="s">
        <v>39</v>
      </c>
      <c r="B4" s="401">
        <v>1</v>
      </c>
      <c r="C4" s="205"/>
      <c r="D4" s="203"/>
      <c r="E4" s="204"/>
      <c r="F4" s="205"/>
      <c r="G4" s="203"/>
      <c r="H4" s="204"/>
      <c r="I4" s="205"/>
      <c r="J4" s="203"/>
      <c r="K4" s="204"/>
      <c r="L4" s="206"/>
      <c r="M4" s="206"/>
      <c r="N4" s="206"/>
      <c r="O4" s="206"/>
      <c r="P4" s="206"/>
      <c r="Q4" s="206"/>
      <c r="R4" s="206"/>
      <c r="S4" s="206"/>
      <c r="T4" s="206"/>
      <c r="U4" s="206"/>
      <c r="V4" s="206"/>
      <c r="W4" s="206"/>
    </row>
    <row r="5" spans="1:23" ht="12.75" customHeight="1" x14ac:dyDescent="0.25">
      <c r="A5" s="285" t="s">
        <v>360</v>
      </c>
      <c r="B5" s="287"/>
      <c r="C5" s="229"/>
      <c r="D5" s="227"/>
      <c r="E5" s="228"/>
      <c r="F5" s="229"/>
      <c r="G5" s="227"/>
      <c r="H5" s="228"/>
      <c r="I5" s="229"/>
      <c r="J5" s="227"/>
      <c r="K5" s="228"/>
      <c r="L5" s="209"/>
      <c r="M5" s="209"/>
      <c r="N5" s="209"/>
      <c r="O5" s="209"/>
      <c r="P5" s="209"/>
      <c r="Q5" s="209"/>
      <c r="R5" s="209"/>
      <c r="S5" s="209"/>
      <c r="T5" s="209"/>
      <c r="U5" s="209"/>
      <c r="V5" s="209"/>
      <c r="W5" s="209"/>
    </row>
    <row r="6" spans="1:23" ht="12.75" customHeight="1" x14ac:dyDescent="0.25">
      <c r="A6" s="284" t="s">
        <v>307</v>
      </c>
      <c r="B6" s="287"/>
      <c r="C6" s="229">
        <v>2163286198</v>
      </c>
      <c r="D6" s="227">
        <v>2193332987</v>
      </c>
      <c r="E6" s="228">
        <v>2392451159.3200002</v>
      </c>
      <c r="F6" s="229">
        <v>2672427073</v>
      </c>
      <c r="G6" s="227">
        <v>2672427073</v>
      </c>
      <c r="H6" s="228">
        <v>2672427073</v>
      </c>
      <c r="I6" s="229">
        <v>2737318115</v>
      </c>
      <c r="J6" s="227">
        <v>2806709385</v>
      </c>
      <c r="K6" s="228">
        <v>2941207435.5085402</v>
      </c>
      <c r="L6" s="209"/>
      <c r="M6" s="209"/>
      <c r="N6" s="209"/>
      <c r="O6" s="209"/>
      <c r="P6" s="209"/>
      <c r="Q6" s="209"/>
      <c r="R6" s="209"/>
      <c r="S6" s="209"/>
      <c r="T6" s="209"/>
      <c r="U6" s="209"/>
      <c r="V6" s="209"/>
      <c r="W6" s="209"/>
    </row>
    <row r="7" spans="1:23" ht="12.75" customHeight="1" x14ac:dyDescent="0.25">
      <c r="A7" s="284" t="s">
        <v>308</v>
      </c>
      <c r="B7" s="287"/>
      <c r="C7" s="229"/>
      <c r="D7" s="227"/>
      <c r="E7" s="228"/>
      <c r="F7" s="229"/>
      <c r="G7" s="227"/>
      <c r="H7" s="228"/>
      <c r="I7" s="229"/>
      <c r="J7" s="227"/>
      <c r="K7" s="228"/>
      <c r="L7" s="209"/>
      <c r="M7" s="209"/>
      <c r="N7" s="209"/>
      <c r="O7" s="209"/>
      <c r="P7" s="209"/>
      <c r="Q7" s="209"/>
      <c r="R7" s="209"/>
      <c r="S7" s="209"/>
      <c r="T7" s="209"/>
      <c r="U7" s="209"/>
      <c r="V7" s="209"/>
      <c r="W7" s="209"/>
    </row>
    <row r="8" spans="1:23" ht="12.75" customHeight="1" x14ac:dyDescent="0.25">
      <c r="A8" s="284" t="s">
        <v>309</v>
      </c>
      <c r="B8" s="287"/>
      <c r="C8" s="229"/>
      <c r="D8" s="227"/>
      <c r="E8" s="228"/>
      <c r="F8" s="229"/>
      <c r="G8" s="227"/>
      <c r="H8" s="228"/>
      <c r="I8" s="229"/>
      <c r="J8" s="227"/>
      <c r="K8" s="228"/>
      <c r="L8" s="209"/>
      <c r="M8" s="209"/>
      <c r="N8" s="209"/>
      <c r="O8" s="209"/>
      <c r="P8" s="209"/>
      <c r="Q8" s="209"/>
      <c r="R8" s="209"/>
      <c r="S8" s="209"/>
      <c r="T8" s="209"/>
      <c r="U8" s="209"/>
      <c r="V8" s="209"/>
      <c r="W8" s="209"/>
    </row>
    <row r="9" spans="1:23" ht="15.6" customHeight="1" x14ac:dyDescent="0.25">
      <c r="A9" s="284" t="s">
        <v>769</v>
      </c>
      <c r="B9" s="287"/>
      <c r="C9" s="229"/>
      <c r="D9" s="227"/>
      <c r="E9" s="228"/>
      <c r="F9" s="229"/>
      <c r="G9" s="227"/>
      <c r="H9" s="228"/>
      <c r="I9" s="229"/>
      <c r="J9" s="227"/>
      <c r="K9" s="228"/>
      <c r="L9" s="209"/>
      <c r="M9" s="209"/>
      <c r="N9" s="209"/>
      <c r="O9" s="209"/>
      <c r="P9" s="209"/>
      <c r="Q9" s="209"/>
      <c r="R9" s="209"/>
      <c r="S9" s="209"/>
      <c r="T9" s="209"/>
      <c r="U9" s="209"/>
      <c r="V9" s="209"/>
      <c r="W9" s="209"/>
    </row>
    <row r="10" spans="1:23" ht="15.6" customHeight="1" x14ac:dyDescent="0.25">
      <c r="A10" s="284"/>
      <c r="B10" s="287"/>
      <c r="C10" s="424"/>
      <c r="D10" s="422"/>
      <c r="E10" s="425"/>
      <c r="F10" s="424"/>
      <c r="G10" s="422"/>
      <c r="H10" s="425"/>
      <c r="I10" s="424"/>
      <c r="J10" s="422"/>
      <c r="K10" s="425"/>
      <c r="L10" s="209"/>
      <c r="M10" s="209"/>
      <c r="N10" s="209"/>
      <c r="O10" s="209"/>
      <c r="P10" s="209"/>
      <c r="Q10" s="209"/>
      <c r="R10" s="209"/>
      <c r="S10" s="209"/>
      <c r="T10" s="209"/>
      <c r="U10" s="209"/>
      <c r="V10" s="209"/>
      <c r="W10" s="209"/>
    </row>
    <row r="11" spans="1:23" ht="15.6" customHeight="1" x14ac:dyDescent="0.25">
      <c r="A11" s="284" t="s">
        <v>405</v>
      </c>
      <c r="B11" s="287"/>
      <c r="C11" s="229"/>
      <c r="D11" s="227"/>
      <c r="E11" s="228"/>
      <c r="F11" s="304"/>
      <c r="G11" s="227"/>
      <c r="H11" s="228"/>
      <c r="I11" s="229"/>
      <c r="J11" s="227"/>
      <c r="K11" s="228"/>
      <c r="L11" s="209"/>
      <c r="M11" s="209"/>
      <c r="N11" s="209"/>
      <c r="O11" s="209"/>
      <c r="P11" s="209"/>
      <c r="Q11" s="209"/>
      <c r="R11" s="209"/>
      <c r="S11" s="209"/>
      <c r="T11" s="209"/>
      <c r="U11" s="209"/>
      <c r="V11" s="209"/>
      <c r="W11" s="209"/>
    </row>
    <row r="12" spans="1:23" ht="12.75" customHeight="1" x14ac:dyDescent="0.25">
      <c r="A12" s="285" t="s">
        <v>312</v>
      </c>
      <c r="B12" s="287"/>
      <c r="C12" s="229">
        <v>18577245</v>
      </c>
      <c r="D12" s="227">
        <v>9708209</v>
      </c>
      <c r="E12" s="228">
        <v>4267324.28</v>
      </c>
      <c r="F12" s="304">
        <v>9088795</v>
      </c>
      <c r="G12" s="227">
        <v>9088795</v>
      </c>
      <c r="H12" s="228">
        <v>9088795</v>
      </c>
      <c r="I12" s="229">
        <v>4506879.57</v>
      </c>
      <c r="J12" s="227">
        <v>4723209.7893599998</v>
      </c>
      <c r="K12" s="228">
        <v>4949923.8592492798</v>
      </c>
      <c r="L12" s="209"/>
      <c r="M12" s="209"/>
      <c r="N12" s="209"/>
      <c r="O12" s="209"/>
      <c r="P12" s="209"/>
      <c r="Q12" s="209"/>
      <c r="R12" s="209"/>
      <c r="S12" s="209"/>
      <c r="T12" s="209"/>
      <c r="U12" s="209"/>
      <c r="V12" s="209"/>
      <c r="W12" s="209"/>
    </row>
    <row r="13" spans="1:23" ht="12.75" customHeight="1" x14ac:dyDescent="0.25">
      <c r="A13" s="285" t="s">
        <v>313</v>
      </c>
      <c r="B13" s="287"/>
      <c r="C13" s="229">
        <v>14219626</v>
      </c>
      <c r="D13" s="227">
        <v>16984572</v>
      </c>
      <c r="E13" s="228">
        <v>30832131.829999998</v>
      </c>
      <c r="F13" s="304">
        <v>12530973</v>
      </c>
      <c r="G13" s="227">
        <v>12530973</v>
      </c>
      <c r="H13" s="228">
        <v>12530973</v>
      </c>
      <c r="I13" s="229">
        <v>13107397.757999999</v>
      </c>
      <c r="J13" s="227">
        <v>13736552.850384001</v>
      </c>
      <c r="K13" s="228">
        <v>14395907.387202401</v>
      </c>
      <c r="L13" s="209"/>
      <c r="M13" s="209"/>
      <c r="N13" s="209"/>
      <c r="O13" s="209"/>
      <c r="P13" s="209"/>
      <c r="Q13" s="209"/>
      <c r="R13" s="209"/>
      <c r="S13" s="209"/>
      <c r="T13" s="209"/>
      <c r="U13" s="209"/>
      <c r="V13" s="209"/>
      <c r="W13" s="209"/>
    </row>
    <row r="14" spans="1:23" ht="12.75" customHeight="1" x14ac:dyDescent="0.25">
      <c r="A14" s="285" t="s">
        <v>356</v>
      </c>
      <c r="B14" s="287"/>
      <c r="C14" s="229"/>
      <c r="D14" s="227"/>
      <c r="E14" s="228"/>
      <c r="F14" s="304"/>
      <c r="G14" s="227"/>
      <c r="H14" s="228"/>
      <c r="I14" s="229"/>
      <c r="J14" s="227"/>
      <c r="K14" s="228"/>
      <c r="L14" s="209"/>
      <c r="M14" s="209"/>
      <c r="N14" s="209"/>
      <c r="O14" s="209"/>
      <c r="P14" s="209"/>
      <c r="Q14" s="209"/>
      <c r="R14" s="209"/>
      <c r="S14" s="209"/>
      <c r="T14" s="209"/>
      <c r="U14" s="209"/>
      <c r="V14" s="209"/>
      <c r="W14" s="209"/>
    </row>
    <row r="15" spans="1:23" ht="12.75" customHeight="1" x14ac:dyDescent="0.25">
      <c r="A15" s="285" t="s">
        <v>849</v>
      </c>
      <c r="B15" s="287"/>
      <c r="C15" s="229">
        <v>12015538</v>
      </c>
      <c r="D15" s="227">
        <v>8780307</v>
      </c>
      <c r="E15" s="228">
        <v>2973741.51</v>
      </c>
      <c r="F15" s="304">
        <v>6501675</v>
      </c>
      <c r="G15" s="227">
        <v>6501675</v>
      </c>
      <c r="H15" s="228">
        <v>6501675</v>
      </c>
      <c r="I15" s="229">
        <v>6800752.0499999998</v>
      </c>
      <c r="J15" s="227">
        <v>7127188.1484000003</v>
      </c>
      <c r="K15" s="228">
        <v>7469293.1795231998</v>
      </c>
      <c r="L15" s="209"/>
      <c r="M15" s="209"/>
      <c r="N15" s="209"/>
      <c r="O15" s="209"/>
      <c r="P15" s="209"/>
      <c r="Q15" s="209"/>
      <c r="R15" s="209"/>
      <c r="S15" s="209"/>
      <c r="T15" s="209"/>
      <c r="U15" s="209"/>
      <c r="V15" s="209"/>
      <c r="W15" s="209"/>
    </row>
    <row r="16" spans="1:23" ht="12.75" customHeight="1" x14ac:dyDescent="0.25">
      <c r="A16" s="285" t="s">
        <v>314</v>
      </c>
      <c r="B16" s="287"/>
      <c r="C16" s="229"/>
      <c r="D16" s="227"/>
      <c r="E16" s="228"/>
      <c r="F16" s="304"/>
      <c r="G16" s="227"/>
      <c r="H16" s="228"/>
      <c r="I16" s="229"/>
      <c r="J16" s="227"/>
      <c r="K16" s="228"/>
      <c r="L16" s="209"/>
      <c r="M16" s="209"/>
      <c r="N16" s="209"/>
      <c r="O16" s="209"/>
      <c r="P16" s="209"/>
      <c r="Q16" s="209"/>
      <c r="R16" s="209"/>
      <c r="S16" s="209"/>
      <c r="T16" s="209"/>
      <c r="U16" s="209"/>
      <c r="V16" s="209"/>
      <c r="W16" s="209"/>
    </row>
    <row r="17" spans="1:24" ht="12.75" customHeight="1" x14ac:dyDescent="0.25">
      <c r="A17" s="284" t="s">
        <v>114</v>
      </c>
      <c r="B17" s="287"/>
      <c r="C17" s="229">
        <v>3844123</v>
      </c>
      <c r="D17" s="227">
        <v>2327162</v>
      </c>
      <c r="E17" s="228"/>
      <c r="F17" s="304"/>
      <c r="G17" s="227"/>
      <c r="H17" s="228"/>
      <c r="I17" s="229">
        <v>6450225.9440000001</v>
      </c>
      <c r="J17" s="227">
        <v>6759836.7893120004</v>
      </c>
      <c r="K17" s="228">
        <v>7084308.9551989799</v>
      </c>
      <c r="L17" s="209"/>
      <c r="M17" s="209"/>
      <c r="N17" s="209"/>
      <c r="O17" s="209"/>
      <c r="P17" s="209"/>
      <c r="Q17" s="209"/>
      <c r="R17" s="209"/>
      <c r="S17" s="209"/>
      <c r="T17" s="209"/>
      <c r="U17" s="209"/>
      <c r="V17" s="209"/>
      <c r="W17" s="209"/>
    </row>
    <row r="18" spans="1:24" ht="12.75" customHeight="1" x14ac:dyDescent="0.25">
      <c r="A18" s="285" t="s">
        <v>850</v>
      </c>
      <c r="B18" s="287"/>
      <c r="C18" s="229"/>
      <c r="D18" s="227"/>
      <c r="E18" s="228"/>
      <c r="F18" s="304"/>
      <c r="G18" s="227"/>
      <c r="H18" s="228"/>
      <c r="I18" s="229">
        <v>69432826.634000003</v>
      </c>
      <c r="J18" s="227">
        <v>37374178.464432001</v>
      </c>
      <c r="K18" s="228">
        <v>40320048.582724698</v>
      </c>
      <c r="L18" s="209"/>
      <c r="M18" s="209"/>
      <c r="N18" s="209"/>
      <c r="O18" s="209"/>
      <c r="P18" s="209"/>
      <c r="Q18" s="209"/>
      <c r="R18" s="209"/>
      <c r="S18" s="209"/>
      <c r="T18" s="209"/>
      <c r="U18" s="209"/>
      <c r="V18" s="209"/>
      <c r="W18" s="209"/>
    </row>
    <row r="19" spans="1:24" ht="12.75" customHeight="1" x14ac:dyDescent="0.25">
      <c r="A19" s="285" t="s">
        <v>20</v>
      </c>
      <c r="B19" s="287"/>
      <c r="C19" s="229">
        <v>3293130</v>
      </c>
      <c r="D19" s="227">
        <v>123743775</v>
      </c>
      <c r="E19" s="228">
        <v>21924793.710000001</v>
      </c>
      <c r="F19" s="304">
        <v>16009270</v>
      </c>
      <c r="G19" s="227">
        <v>66009270</v>
      </c>
      <c r="H19" s="228">
        <v>66009270</v>
      </c>
      <c r="I19" s="229">
        <v>14414025.393999999</v>
      </c>
      <c r="J19" s="227">
        <v>15105898.612911999</v>
      </c>
      <c r="K19" s="228">
        <v>15830981.7463318</v>
      </c>
      <c r="L19" s="209"/>
      <c r="M19" s="209"/>
      <c r="N19" s="209"/>
      <c r="O19" s="209"/>
      <c r="P19" s="209"/>
      <c r="Q19" s="209"/>
      <c r="R19" s="209"/>
      <c r="S19" s="209"/>
      <c r="T19" s="209"/>
      <c r="U19" s="209"/>
      <c r="V19" s="209"/>
      <c r="W19" s="209"/>
      <c r="X19" s="210"/>
    </row>
    <row r="20" spans="1:24" ht="12.75" customHeight="1" x14ac:dyDescent="0.25">
      <c r="A20" s="655" t="s">
        <v>1169</v>
      </c>
      <c r="B20" s="287"/>
      <c r="C20" s="229"/>
      <c r="D20" s="227"/>
      <c r="E20" s="231">
        <v>1876249.86</v>
      </c>
      <c r="F20" s="304">
        <v>344360</v>
      </c>
      <c r="G20" s="227">
        <v>344360</v>
      </c>
      <c r="H20" s="228">
        <v>344360</v>
      </c>
      <c r="I20" s="229">
        <v>360200.56</v>
      </c>
      <c r="J20" s="227">
        <v>377490.18687999999</v>
      </c>
      <c r="K20" s="228">
        <v>395609.71585024003</v>
      </c>
      <c r="L20" s="209"/>
      <c r="M20" s="209"/>
      <c r="N20" s="209"/>
      <c r="O20" s="209"/>
      <c r="P20" s="209"/>
      <c r="Q20" s="209"/>
      <c r="R20" s="209"/>
      <c r="S20" s="209"/>
      <c r="T20" s="209"/>
      <c r="U20" s="209"/>
      <c r="V20" s="209"/>
      <c r="W20" s="209"/>
    </row>
    <row r="21" spans="1:24" ht="24.75" customHeight="1" x14ac:dyDescent="0.25">
      <c r="A21" s="393" t="s">
        <v>496</v>
      </c>
      <c r="B21" s="394"/>
      <c r="C21" s="213">
        <f>SUM(C5:C9)+SUM(C11:C20)</f>
        <v>2215235860</v>
      </c>
      <c r="D21" s="211">
        <f t="shared" ref="D21:K21" si="0">SUM(D5:D9)+SUM(D11:D20)</f>
        <v>2354877012</v>
      </c>
      <c r="E21" s="212">
        <f t="shared" si="0"/>
        <v>2454325400.5100002</v>
      </c>
      <c r="F21" s="213">
        <f>SUM(F5:F9)+SUM(F11:F20)</f>
        <v>2716902146</v>
      </c>
      <c r="G21" s="211">
        <f t="shared" si="0"/>
        <v>2766902146</v>
      </c>
      <c r="H21" s="212">
        <f t="shared" si="0"/>
        <v>2766902146</v>
      </c>
      <c r="I21" s="213">
        <f t="shared" si="0"/>
        <v>2852390422.9099998</v>
      </c>
      <c r="J21" s="211">
        <f t="shared" si="0"/>
        <v>2891913739.84168</v>
      </c>
      <c r="K21" s="212">
        <f t="shared" si="0"/>
        <v>3031653508.9346209</v>
      </c>
      <c r="L21" s="214">
        <f t="shared" ref="L21:W21" si="1">SUM(L5:L19)</f>
        <v>0</v>
      </c>
      <c r="M21" s="214">
        <f t="shared" si="1"/>
        <v>0</v>
      </c>
      <c r="N21" s="214">
        <f t="shared" si="1"/>
        <v>0</v>
      </c>
      <c r="O21" s="214">
        <f t="shared" si="1"/>
        <v>0</v>
      </c>
      <c r="P21" s="214">
        <f t="shared" si="1"/>
        <v>0</v>
      </c>
      <c r="Q21" s="214">
        <f t="shared" si="1"/>
        <v>0</v>
      </c>
      <c r="R21" s="214">
        <f t="shared" si="1"/>
        <v>0</v>
      </c>
      <c r="S21" s="214">
        <f t="shared" si="1"/>
        <v>0</v>
      </c>
      <c r="T21" s="214">
        <f t="shared" si="1"/>
        <v>0</v>
      </c>
      <c r="U21" s="214">
        <f t="shared" si="1"/>
        <v>0</v>
      </c>
      <c r="V21" s="214">
        <f t="shared" si="1"/>
        <v>0</v>
      </c>
      <c r="W21" s="214">
        <f t="shared" si="1"/>
        <v>0</v>
      </c>
    </row>
    <row r="22" spans="1:24" ht="5.0999999999999996" customHeight="1" x14ac:dyDescent="0.25">
      <c r="A22" s="215"/>
      <c r="B22" s="287"/>
      <c r="C22" s="205"/>
      <c r="D22" s="203"/>
      <c r="E22" s="204"/>
      <c r="F22" s="205"/>
      <c r="G22" s="203"/>
      <c r="H22" s="204"/>
      <c r="I22" s="205"/>
      <c r="J22" s="203"/>
      <c r="K22" s="204"/>
      <c r="L22" s="209"/>
      <c r="M22" s="209"/>
      <c r="N22" s="209"/>
      <c r="O22" s="209"/>
      <c r="P22" s="209"/>
      <c r="Q22" s="209"/>
      <c r="R22" s="209"/>
      <c r="S22" s="209"/>
      <c r="T22" s="209"/>
      <c r="U22" s="209"/>
      <c r="V22" s="209"/>
      <c r="W22" s="209"/>
    </row>
    <row r="23" spans="1:24" ht="12.75" customHeight="1" x14ac:dyDescent="0.25">
      <c r="A23" s="202" t="s">
        <v>46</v>
      </c>
      <c r="B23" s="288"/>
      <c r="C23" s="205"/>
      <c r="D23" s="203"/>
      <c r="E23" s="204"/>
      <c r="F23" s="205"/>
      <c r="G23" s="203"/>
      <c r="H23" s="204"/>
      <c r="I23" s="205"/>
      <c r="J23" s="203"/>
      <c r="K23" s="204"/>
      <c r="L23" s="209"/>
      <c r="M23" s="209"/>
      <c r="N23" s="209"/>
      <c r="O23" s="209"/>
      <c r="P23" s="209"/>
      <c r="Q23" s="209"/>
      <c r="R23" s="209"/>
      <c r="S23" s="209"/>
      <c r="T23" s="209"/>
      <c r="U23" s="209"/>
      <c r="V23" s="209"/>
      <c r="W23" s="209"/>
    </row>
    <row r="24" spans="1:24" ht="12.75" customHeight="1" x14ac:dyDescent="0.25">
      <c r="A24" s="284" t="s">
        <v>315</v>
      </c>
      <c r="B24" s="287"/>
      <c r="C24" s="229">
        <v>203601077.27000001</v>
      </c>
      <c r="D24" s="227">
        <v>302450932.33999997</v>
      </c>
      <c r="E24" s="228">
        <v>347493787.24000001</v>
      </c>
      <c r="F24" s="229">
        <v>344699027</v>
      </c>
      <c r="G24" s="227">
        <v>345196091</v>
      </c>
      <c r="H24" s="228">
        <v>345196091</v>
      </c>
      <c r="I24" s="229">
        <v>369359817.37000006</v>
      </c>
      <c r="J24" s="227">
        <v>395215004.58590007</v>
      </c>
      <c r="K24" s="228">
        <v>422880054.90691304</v>
      </c>
      <c r="L24" s="209"/>
      <c r="M24" s="209"/>
      <c r="N24" s="209"/>
      <c r="O24" s="209"/>
      <c r="P24" s="209"/>
      <c r="Q24" s="209"/>
      <c r="R24" s="209"/>
      <c r="S24" s="209"/>
      <c r="T24" s="209"/>
      <c r="U24" s="209"/>
      <c r="V24" s="209"/>
      <c r="W24" s="209"/>
    </row>
    <row r="25" spans="1:24" ht="12.75" customHeight="1" x14ac:dyDescent="0.25">
      <c r="A25" s="284" t="s">
        <v>977</v>
      </c>
      <c r="B25" s="287"/>
      <c r="C25" s="229">
        <v>1161283.18</v>
      </c>
      <c r="D25" s="227">
        <v>1262584</v>
      </c>
      <c r="E25" s="228">
        <v>406169</v>
      </c>
      <c r="F25" s="229">
        <v>1751260</v>
      </c>
      <c r="G25" s="227">
        <v>1751260</v>
      </c>
      <c r="H25" s="228">
        <v>1751260</v>
      </c>
      <c r="I25" s="229">
        <v>1831817.96</v>
      </c>
      <c r="J25" s="227">
        <v>1919745.2220800002</v>
      </c>
      <c r="K25" s="228">
        <v>2011892.9927398399</v>
      </c>
      <c r="L25" s="209"/>
      <c r="M25" s="209"/>
      <c r="N25" s="209"/>
      <c r="O25" s="209"/>
      <c r="P25" s="209"/>
      <c r="Q25" s="209"/>
      <c r="R25" s="209"/>
      <c r="S25" s="209"/>
      <c r="T25" s="209"/>
      <c r="U25" s="209"/>
      <c r="V25" s="209"/>
      <c r="W25" s="209"/>
    </row>
    <row r="26" spans="1:24" ht="12.75" customHeight="1" x14ac:dyDescent="0.25">
      <c r="A26" s="284" t="s">
        <v>136</v>
      </c>
      <c r="B26" s="287">
        <v>4</v>
      </c>
      <c r="C26" s="229">
        <v>-16676565</v>
      </c>
      <c r="D26" s="227">
        <v>24223327</v>
      </c>
      <c r="E26" s="228">
        <v>-52208035.170000002</v>
      </c>
      <c r="F26" s="229">
        <v>8888718</v>
      </c>
      <c r="G26" s="227">
        <v>8888718</v>
      </c>
      <c r="H26" s="228">
        <v>8888718</v>
      </c>
      <c r="I26" s="229">
        <v>9297599.0280000009</v>
      </c>
      <c r="J26" s="227">
        <v>9743883.7813440003</v>
      </c>
      <c r="K26" s="228">
        <v>10211590.202848513</v>
      </c>
      <c r="L26" s="209"/>
      <c r="M26" s="209"/>
      <c r="N26" s="209"/>
      <c r="O26" s="209"/>
      <c r="P26" s="209"/>
      <c r="Q26" s="209"/>
      <c r="R26" s="209"/>
      <c r="S26" s="209"/>
      <c r="T26" s="209"/>
      <c r="U26" s="209"/>
      <c r="V26" s="209"/>
      <c r="W26" s="209"/>
    </row>
    <row r="27" spans="1:24" ht="12.75" customHeight="1" x14ac:dyDescent="0.25">
      <c r="A27" s="284" t="s">
        <v>179</v>
      </c>
      <c r="B27" s="287"/>
      <c r="C27" s="229">
        <v>141354558</v>
      </c>
      <c r="D27" s="227">
        <v>134199325</v>
      </c>
      <c r="E27" s="228">
        <v>135051724.91</v>
      </c>
      <c r="F27" s="229">
        <v>104948807</v>
      </c>
      <c r="G27" s="227">
        <v>70887428</v>
      </c>
      <c r="H27" s="228">
        <v>70887428</v>
      </c>
      <c r="I27" s="229">
        <v>74148249.687999994</v>
      </c>
      <c r="J27" s="227">
        <v>77707365.673023984</v>
      </c>
      <c r="K27" s="228">
        <v>81437319.225329146</v>
      </c>
      <c r="L27" s="209"/>
      <c r="M27" s="209"/>
      <c r="N27" s="209"/>
      <c r="O27" s="209"/>
      <c r="P27" s="209"/>
      <c r="Q27" s="209"/>
      <c r="R27" s="209"/>
      <c r="S27" s="209"/>
      <c r="T27" s="209"/>
      <c r="U27" s="209"/>
      <c r="V27" s="209"/>
      <c r="W27" s="209"/>
    </row>
    <row r="28" spans="1:24" ht="12.75" customHeight="1" x14ac:dyDescent="0.25">
      <c r="A28" s="284" t="s">
        <v>19</v>
      </c>
      <c r="B28" s="287"/>
      <c r="C28" s="229">
        <v>210207777</v>
      </c>
      <c r="D28" s="227">
        <v>117459</v>
      </c>
      <c r="E28" s="228">
        <v>9340427.5199999996</v>
      </c>
      <c r="F28" s="229">
        <v>54163</v>
      </c>
      <c r="G28" s="227">
        <v>54163</v>
      </c>
      <c r="H28" s="228">
        <v>54163</v>
      </c>
      <c r="I28" s="229">
        <v>56600.334999999999</v>
      </c>
      <c r="J28" s="227">
        <v>59203.950409999998</v>
      </c>
      <c r="K28" s="228">
        <v>61927.332128859998</v>
      </c>
      <c r="L28" s="209"/>
      <c r="M28" s="209"/>
      <c r="N28" s="209"/>
      <c r="O28" s="209"/>
      <c r="P28" s="209"/>
      <c r="Q28" s="209"/>
      <c r="R28" s="209"/>
      <c r="S28" s="209"/>
      <c r="T28" s="209"/>
      <c r="U28" s="209"/>
      <c r="V28" s="209"/>
      <c r="W28" s="209"/>
    </row>
    <row r="29" spans="1:24" ht="12.75" customHeight="1" x14ac:dyDescent="0.25">
      <c r="A29" s="284" t="s">
        <v>316</v>
      </c>
      <c r="B29" s="287">
        <v>2</v>
      </c>
      <c r="C29" s="229">
        <v>1452060931</v>
      </c>
      <c r="D29" s="227">
        <v>1429508907</v>
      </c>
      <c r="E29" s="228">
        <v>1501610467.8499999</v>
      </c>
      <c r="F29" s="229">
        <v>1724622448</v>
      </c>
      <c r="G29" s="227">
        <v>1541513135</v>
      </c>
      <c r="H29" s="228">
        <v>1541513135</v>
      </c>
      <c r="I29" s="229">
        <v>1658425195.9960001</v>
      </c>
      <c r="J29" s="227">
        <v>1738029605.4038081</v>
      </c>
      <c r="K29" s="228">
        <v>1848455026.4631908</v>
      </c>
      <c r="L29" s="209"/>
      <c r="M29" s="209"/>
      <c r="N29" s="209"/>
      <c r="O29" s="209"/>
      <c r="P29" s="209"/>
      <c r="Q29" s="209"/>
      <c r="R29" s="209"/>
      <c r="S29" s="209"/>
      <c r="T29" s="209"/>
      <c r="U29" s="209"/>
      <c r="V29" s="209"/>
      <c r="W29" s="209"/>
    </row>
    <row r="30" spans="1:24" ht="12.75" customHeight="1" x14ac:dyDescent="0.25">
      <c r="A30" s="284" t="s">
        <v>355</v>
      </c>
      <c r="B30" s="287">
        <v>5</v>
      </c>
      <c r="C30" s="229">
        <v>26179305</v>
      </c>
      <c r="D30" s="227">
        <v>442692</v>
      </c>
      <c r="E30" s="228">
        <v>31043121.82</v>
      </c>
      <c r="F30" s="229">
        <v>34209604</v>
      </c>
      <c r="G30" s="227">
        <v>28048450</v>
      </c>
      <c r="H30" s="228">
        <v>28048450</v>
      </c>
      <c r="I30" s="229">
        <v>30334811.637999997</v>
      </c>
      <c r="J30" s="227">
        <v>31788882.596623998</v>
      </c>
      <c r="K30" s="228">
        <v>33312656.961261947</v>
      </c>
      <c r="L30" s="209"/>
      <c r="M30" s="209"/>
      <c r="N30" s="209"/>
      <c r="O30" s="209"/>
      <c r="P30" s="209"/>
      <c r="Q30" s="209"/>
      <c r="R30" s="209"/>
      <c r="S30" s="209"/>
      <c r="T30" s="209"/>
      <c r="U30" s="209"/>
      <c r="V30" s="209"/>
      <c r="W30" s="209"/>
    </row>
    <row r="31" spans="1:24" ht="12.75" customHeight="1" x14ac:dyDescent="0.25">
      <c r="A31" s="284" t="s">
        <v>317</v>
      </c>
      <c r="B31" s="287"/>
      <c r="C31" s="229">
        <v>58099308</v>
      </c>
      <c r="D31" s="227">
        <v>170973605</v>
      </c>
      <c r="E31" s="228">
        <v>157052224.08000001</v>
      </c>
      <c r="F31" s="229">
        <v>175401594</v>
      </c>
      <c r="G31" s="227">
        <v>90821047</v>
      </c>
      <c r="H31" s="228">
        <v>90821047</v>
      </c>
      <c r="I31" s="229">
        <v>126998815.162</v>
      </c>
      <c r="J31" s="227">
        <v>133094758.28977601</v>
      </c>
      <c r="K31" s="228">
        <v>139483306.68768525</v>
      </c>
      <c r="L31" s="209"/>
      <c r="M31" s="209"/>
      <c r="N31" s="209"/>
      <c r="O31" s="209"/>
      <c r="P31" s="209"/>
      <c r="Q31" s="209"/>
      <c r="R31" s="209"/>
      <c r="S31" s="209"/>
      <c r="T31" s="209"/>
      <c r="U31" s="209"/>
      <c r="V31" s="209"/>
      <c r="W31" s="209"/>
    </row>
    <row r="32" spans="1:24" ht="12.75" customHeight="1" x14ac:dyDescent="0.25">
      <c r="A32" s="285" t="s">
        <v>850</v>
      </c>
      <c r="B32" s="287"/>
      <c r="C32" s="229"/>
      <c r="D32" s="227"/>
      <c r="E32" s="228"/>
      <c r="F32" s="229">
        <v>120000000</v>
      </c>
      <c r="G32" s="229">
        <v>120000000</v>
      </c>
      <c r="H32" s="228">
        <v>120000000</v>
      </c>
      <c r="I32" s="229">
        <v>120000000</v>
      </c>
      <c r="J32" s="227">
        <v>120000000</v>
      </c>
      <c r="K32" s="228">
        <v>120000000</v>
      </c>
      <c r="L32" s="209"/>
      <c r="M32" s="209"/>
      <c r="N32" s="209"/>
      <c r="O32" s="209"/>
      <c r="P32" s="209"/>
      <c r="Q32" s="209"/>
      <c r="R32" s="209"/>
      <c r="S32" s="209"/>
      <c r="T32" s="209"/>
      <c r="U32" s="209"/>
      <c r="V32" s="209"/>
      <c r="W32" s="209"/>
    </row>
    <row r="33" spans="1:24" ht="12.75" customHeight="1" x14ac:dyDescent="0.25">
      <c r="A33" s="284" t="s">
        <v>6</v>
      </c>
      <c r="B33" s="287">
        <v>3</v>
      </c>
      <c r="C33" s="229">
        <v>262835811.81</v>
      </c>
      <c r="D33" s="227">
        <v>131841461</v>
      </c>
      <c r="E33" s="228">
        <v>306410849.00999999</v>
      </c>
      <c r="F33" s="229">
        <v>93777856</v>
      </c>
      <c r="G33" s="227">
        <v>31820404</v>
      </c>
      <c r="H33" s="228">
        <v>31820404</v>
      </c>
      <c r="I33" s="229">
        <v>71968957.622000009</v>
      </c>
      <c r="J33" s="227">
        <v>75423467.587856054</v>
      </c>
      <c r="K33" s="228">
        <v>79043794.032073081</v>
      </c>
      <c r="L33" s="209"/>
      <c r="M33" s="209"/>
      <c r="N33" s="209"/>
      <c r="O33" s="209"/>
      <c r="P33" s="209"/>
      <c r="Q33" s="209"/>
      <c r="R33" s="209"/>
      <c r="S33" s="209"/>
      <c r="T33" s="209"/>
      <c r="U33" s="209"/>
      <c r="V33" s="209"/>
      <c r="W33" s="209"/>
    </row>
    <row r="34" spans="1:24" ht="12.75" customHeight="1" x14ac:dyDescent="0.25">
      <c r="A34" s="655" t="s">
        <v>1168</v>
      </c>
      <c r="B34" s="287"/>
      <c r="C34" s="232">
        <v>1123257</v>
      </c>
      <c r="D34" s="227">
        <v>911252</v>
      </c>
      <c r="E34" s="228">
        <v>5189863.59</v>
      </c>
      <c r="F34" s="229"/>
      <c r="G34" s="227"/>
      <c r="H34" s="228"/>
      <c r="I34" s="229"/>
      <c r="J34" s="227"/>
      <c r="K34" s="228"/>
      <c r="L34" s="209"/>
      <c r="M34" s="209"/>
      <c r="N34" s="209"/>
      <c r="O34" s="209"/>
      <c r="P34" s="209"/>
      <c r="Q34" s="209"/>
      <c r="R34" s="209"/>
      <c r="S34" s="209"/>
      <c r="T34" s="209"/>
      <c r="U34" s="209"/>
      <c r="V34" s="209"/>
      <c r="W34" s="209"/>
    </row>
    <row r="35" spans="1:24" ht="12.75" customHeight="1" x14ac:dyDescent="0.25">
      <c r="A35" s="395" t="s">
        <v>47</v>
      </c>
      <c r="B35" s="394"/>
      <c r="C35" s="213">
        <f t="shared" ref="C35:K35" si="2">SUM(C24:C34)</f>
        <v>2339946743.2600002</v>
      </c>
      <c r="D35" s="211">
        <f t="shared" si="2"/>
        <v>2195931544.3400002</v>
      </c>
      <c r="E35" s="212">
        <f t="shared" si="2"/>
        <v>2441390599.8499999</v>
      </c>
      <c r="F35" s="213">
        <f t="shared" si="2"/>
        <v>2608353477</v>
      </c>
      <c r="G35" s="211">
        <f t="shared" si="2"/>
        <v>2238980696</v>
      </c>
      <c r="H35" s="212">
        <f t="shared" si="2"/>
        <v>2238980696</v>
      </c>
      <c r="I35" s="213">
        <f t="shared" si="2"/>
        <v>2462421864.7990003</v>
      </c>
      <c r="J35" s="211">
        <f t="shared" si="2"/>
        <v>2582981917.0908222</v>
      </c>
      <c r="K35" s="212">
        <f t="shared" si="2"/>
        <v>2736897568.8041706</v>
      </c>
      <c r="L35" s="214"/>
      <c r="M35" s="214"/>
      <c r="N35" s="214"/>
      <c r="O35" s="214"/>
      <c r="P35" s="214"/>
      <c r="Q35" s="214"/>
      <c r="R35" s="214"/>
      <c r="S35" s="214"/>
      <c r="T35" s="214"/>
      <c r="U35" s="214"/>
      <c r="V35" s="214"/>
      <c r="W35" s="214"/>
    </row>
    <row r="36" spans="1:24" ht="5.0999999999999996" customHeight="1" x14ac:dyDescent="0.25">
      <c r="A36" s="216"/>
      <c r="B36" s="287"/>
      <c r="C36" s="205"/>
      <c r="D36" s="203"/>
      <c r="E36" s="204"/>
      <c r="F36" s="205"/>
      <c r="G36" s="203"/>
      <c r="H36" s="204"/>
      <c r="I36" s="205"/>
      <c r="J36" s="203"/>
      <c r="K36" s="204"/>
      <c r="L36" s="214"/>
      <c r="M36" s="214"/>
      <c r="N36" s="214"/>
      <c r="O36" s="214"/>
      <c r="P36" s="214"/>
      <c r="Q36" s="214"/>
      <c r="R36" s="214"/>
      <c r="S36" s="214"/>
      <c r="T36" s="214"/>
      <c r="U36" s="214"/>
      <c r="V36" s="214"/>
      <c r="W36" s="214"/>
    </row>
    <row r="37" spans="1:24" ht="12.75" customHeight="1" x14ac:dyDescent="0.25">
      <c r="A37" s="216" t="s">
        <v>48</v>
      </c>
      <c r="B37" s="287"/>
      <c r="C37" s="219">
        <f t="shared" ref="C37:K37" si="3">C21-C35</f>
        <v>-124710883.26000023</v>
      </c>
      <c r="D37" s="217">
        <f t="shared" si="3"/>
        <v>158945467.65999985</v>
      </c>
      <c r="E37" s="218">
        <f t="shared" si="3"/>
        <v>12934800.660000324</v>
      </c>
      <c r="F37" s="219">
        <f t="shared" si="3"/>
        <v>108548669</v>
      </c>
      <c r="G37" s="217">
        <f t="shared" si="3"/>
        <v>527921450</v>
      </c>
      <c r="H37" s="218">
        <f t="shared" si="3"/>
        <v>527921450</v>
      </c>
      <c r="I37" s="219">
        <f t="shared" si="3"/>
        <v>389968558.11099958</v>
      </c>
      <c r="J37" s="217">
        <f t="shared" si="3"/>
        <v>308931822.75085783</v>
      </c>
      <c r="K37" s="218">
        <f t="shared" si="3"/>
        <v>294755940.13045025</v>
      </c>
      <c r="L37" s="214"/>
      <c r="M37" s="214"/>
      <c r="N37" s="214"/>
      <c r="O37" s="214"/>
      <c r="P37" s="214"/>
      <c r="Q37" s="214"/>
      <c r="R37" s="214"/>
      <c r="S37" s="214"/>
      <c r="T37" s="214"/>
      <c r="U37" s="214"/>
      <c r="V37" s="214"/>
      <c r="W37" s="214"/>
    </row>
    <row r="38" spans="1:24" ht="26.25" customHeight="1" x14ac:dyDescent="0.25">
      <c r="A38" s="473" t="s">
        <v>851</v>
      </c>
      <c r="B38" s="287"/>
      <c r="C38" s="229">
        <v>7456140</v>
      </c>
      <c r="D38" s="227">
        <v>17506656</v>
      </c>
      <c r="E38" s="228"/>
      <c r="F38" s="229">
        <v>26000000</v>
      </c>
      <c r="G38" s="227">
        <v>26000000</v>
      </c>
      <c r="H38" s="228">
        <v>26000000</v>
      </c>
      <c r="I38" s="229">
        <v>57499976</v>
      </c>
      <c r="J38" s="227">
        <v>24868551</v>
      </c>
      <c r="K38" s="228">
        <v>27214151</v>
      </c>
      <c r="L38" s="214"/>
      <c r="M38" s="214"/>
      <c r="N38" s="214"/>
      <c r="O38" s="214"/>
      <c r="P38" s="214"/>
      <c r="Q38" s="214"/>
      <c r="R38" s="214"/>
      <c r="S38" s="214"/>
      <c r="T38" s="214"/>
      <c r="U38" s="214"/>
      <c r="V38" s="214"/>
      <c r="W38" s="214"/>
    </row>
    <row r="39" spans="1:24" ht="38.450000000000003" customHeight="1" x14ac:dyDescent="0.25">
      <c r="A39" s="473" t="s">
        <v>852</v>
      </c>
      <c r="B39" s="287"/>
      <c r="C39" s="229">
        <v>12811431</v>
      </c>
      <c r="D39" s="227">
        <v>1706656</v>
      </c>
      <c r="E39" s="228">
        <v>21912812.579999998</v>
      </c>
      <c r="F39" s="229">
        <v>11408079</v>
      </c>
      <c r="G39" s="227">
        <v>11408079</v>
      </c>
      <c r="H39" s="228">
        <v>11408079</v>
      </c>
      <c r="I39" s="229">
        <v>11932850.634</v>
      </c>
      <c r="J39" s="227">
        <v>12505627.464431999</v>
      </c>
      <c r="K39" s="228">
        <v>13105897.582724735</v>
      </c>
      <c r="L39" s="214"/>
      <c r="M39" s="214"/>
      <c r="N39" s="214"/>
      <c r="O39" s="214"/>
      <c r="P39" s="214"/>
      <c r="Q39" s="214"/>
      <c r="R39" s="214"/>
      <c r="S39" s="214"/>
      <c r="T39" s="214"/>
      <c r="U39" s="214"/>
      <c r="V39" s="214"/>
      <c r="W39" s="214"/>
    </row>
    <row r="40" spans="1:24" ht="12.75" customHeight="1" x14ac:dyDescent="0.25">
      <c r="A40" s="285" t="s">
        <v>853</v>
      </c>
      <c r="B40" s="287"/>
      <c r="C40" s="232"/>
      <c r="D40" s="230"/>
      <c r="E40" s="231"/>
      <c r="F40" s="232"/>
      <c r="G40" s="230"/>
      <c r="H40" s="231"/>
      <c r="I40" s="232"/>
      <c r="J40" s="230"/>
      <c r="K40" s="231"/>
      <c r="L40" s="214"/>
      <c r="M40" s="214"/>
      <c r="N40" s="214"/>
      <c r="O40" s="214"/>
      <c r="P40" s="214"/>
      <c r="Q40" s="214"/>
      <c r="R40" s="214"/>
      <c r="S40" s="214"/>
      <c r="T40" s="214"/>
      <c r="U40" s="214"/>
      <c r="V40" s="214"/>
      <c r="W40" s="214"/>
    </row>
    <row r="41" spans="1:24" ht="15" customHeight="1" x14ac:dyDescent="0.25">
      <c r="A41" s="277" t="s">
        <v>525</v>
      </c>
      <c r="B41" s="289"/>
      <c r="C41" s="222">
        <f t="shared" ref="C41:K41" si="4">SUM(C37:C40)</f>
        <v>-104443312.26000023</v>
      </c>
      <c r="D41" s="220">
        <f t="shared" si="4"/>
        <v>178158779.65999985</v>
      </c>
      <c r="E41" s="221">
        <f t="shared" si="4"/>
        <v>34847613.240000322</v>
      </c>
      <c r="F41" s="222">
        <f t="shared" si="4"/>
        <v>145956748</v>
      </c>
      <c r="G41" s="220">
        <f t="shared" si="4"/>
        <v>565329529</v>
      </c>
      <c r="H41" s="221">
        <f t="shared" si="4"/>
        <v>565329529</v>
      </c>
      <c r="I41" s="222">
        <f t="shared" si="4"/>
        <v>459401384.74499959</v>
      </c>
      <c r="J41" s="220">
        <f t="shared" si="4"/>
        <v>346306001.21528983</v>
      </c>
      <c r="K41" s="221">
        <f t="shared" si="4"/>
        <v>335075988.713175</v>
      </c>
      <c r="L41" s="214"/>
      <c r="M41" s="214"/>
      <c r="N41" s="214"/>
      <c r="O41" s="214"/>
      <c r="P41" s="214"/>
      <c r="Q41" s="214"/>
      <c r="R41" s="214"/>
      <c r="S41" s="214"/>
      <c r="T41" s="214"/>
      <c r="U41" s="214"/>
      <c r="V41" s="214"/>
      <c r="W41" s="214"/>
    </row>
    <row r="42" spans="1:24" ht="12.75" customHeight="1" x14ac:dyDescent="0.25">
      <c r="A42" s="207" t="s">
        <v>30</v>
      </c>
      <c r="B42" s="208"/>
      <c r="C42" s="229">
        <v>-24280825</v>
      </c>
      <c r="D42" s="227">
        <v>46179009</v>
      </c>
      <c r="E42" s="228"/>
      <c r="F42" s="229"/>
      <c r="G42" s="227"/>
      <c r="H42" s="228"/>
      <c r="I42" s="229"/>
      <c r="J42" s="227"/>
      <c r="K42" s="228"/>
      <c r="L42" s="214"/>
      <c r="M42" s="214"/>
      <c r="N42" s="214"/>
      <c r="O42" s="214"/>
      <c r="P42" s="214"/>
      <c r="Q42" s="214"/>
      <c r="R42" s="214"/>
      <c r="S42" s="214"/>
      <c r="T42" s="214"/>
      <c r="U42" s="214"/>
      <c r="V42" s="214"/>
      <c r="W42" s="214"/>
    </row>
    <row r="43" spans="1:24" ht="12.75" customHeight="1" x14ac:dyDescent="0.25">
      <c r="A43" s="30" t="s">
        <v>336</v>
      </c>
      <c r="B43" s="121"/>
      <c r="C43" s="32">
        <f>C41-C42</f>
        <v>-80162487.260000229</v>
      </c>
      <c r="D43" s="31">
        <f t="shared" ref="D43:K43" si="5">D41-D42</f>
        <v>131979770.65999985</v>
      </c>
      <c r="E43" s="31">
        <f t="shared" si="5"/>
        <v>34847613.240000322</v>
      </c>
      <c r="F43" s="31">
        <f t="shared" si="5"/>
        <v>145956748</v>
      </c>
      <c r="G43" s="31">
        <f t="shared" si="5"/>
        <v>565329529</v>
      </c>
      <c r="H43" s="31">
        <f t="shared" si="5"/>
        <v>565329529</v>
      </c>
      <c r="I43" s="31">
        <f t="shared" si="5"/>
        <v>459401384.74499959</v>
      </c>
      <c r="J43" s="31">
        <f t="shared" si="5"/>
        <v>346306001.21528983</v>
      </c>
      <c r="K43" s="31">
        <f t="shared" si="5"/>
        <v>335075988.713175</v>
      </c>
      <c r="L43" s="214"/>
      <c r="M43" s="214"/>
      <c r="N43" s="214"/>
      <c r="O43" s="214"/>
      <c r="P43" s="214"/>
      <c r="Q43" s="214"/>
      <c r="R43" s="214"/>
      <c r="S43" s="214"/>
      <c r="T43" s="214"/>
      <c r="U43" s="214"/>
      <c r="V43" s="214"/>
      <c r="W43" s="214"/>
    </row>
    <row r="44" spans="1:24" ht="12.75" customHeight="1" x14ac:dyDescent="0.25">
      <c r="A44" s="462" t="s">
        <v>163</v>
      </c>
      <c r="B44" s="463"/>
      <c r="C44" s="464"/>
      <c r="D44" s="464"/>
      <c r="E44" s="464"/>
      <c r="F44" s="464"/>
      <c r="G44" s="464"/>
      <c r="H44" s="464"/>
      <c r="I44" s="464"/>
      <c r="J44" s="464"/>
      <c r="K44" s="464"/>
      <c r="L44" s="465"/>
      <c r="M44" s="465"/>
      <c r="N44" s="465"/>
      <c r="O44" s="465"/>
      <c r="P44" s="465"/>
      <c r="Q44" s="465"/>
      <c r="R44" s="214"/>
      <c r="S44" s="214"/>
      <c r="T44" s="214"/>
      <c r="U44" s="214"/>
      <c r="V44" s="214"/>
      <c r="W44" s="214"/>
      <c r="X44" s="223"/>
    </row>
    <row r="45" spans="1:24" ht="12.75" customHeight="1" x14ac:dyDescent="0.25">
      <c r="A45" s="466" t="s">
        <v>58</v>
      </c>
      <c r="B45" s="463"/>
      <c r="C45" s="467"/>
      <c r="D45" s="467"/>
      <c r="E45" s="467"/>
      <c r="F45" s="467"/>
      <c r="G45" s="467"/>
      <c r="H45" s="467"/>
      <c r="I45" s="467"/>
      <c r="J45" s="467"/>
      <c r="K45" s="467"/>
      <c r="L45" s="465"/>
      <c r="M45" s="465"/>
      <c r="N45" s="465"/>
      <c r="O45" s="465"/>
      <c r="P45" s="465"/>
      <c r="Q45" s="465"/>
      <c r="R45" s="214"/>
      <c r="S45" s="214"/>
      <c r="T45" s="214"/>
      <c r="U45" s="214"/>
      <c r="V45" s="214"/>
      <c r="W45" s="214"/>
      <c r="X45" s="223"/>
    </row>
    <row r="46" spans="1:24" ht="12.75" customHeight="1" x14ac:dyDescent="0.25">
      <c r="A46" s="466" t="s">
        <v>384</v>
      </c>
      <c r="B46" s="463"/>
      <c r="C46" s="467"/>
      <c r="D46" s="467"/>
      <c r="E46" s="467"/>
      <c r="F46" s="467"/>
      <c r="G46" s="467"/>
      <c r="H46" s="467"/>
      <c r="I46" s="467"/>
      <c r="J46" s="467"/>
      <c r="K46" s="467"/>
      <c r="L46" s="465"/>
      <c r="M46" s="465"/>
      <c r="N46" s="465"/>
      <c r="O46" s="465"/>
      <c r="P46" s="465"/>
      <c r="Q46" s="465"/>
      <c r="R46" s="214"/>
      <c r="S46" s="214"/>
      <c r="T46" s="214"/>
      <c r="U46" s="214"/>
      <c r="V46" s="214"/>
      <c r="W46" s="214"/>
      <c r="X46" s="223"/>
    </row>
    <row r="47" spans="1:24" ht="12.75" customHeight="1" x14ac:dyDescent="0.25">
      <c r="A47" s="466" t="s">
        <v>57</v>
      </c>
      <c r="B47" s="463"/>
      <c r="C47" s="467"/>
      <c r="D47" s="467"/>
      <c r="E47" s="467"/>
      <c r="F47" s="467"/>
      <c r="G47" s="467"/>
      <c r="H47" s="467"/>
      <c r="I47" s="467"/>
      <c r="J47" s="467"/>
      <c r="K47" s="467"/>
      <c r="L47" s="465"/>
      <c r="M47" s="465"/>
      <c r="N47" s="465"/>
      <c r="O47" s="465"/>
      <c r="P47" s="465"/>
      <c r="Q47" s="465"/>
      <c r="R47" s="214"/>
      <c r="S47" s="214"/>
      <c r="T47" s="214"/>
      <c r="U47" s="214"/>
      <c r="V47" s="214"/>
      <c r="W47" s="214"/>
      <c r="X47" s="223"/>
    </row>
    <row r="48" spans="1:24" ht="12.75" customHeight="1" x14ac:dyDescent="0.25">
      <c r="A48" s="466" t="s">
        <v>530</v>
      </c>
      <c r="B48" s="468"/>
      <c r="C48" s="467"/>
      <c r="D48" s="467"/>
      <c r="E48" s="467"/>
      <c r="F48" s="467"/>
      <c r="G48" s="467"/>
      <c r="H48" s="467"/>
      <c r="I48" s="467"/>
      <c r="J48" s="467"/>
      <c r="K48" s="467"/>
      <c r="L48" s="469"/>
      <c r="M48" s="469"/>
      <c r="N48" s="469"/>
      <c r="O48" s="469"/>
      <c r="P48" s="469"/>
      <c r="Q48" s="469"/>
      <c r="R48" s="209"/>
      <c r="S48" s="209"/>
      <c r="T48" s="209"/>
      <c r="U48" s="209"/>
      <c r="V48" s="209"/>
      <c r="W48" s="209"/>
    </row>
    <row r="49" spans="1:23" x14ac:dyDescent="0.25">
      <c r="A49" s="470" t="s">
        <v>528</v>
      </c>
      <c r="B49" s="226"/>
      <c r="C49" s="225"/>
      <c r="D49" s="225"/>
      <c r="E49" s="469"/>
      <c r="F49" s="469"/>
      <c r="G49" s="469"/>
      <c r="H49" s="469"/>
      <c r="I49" s="469"/>
      <c r="J49" s="469"/>
      <c r="K49" s="469"/>
      <c r="L49" s="469"/>
      <c r="M49" s="469"/>
      <c r="N49" s="469"/>
      <c r="O49" s="469"/>
      <c r="P49" s="469"/>
      <c r="Q49" s="469"/>
      <c r="R49" s="224"/>
      <c r="S49" s="224"/>
      <c r="T49" s="224"/>
      <c r="U49" s="224"/>
      <c r="V49" s="224"/>
      <c r="W49" s="224"/>
    </row>
    <row r="50" spans="1:23" x14ac:dyDescent="0.25">
      <c r="A50" s="470" t="s">
        <v>529</v>
      </c>
      <c r="B50" s="226"/>
      <c r="C50" s="225"/>
      <c r="D50" s="225"/>
      <c r="E50" s="469"/>
      <c r="F50" s="469"/>
      <c r="G50" s="469"/>
      <c r="H50" s="469"/>
      <c r="I50" s="469"/>
      <c r="J50" s="469"/>
      <c r="K50" s="469"/>
      <c r="L50" s="469"/>
      <c r="M50" s="469"/>
      <c r="N50" s="469"/>
      <c r="O50" s="469"/>
      <c r="P50" s="469"/>
      <c r="Q50" s="469"/>
      <c r="R50" s="224"/>
      <c r="S50" s="224"/>
      <c r="T50" s="224"/>
      <c r="U50" s="224"/>
      <c r="V50" s="224"/>
      <c r="W50" s="224"/>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222"/>
  <sheetViews>
    <sheetView showGridLines="0" zoomScaleNormal="100" workbookViewId="0">
      <pane xSplit="2" ySplit="3" topLeftCell="C165" activePane="bottomRight" state="frozen"/>
      <selection activeCell="M160" sqref="M158:P160"/>
      <selection pane="topRight" activeCell="M160" sqref="M158:P160"/>
      <selection pane="bottomLeft" activeCell="M160" sqref="M158:P160"/>
      <selection pane="bottomRight" sqref="A1:K178"/>
    </sheetView>
  </sheetViews>
  <sheetFormatPr defaultRowHeight="12.75" x14ac:dyDescent="0.25"/>
  <cols>
    <col min="1" max="1" width="35.140625" style="19" customWidth="1"/>
    <col min="2" max="2" width="3.140625" style="41" customWidth="1"/>
    <col min="3" max="11" width="8.7109375" style="19" customWidth="1"/>
    <col min="12" max="12" width="9.85546875" style="19"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12" ht="13.5" x14ac:dyDescent="0.25">
      <c r="A1" s="100" t="str">
        <f>_MEB2</f>
        <v>Centlec - Table D3 Capital Budget by asset class and funding</v>
      </c>
    </row>
    <row r="2" spans="1:12" ht="25.5" x14ac:dyDescent="0.25">
      <c r="A2" s="380" t="str">
        <f>Vdesc</f>
        <v>Vote Description</v>
      </c>
      <c r="B2" s="388" t="str">
        <f>head27</f>
        <v>Ref</v>
      </c>
      <c r="C2" s="97" t="str">
        <f>head1b</f>
        <v>2016/17</v>
      </c>
      <c r="D2" s="20" t="str">
        <f>head1A</f>
        <v>2017/18</v>
      </c>
      <c r="E2" s="92" t="str">
        <f>Head1</f>
        <v>2018/19</v>
      </c>
      <c r="F2" s="693" t="str">
        <f>Head2</f>
        <v>Current Year 2019/20</v>
      </c>
      <c r="G2" s="694"/>
      <c r="H2" s="695"/>
      <c r="I2" s="118" t="str">
        <f>Head3a</f>
        <v>Medium Term Revenue and Expenditure Framework</v>
      </c>
      <c r="J2" s="116"/>
      <c r="K2" s="117"/>
    </row>
    <row r="3" spans="1:12" ht="38.25" x14ac:dyDescent="0.25">
      <c r="A3" s="133" t="s">
        <v>184</v>
      </c>
      <c r="B3" s="123">
        <v>1</v>
      </c>
      <c r="C3" s="113" t="str">
        <f>Head5</f>
        <v>Audited Outcome</v>
      </c>
      <c r="D3" s="91" t="str">
        <f>Head5</f>
        <v>Audited Outcome</v>
      </c>
      <c r="E3" s="379" t="str">
        <f>Head5</f>
        <v>Audited Outcome</v>
      </c>
      <c r="F3" s="378" t="str">
        <f>Head6</f>
        <v>Original Budget</v>
      </c>
      <c r="G3" s="114" t="str">
        <f>Head7</f>
        <v>Adjusted Budget</v>
      </c>
      <c r="H3" s="379" t="str">
        <f>Head8</f>
        <v>Full Year Forecast</v>
      </c>
      <c r="I3" s="378" t="str">
        <f>Head9</f>
        <v>Budget Year 2020/21</v>
      </c>
      <c r="J3" s="114" t="str">
        <f>Head10</f>
        <v>Budget Year +1 2021/22</v>
      </c>
      <c r="K3" s="379" t="str">
        <f>Head11</f>
        <v>Budget Year +2 2022/23</v>
      </c>
    </row>
    <row r="4" spans="1:12" ht="12.75" customHeight="1" x14ac:dyDescent="0.25">
      <c r="A4" s="21" t="s">
        <v>826</v>
      </c>
      <c r="B4" s="453"/>
      <c r="C4" s="26"/>
      <c r="D4" s="25"/>
      <c r="E4" s="95"/>
      <c r="F4" s="26"/>
      <c r="G4" s="25"/>
      <c r="H4" s="95"/>
      <c r="I4" s="26"/>
      <c r="J4" s="25"/>
      <c r="K4" s="95"/>
    </row>
    <row r="5" spans="1:12" ht="5.0999999999999996" customHeight="1" x14ac:dyDescent="0.25">
      <c r="A5" s="21"/>
      <c r="B5" s="453"/>
      <c r="C5" s="26"/>
      <c r="D5" s="25"/>
      <c r="E5" s="95"/>
      <c r="F5" s="26"/>
      <c r="G5" s="25"/>
      <c r="H5" s="95"/>
      <c r="I5" s="26"/>
      <c r="J5" s="25"/>
      <c r="K5" s="95"/>
    </row>
    <row r="6" spans="1:12" ht="13.15" customHeight="1" x14ac:dyDescent="0.25">
      <c r="A6" s="301" t="s">
        <v>160</v>
      </c>
      <c r="B6" s="302"/>
      <c r="C6" s="293">
        <f>C7+C12+C16+C26+C37+C44+C52+C62+C68</f>
        <v>209364519.92000002</v>
      </c>
      <c r="D6" s="293">
        <f t="shared" ref="D6:K6" si="0">D7+D12+D16+D26+D37+D44+D52+D62+D68</f>
        <v>100764301.89999999</v>
      </c>
      <c r="E6" s="294">
        <f t="shared" si="0"/>
        <v>134844046.16</v>
      </c>
      <c r="F6" s="292">
        <f t="shared" si="0"/>
        <v>99785938</v>
      </c>
      <c r="G6" s="293">
        <f t="shared" si="0"/>
        <v>103085938</v>
      </c>
      <c r="H6" s="291">
        <f t="shared" si="0"/>
        <v>103085938</v>
      </c>
      <c r="I6" s="292">
        <f t="shared" si="0"/>
        <v>140757764.928</v>
      </c>
      <c r="J6" s="293">
        <f t="shared" si="0"/>
        <v>101642712.19654399</v>
      </c>
      <c r="K6" s="294">
        <f t="shared" si="0"/>
        <v>107673472.86197811</v>
      </c>
      <c r="L6" s="474"/>
    </row>
    <row r="7" spans="1:12" s="472" customFormat="1" ht="13.15" customHeight="1" x14ac:dyDescent="0.25">
      <c r="A7" s="285" t="s">
        <v>854</v>
      </c>
      <c r="B7" s="302"/>
      <c r="C7" s="417">
        <f t="shared" ref="C7:K7" si="1">SUM(C8:C11)</f>
        <v>0</v>
      </c>
      <c r="D7" s="417">
        <f t="shared" si="1"/>
        <v>0</v>
      </c>
      <c r="E7" s="418">
        <f t="shared" si="1"/>
        <v>0</v>
      </c>
      <c r="F7" s="419">
        <f t="shared" si="1"/>
        <v>0</v>
      </c>
      <c r="G7" s="417">
        <f t="shared" si="1"/>
        <v>0</v>
      </c>
      <c r="H7" s="420">
        <f t="shared" si="1"/>
        <v>0</v>
      </c>
      <c r="I7" s="419">
        <f t="shared" si="1"/>
        <v>0</v>
      </c>
      <c r="J7" s="417">
        <f t="shared" si="1"/>
        <v>0</v>
      </c>
      <c r="K7" s="420">
        <f t="shared" si="1"/>
        <v>0</v>
      </c>
      <c r="L7" s="438"/>
    </row>
    <row r="8" spans="1:12" s="472" customFormat="1" ht="13.15" customHeight="1" x14ac:dyDescent="0.25">
      <c r="A8" s="303" t="s">
        <v>507</v>
      </c>
      <c r="B8" s="504"/>
      <c r="C8" s="508">
        <f>SD7a!C8+SD7b!C8++SD7e!C8</f>
        <v>0</v>
      </c>
      <c r="D8" s="422">
        <f>SD7a!D8+SD7b!D8++SD7e!D8</f>
        <v>0</v>
      </c>
      <c r="E8" s="423">
        <f>SD7a!E8+SD7b!E8++SD7e!E8</f>
        <v>0</v>
      </c>
      <c r="F8" s="424">
        <f>SD7a!F8+SD7b!F8++SD7e!F8</f>
        <v>0</v>
      </c>
      <c r="G8" s="422">
        <f>SD7a!G8+SD7b!G8++SD7e!G8</f>
        <v>0</v>
      </c>
      <c r="H8" s="425">
        <f>SD7a!H8+SD7b!H8++SD7e!H8</f>
        <v>0</v>
      </c>
      <c r="I8" s="424">
        <f>SD7a!I8+SD7b!I8++SD7e!I8</f>
        <v>0</v>
      </c>
      <c r="J8" s="422">
        <f>SD7a!J8+SD7b!J8++SD7e!J8</f>
        <v>0</v>
      </c>
      <c r="K8" s="425">
        <f>SD7a!K8+SD7b!K8++SD7e!K8</f>
        <v>0</v>
      </c>
      <c r="L8" s="474"/>
    </row>
    <row r="9" spans="1:12" s="472" customFormat="1" ht="13.15" customHeight="1" x14ac:dyDescent="0.25">
      <c r="A9" s="303" t="s">
        <v>855</v>
      </c>
      <c r="B9" s="302"/>
      <c r="C9" s="508">
        <f>SD7a!C9+SD7b!C9++SD7e!C9</f>
        <v>0</v>
      </c>
      <c r="D9" s="422">
        <f>SD7a!D9+SD7b!D9++SD7e!D9</f>
        <v>0</v>
      </c>
      <c r="E9" s="423">
        <f>SD7a!E9+SD7b!E9++SD7e!E9</f>
        <v>0</v>
      </c>
      <c r="F9" s="424">
        <f>SD7a!F9+SD7b!F9++SD7e!F9</f>
        <v>0</v>
      </c>
      <c r="G9" s="422">
        <f>SD7a!G9+SD7b!G9++SD7e!G9</f>
        <v>0</v>
      </c>
      <c r="H9" s="425">
        <f>SD7a!H9+SD7b!H9++SD7e!H9</f>
        <v>0</v>
      </c>
      <c r="I9" s="424">
        <f>SD7a!I9+SD7b!I9++SD7e!I9</f>
        <v>0</v>
      </c>
      <c r="J9" s="422">
        <f>SD7a!J9+SD7b!J9++SD7e!J9</f>
        <v>0</v>
      </c>
      <c r="K9" s="425">
        <f>SD7a!K9+SD7b!K9++SD7e!K9</f>
        <v>0</v>
      </c>
      <c r="L9" s="479"/>
    </row>
    <row r="10" spans="1:12" s="472" customFormat="1" ht="13.15" customHeight="1" x14ac:dyDescent="0.25">
      <c r="A10" s="303" t="s">
        <v>856</v>
      </c>
      <c r="B10" s="302"/>
      <c r="C10" s="508">
        <f>SD7a!C10+SD7b!C10++SD7e!C10</f>
        <v>0</v>
      </c>
      <c r="D10" s="422">
        <f>SD7a!D10+SD7b!D10++SD7e!D10</f>
        <v>0</v>
      </c>
      <c r="E10" s="423">
        <f>SD7a!E10+SD7b!E10++SD7e!E10</f>
        <v>0</v>
      </c>
      <c r="F10" s="424">
        <f>SD7a!F10+SD7b!F10++SD7e!F10</f>
        <v>0</v>
      </c>
      <c r="G10" s="422">
        <f>SD7a!G10+SD7b!G10++SD7e!G10</f>
        <v>0</v>
      </c>
      <c r="H10" s="425">
        <f>SD7a!H10+SD7b!H10++SD7e!H10</f>
        <v>0</v>
      </c>
      <c r="I10" s="424">
        <f>SD7a!I10+SD7b!I10++SD7e!I10</f>
        <v>0</v>
      </c>
      <c r="J10" s="422">
        <f>SD7a!J10+SD7b!J10++SD7e!J10</f>
        <v>0</v>
      </c>
      <c r="K10" s="425">
        <f>SD7a!K10+SD7b!K10++SD7e!K10</f>
        <v>0</v>
      </c>
      <c r="L10" s="479"/>
    </row>
    <row r="11" spans="1:12" s="472" customFormat="1" ht="13.15" customHeight="1" x14ac:dyDescent="0.25">
      <c r="A11" s="303" t="s">
        <v>857</v>
      </c>
      <c r="B11" s="302"/>
      <c r="C11" s="508">
        <f>SD7a!C11+SD7b!C11++SD7e!C11</f>
        <v>0</v>
      </c>
      <c r="D11" s="422">
        <f>SD7a!D11+SD7b!D11++SD7e!D11</f>
        <v>0</v>
      </c>
      <c r="E11" s="423">
        <f>SD7a!E11+SD7b!E11++SD7e!E11</f>
        <v>0</v>
      </c>
      <c r="F11" s="424">
        <f>SD7a!F11+SD7b!F11++SD7e!F11</f>
        <v>0</v>
      </c>
      <c r="G11" s="422">
        <f>SD7a!G11+SD7b!G11++SD7e!G11</f>
        <v>0</v>
      </c>
      <c r="H11" s="425">
        <f>SD7a!H11+SD7b!H11++SD7e!H11</f>
        <v>0</v>
      </c>
      <c r="I11" s="424">
        <f>SD7a!I11+SD7b!I11++SD7e!I11</f>
        <v>0</v>
      </c>
      <c r="J11" s="422">
        <f>SD7a!J11+SD7b!J11++SD7e!J11</f>
        <v>0</v>
      </c>
      <c r="K11" s="425">
        <f>SD7a!K11+SD7b!K11++SD7e!K11</f>
        <v>0</v>
      </c>
      <c r="L11" s="479"/>
    </row>
    <row r="12" spans="1:12" s="472" customFormat="1" ht="13.15" customHeight="1" x14ac:dyDescent="0.25">
      <c r="A12" s="285" t="s">
        <v>858</v>
      </c>
      <c r="B12" s="302"/>
      <c r="C12" s="422">
        <f>SUM(C13:C15)</f>
        <v>0</v>
      </c>
      <c r="D12" s="422">
        <f t="shared" ref="D12:K12" si="2">SUM(D13:D15)</f>
        <v>0</v>
      </c>
      <c r="E12" s="423">
        <f t="shared" si="2"/>
        <v>0</v>
      </c>
      <c r="F12" s="424">
        <f t="shared" si="2"/>
        <v>0</v>
      </c>
      <c r="G12" s="422">
        <f t="shared" si="2"/>
        <v>0</v>
      </c>
      <c r="H12" s="425">
        <f t="shared" si="2"/>
        <v>0</v>
      </c>
      <c r="I12" s="426">
        <f t="shared" si="2"/>
        <v>0</v>
      </c>
      <c r="J12" s="422">
        <f t="shared" si="2"/>
        <v>0</v>
      </c>
      <c r="K12" s="425">
        <f t="shared" si="2"/>
        <v>0</v>
      </c>
      <c r="L12" s="479"/>
    </row>
    <row r="13" spans="1:12" s="472" customFormat="1" ht="13.15" customHeight="1" x14ac:dyDescent="0.25">
      <c r="A13" s="303" t="s">
        <v>859</v>
      </c>
      <c r="B13" s="302"/>
      <c r="C13" s="508">
        <f>SD7a!C13+SD7b!C13++SD7e!C13</f>
        <v>0</v>
      </c>
      <c r="D13" s="422">
        <f>SD7a!D13+SD7b!D13++SD7e!D13</f>
        <v>0</v>
      </c>
      <c r="E13" s="423">
        <f>SD7a!E13+SD7b!E13++SD7e!E13</f>
        <v>0</v>
      </c>
      <c r="F13" s="424">
        <f>SD7a!F13+SD7b!F13++SD7e!F13</f>
        <v>0</v>
      </c>
      <c r="G13" s="422">
        <f>SD7a!G13+SD7b!G13++SD7e!G13</f>
        <v>0</v>
      </c>
      <c r="H13" s="425">
        <f>SD7a!H13+SD7b!H13++SD7e!H13</f>
        <v>0</v>
      </c>
      <c r="I13" s="424">
        <f>SD7a!I13+SD7b!I13++SD7e!I13</f>
        <v>0</v>
      </c>
      <c r="J13" s="422">
        <f>SD7a!J13+SD7b!J13++SD7e!J13</f>
        <v>0</v>
      </c>
      <c r="K13" s="425">
        <f>SD7a!K13+SD7b!K13++SD7e!K13</f>
        <v>0</v>
      </c>
      <c r="L13" s="479"/>
    </row>
    <row r="14" spans="1:12" s="472" customFormat="1" ht="13.15" customHeight="1" x14ac:dyDescent="0.25">
      <c r="A14" s="303" t="s">
        <v>860</v>
      </c>
      <c r="B14" s="302"/>
      <c r="C14" s="508">
        <f>SD7a!C14+SD7b!C14++SD7e!C14</f>
        <v>0</v>
      </c>
      <c r="D14" s="422">
        <f>SD7a!D14+SD7b!D14++SD7e!D14</f>
        <v>0</v>
      </c>
      <c r="E14" s="423">
        <f>SD7a!E14+SD7b!E14++SD7e!E14</f>
        <v>0</v>
      </c>
      <c r="F14" s="424">
        <f>SD7a!F14+SD7b!F14++SD7e!F14</f>
        <v>0</v>
      </c>
      <c r="G14" s="422">
        <f>SD7a!G14+SD7b!G14++SD7e!G14</f>
        <v>0</v>
      </c>
      <c r="H14" s="425">
        <f>SD7a!H14+SD7b!H14++SD7e!H14</f>
        <v>0</v>
      </c>
      <c r="I14" s="424">
        <f>SD7a!I14+SD7b!I14++SD7e!I14</f>
        <v>0</v>
      </c>
      <c r="J14" s="422">
        <f>SD7a!J14+SD7b!J14++SD7e!J14</f>
        <v>0</v>
      </c>
      <c r="K14" s="425">
        <f>SD7a!K14+SD7b!K14++SD7e!K14</f>
        <v>0</v>
      </c>
      <c r="L14" s="479"/>
    </row>
    <row r="15" spans="1:12" s="472" customFormat="1" ht="13.15" customHeight="1" x14ac:dyDescent="0.25">
      <c r="A15" s="303" t="s">
        <v>861</v>
      </c>
      <c r="B15" s="302"/>
      <c r="C15" s="508">
        <f>SD7a!C15+SD7b!C15++SD7e!C15</f>
        <v>0</v>
      </c>
      <c r="D15" s="422">
        <f>SD7a!D15+SD7b!D15++SD7e!D15</f>
        <v>0</v>
      </c>
      <c r="E15" s="423">
        <f>SD7a!E15+SD7b!E15++SD7e!E15</f>
        <v>0</v>
      </c>
      <c r="F15" s="424">
        <f>SD7a!F15+SD7b!F15++SD7e!F15</f>
        <v>0</v>
      </c>
      <c r="G15" s="422">
        <f>SD7a!G15+SD7b!G15++SD7e!G15</f>
        <v>0</v>
      </c>
      <c r="H15" s="425">
        <f>SD7a!H15+SD7b!H15++SD7e!H15</f>
        <v>0</v>
      </c>
      <c r="I15" s="424">
        <f>SD7a!I15+SD7b!I15++SD7e!I15</f>
        <v>0</v>
      </c>
      <c r="J15" s="422">
        <f>SD7a!J15+SD7b!J15++SD7e!J15</f>
        <v>0</v>
      </c>
      <c r="K15" s="425">
        <f>SD7a!K15+SD7b!K15++SD7e!K15</f>
        <v>0</v>
      </c>
      <c r="L15" s="479"/>
    </row>
    <row r="16" spans="1:12" s="472" customFormat="1" ht="13.15" customHeight="1" x14ac:dyDescent="0.25">
      <c r="A16" s="285" t="s">
        <v>862</v>
      </c>
      <c r="B16" s="302"/>
      <c r="C16" s="422">
        <f t="shared" ref="C16:K16" si="3">SUM(C17:C25)</f>
        <v>209364519.92000002</v>
      </c>
      <c r="D16" s="422">
        <f t="shared" si="3"/>
        <v>100764301.89999999</v>
      </c>
      <c r="E16" s="423">
        <f t="shared" si="3"/>
        <v>134844046.16</v>
      </c>
      <c r="F16" s="424">
        <f t="shared" si="3"/>
        <v>99785938</v>
      </c>
      <c r="G16" s="422">
        <f t="shared" si="3"/>
        <v>103085938</v>
      </c>
      <c r="H16" s="425">
        <f t="shared" si="3"/>
        <v>103085938</v>
      </c>
      <c r="I16" s="426">
        <f t="shared" si="3"/>
        <v>140757764.928</v>
      </c>
      <c r="J16" s="422">
        <f t="shared" si="3"/>
        <v>101642712.19654399</v>
      </c>
      <c r="K16" s="425">
        <f t="shared" si="3"/>
        <v>107673472.86197811</v>
      </c>
      <c r="L16" s="479"/>
    </row>
    <row r="17" spans="1:12" s="472" customFormat="1" ht="13.15" customHeight="1" x14ac:dyDescent="0.25">
      <c r="A17" s="303" t="s">
        <v>863</v>
      </c>
      <c r="B17" s="302"/>
      <c r="C17" s="508">
        <f>SD7a!C17+SD7b!C17++SD7e!C17</f>
        <v>0</v>
      </c>
      <c r="D17" s="422">
        <f>SD7a!D17+SD7b!D17++SD7e!D17</f>
        <v>58297.42</v>
      </c>
      <c r="E17" s="423">
        <f>SD7a!E17+SD7b!E17++SD7e!E17</f>
        <v>591000</v>
      </c>
      <c r="F17" s="424">
        <f>SD7a!F17+SD7b!F17++SD7e!F17</f>
        <v>1000000</v>
      </c>
      <c r="G17" s="422">
        <f>SD7a!G17+SD7b!G17++SD7e!G17</f>
        <v>1000000</v>
      </c>
      <c r="H17" s="425">
        <f>SD7a!H17+SD7b!H17++SD7e!H17</f>
        <v>1000000</v>
      </c>
      <c r="I17" s="424">
        <f>SD7a!I17+SD7b!I17++SD7e!I17</f>
        <v>1000000</v>
      </c>
      <c r="J17" s="422">
        <f>SD7a!J17+SD7b!J17++SD7e!J17</f>
        <v>1048000</v>
      </c>
      <c r="K17" s="425">
        <f>SD7a!K17+SD7b!K17++SD7e!K17</f>
        <v>1098304</v>
      </c>
      <c r="L17" s="479"/>
    </row>
    <row r="18" spans="1:12" s="472" customFormat="1" ht="13.15" customHeight="1" x14ac:dyDescent="0.25">
      <c r="A18" s="303" t="s">
        <v>864</v>
      </c>
      <c r="B18" s="302"/>
      <c r="C18" s="508">
        <f>SD7a!C18+SD7b!C18++SD7e!C18</f>
        <v>51346274.049999997</v>
      </c>
      <c r="D18" s="422">
        <f>SD7a!D18+SD7b!D18++SD7e!D18</f>
        <v>23087009.789999999</v>
      </c>
      <c r="E18" s="423">
        <f>SD7a!E18+SD7b!E18++SD7e!E18</f>
        <v>73175286.819999993</v>
      </c>
      <c r="F18" s="424">
        <f>SD7a!F18+SD7b!F18++SD7e!F18</f>
        <v>1257087</v>
      </c>
      <c r="G18" s="422">
        <f>SD7a!G18+SD7b!G18++SD7e!G18</f>
        <v>857087</v>
      </c>
      <c r="H18" s="425">
        <f>SD7a!H18+SD7b!H18++SD7e!H18</f>
        <v>857087</v>
      </c>
      <c r="I18" s="424">
        <f>SD7a!I18+SD7b!I18++SD7e!I18</f>
        <v>3526213.9280000003</v>
      </c>
      <c r="J18" s="422">
        <f>SD7a!J18+SD7b!J18++SD7e!J18</f>
        <v>3695472.1965439999</v>
      </c>
      <c r="K18" s="425">
        <f>SD7a!K18+SD7b!K18++SD7e!K18</f>
        <v>3872854.8619781118</v>
      </c>
      <c r="L18" s="479"/>
    </row>
    <row r="19" spans="1:12" s="472" customFormat="1" ht="13.15" customHeight="1" x14ac:dyDescent="0.25">
      <c r="A19" s="303" t="s">
        <v>865</v>
      </c>
      <c r="B19" s="302"/>
      <c r="C19" s="508">
        <f>SD7a!C19+SD7b!C19++SD7e!C19</f>
        <v>0</v>
      </c>
      <c r="D19" s="422">
        <f>SD7a!D19+SD7b!D19++SD7e!D19</f>
        <v>0</v>
      </c>
      <c r="E19" s="423">
        <f>SD7a!E19+SD7b!E19++SD7e!E19</f>
        <v>0</v>
      </c>
      <c r="F19" s="424">
        <f>SD7a!F19+SD7b!F19++SD7e!F19</f>
        <v>0</v>
      </c>
      <c r="G19" s="422">
        <f>SD7a!G19+SD7b!G19++SD7e!G19</f>
        <v>0</v>
      </c>
      <c r="H19" s="425">
        <f>SD7a!H19+SD7b!H19++SD7e!H19</f>
        <v>0</v>
      </c>
      <c r="I19" s="424">
        <f>SD7a!I19+SD7b!I19++SD7e!I19</f>
        <v>0</v>
      </c>
      <c r="J19" s="422">
        <f>SD7a!J19+SD7b!J19++SD7e!J19</f>
        <v>0</v>
      </c>
      <c r="K19" s="425">
        <f>SD7a!K19+SD7b!K19++SD7e!K19</f>
        <v>0</v>
      </c>
      <c r="L19" s="479"/>
    </row>
    <row r="20" spans="1:12" s="472" customFormat="1" ht="13.15" customHeight="1" x14ac:dyDescent="0.25">
      <c r="A20" s="303" t="s">
        <v>866</v>
      </c>
      <c r="B20" s="302"/>
      <c r="C20" s="508">
        <f>SD7a!C20+SD7b!C20++SD7e!C20</f>
        <v>0</v>
      </c>
      <c r="D20" s="422">
        <f>SD7a!D20+SD7b!D20++SD7e!D20</f>
        <v>0</v>
      </c>
      <c r="E20" s="423">
        <f>SD7a!E20+SD7b!E20++SD7e!E20</f>
        <v>0</v>
      </c>
      <c r="F20" s="424">
        <f>SD7a!F20+SD7b!F20++SD7e!F20</f>
        <v>628326</v>
      </c>
      <c r="G20" s="422">
        <f>SD7a!G20+SD7b!G20++SD7e!G20</f>
        <v>328326</v>
      </c>
      <c r="H20" s="425">
        <f>SD7a!H20+SD7b!H20++SD7e!H20</f>
        <v>328326</v>
      </c>
      <c r="I20" s="424">
        <f>SD7a!I20+SD7b!I20++SD7e!I20</f>
        <v>11000000</v>
      </c>
      <c r="J20" s="422">
        <f>SD7a!J20+SD7b!J20++SD7e!J20</f>
        <v>1048000</v>
      </c>
      <c r="K20" s="425">
        <f>SD7a!K20+SD7b!K20++SD7e!K20</f>
        <v>1098304</v>
      </c>
      <c r="L20" s="479"/>
    </row>
    <row r="21" spans="1:12" s="472" customFormat="1" ht="13.15" customHeight="1" x14ac:dyDescent="0.25">
      <c r="A21" s="303" t="s">
        <v>867</v>
      </c>
      <c r="B21" s="302"/>
      <c r="C21" s="508">
        <f>SD7a!C21+SD7b!C21++SD7e!C21</f>
        <v>9767265.2300000004</v>
      </c>
      <c r="D21" s="422">
        <f>SD7a!D21+SD7b!D21++SD7e!D21</f>
        <v>490100</v>
      </c>
      <c r="E21" s="423">
        <f>SD7a!E21+SD7b!E21++SD7e!E21</f>
        <v>0</v>
      </c>
      <c r="F21" s="424">
        <f>SD7a!F21+SD7b!F21++SD7e!F21</f>
        <v>0</v>
      </c>
      <c r="G21" s="422">
        <f>SD7a!G21+SD7b!G21++SD7e!G21</f>
        <v>0</v>
      </c>
      <c r="H21" s="425">
        <f>SD7a!H21+SD7b!H21++SD7e!H21</f>
        <v>0</v>
      </c>
      <c r="I21" s="424">
        <f>SD7a!I21+SD7b!I21++SD7e!I21</f>
        <v>0</v>
      </c>
      <c r="J21" s="422">
        <f>SD7a!J21+SD7b!J21++SD7e!J21</f>
        <v>0</v>
      </c>
      <c r="K21" s="425">
        <f>SD7a!K21+SD7b!K21++SD7e!K21</f>
        <v>0</v>
      </c>
      <c r="L21" s="479"/>
    </row>
    <row r="22" spans="1:12" s="472" customFormat="1" ht="13.15" customHeight="1" x14ac:dyDescent="0.25">
      <c r="A22" s="303" t="s">
        <v>868</v>
      </c>
      <c r="B22" s="302"/>
      <c r="C22" s="508">
        <f>SD7a!C22+SD7b!C22++SD7e!C22</f>
        <v>0</v>
      </c>
      <c r="D22" s="422">
        <f>SD7a!D22+SD7b!D22++SD7e!D22</f>
        <v>0</v>
      </c>
      <c r="E22" s="423">
        <f>SD7a!E22+SD7b!E22++SD7e!E22</f>
        <v>0</v>
      </c>
      <c r="F22" s="424">
        <f>SD7a!F22+SD7b!F22++SD7e!F22</f>
        <v>0</v>
      </c>
      <c r="G22" s="422">
        <f>SD7a!G22+SD7b!G22++SD7e!G22</f>
        <v>0</v>
      </c>
      <c r="H22" s="425">
        <f>SD7a!H22+SD7b!H22++SD7e!H22</f>
        <v>0</v>
      </c>
      <c r="I22" s="424">
        <f>SD7a!I22+SD7b!I22++SD7e!I22</f>
        <v>0</v>
      </c>
      <c r="J22" s="422">
        <f>SD7a!J22+SD7b!J22++SD7e!J22</f>
        <v>0</v>
      </c>
      <c r="K22" s="425">
        <f>SD7a!K22+SD7b!K22++SD7e!K22</f>
        <v>0</v>
      </c>
      <c r="L22" s="474"/>
    </row>
    <row r="23" spans="1:12" s="472" customFormat="1" ht="13.15" customHeight="1" x14ac:dyDescent="0.25">
      <c r="A23" s="303" t="s">
        <v>869</v>
      </c>
      <c r="B23" s="302"/>
      <c r="C23" s="508">
        <f>SD7a!C23+SD7b!C23++SD7e!C23</f>
        <v>34051360.859999999</v>
      </c>
      <c r="D23" s="422">
        <f>SD7a!D23+SD7b!D23++SD7e!D23</f>
        <v>59062616.229999997</v>
      </c>
      <c r="E23" s="423">
        <f>SD7a!E23+SD7b!E23++SD7e!E23</f>
        <v>27202274.130000003</v>
      </c>
      <c r="F23" s="424">
        <f>SD7a!F23+SD7b!F23++SD7e!F23</f>
        <v>24655118</v>
      </c>
      <c r="G23" s="422">
        <f>SD7a!G23+SD7b!G23++SD7e!G23</f>
        <v>29655118</v>
      </c>
      <c r="H23" s="425">
        <f>SD7a!H23+SD7b!H23++SD7e!H23</f>
        <v>29655118</v>
      </c>
      <c r="I23" s="424">
        <f>SD7a!I23+SD7b!I23++SD7e!I23</f>
        <v>23348604</v>
      </c>
      <c r="J23" s="422">
        <f>SD7a!J23+SD7b!J23++SD7e!J23</f>
        <v>24469336</v>
      </c>
      <c r="K23" s="425">
        <f>SD7a!K23+SD7b!K23++SD7e!K23</f>
        <v>25643865</v>
      </c>
      <c r="L23" s="479"/>
    </row>
    <row r="24" spans="1:12" s="472" customFormat="1" ht="13.15" customHeight="1" x14ac:dyDescent="0.25">
      <c r="A24" s="303" t="s">
        <v>870</v>
      </c>
      <c r="B24" s="302"/>
      <c r="C24" s="508">
        <f>SD7a!C24+SD7b!C24++SD7e!C24</f>
        <v>114199619.78</v>
      </c>
      <c r="D24" s="422">
        <f>SD7a!D24+SD7b!D24++SD7e!D24</f>
        <v>16465212.859999999</v>
      </c>
      <c r="E24" s="423">
        <f>SD7a!E24+SD7b!E24++SD7e!E24</f>
        <v>33875485.210000001</v>
      </c>
      <c r="F24" s="424">
        <f>SD7a!F24+SD7b!F24++SD7e!F24</f>
        <v>72245407</v>
      </c>
      <c r="G24" s="422">
        <f>SD7a!G24+SD7b!G24++SD7e!G24</f>
        <v>71245407</v>
      </c>
      <c r="H24" s="425">
        <f>SD7a!H24+SD7b!H24++SD7e!H24</f>
        <v>71245407</v>
      </c>
      <c r="I24" s="424">
        <f>SD7a!I24+SD7b!I24++SD7e!I24</f>
        <v>101882947</v>
      </c>
      <c r="J24" s="422">
        <f>SD7a!J24+SD7b!J24++SD7e!J24</f>
        <v>71381904</v>
      </c>
      <c r="K24" s="425">
        <f>SD7a!K24+SD7b!K24++SD7e!K24</f>
        <v>75960145</v>
      </c>
      <c r="L24" s="479"/>
    </row>
    <row r="25" spans="1:12" s="472" customFormat="1" ht="13.15" customHeight="1" x14ac:dyDescent="0.25">
      <c r="A25" s="303" t="s">
        <v>857</v>
      </c>
      <c r="B25" s="302"/>
      <c r="C25" s="508">
        <f>SD7a!C25+SD7b!C25++SD7e!C25</f>
        <v>0</v>
      </c>
      <c r="D25" s="422">
        <f>SD7a!D25+SD7b!D25++SD7e!D25</f>
        <v>1601065.6</v>
      </c>
      <c r="E25" s="423">
        <f>SD7a!E25+SD7b!E25++SD7e!E25</f>
        <v>0</v>
      </c>
      <c r="F25" s="424">
        <f>SD7a!F25+SD7b!F25++SD7e!F25</f>
        <v>0</v>
      </c>
      <c r="G25" s="422">
        <f>SD7a!G25+SD7b!G25++SD7e!G25</f>
        <v>0</v>
      </c>
      <c r="H25" s="425">
        <f>SD7a!H25+SD7b!H25++SD7e!H25</f>
        <v>0</v>
      </c>
      <c r="I25" s="424">
        <f>SD7a!I25+SD7b!I25++SD7e!I25</f>
        <v>0</v>
      </c>
      <c r="J25" s="422">
        <f>SD7a!J25+SD7b!J25++SD7e!J25</f>
        <v>0</v>
      </c>
      <c r="K25" s="425">
        <f>SD7a!K25+SD7b!K25++SD7e!K25</f>
        <v>0</v>
      </c>
      <c r="L25" s="479"/>
    </row>
    <row r="26" spans="1:12" ht="13.15" customHeight="1" x14ac:dyDescent="0.25">
      <c r="A26" s="284" t="s">
        <v>871</v>
      </c>
      <c r="B26" s="454"/>
      <c r="C26" s="422">
        <f>SUM(C27:C36)</f>
        <v>0</v>
      </c>
      <c r="D26" s="422">
        <f t="shared" ref="D26:K26" si="4">SUM(D27:D36)</f>
        <v>0</v>
      </c>
      <c r="E26" s="423">
        <f t="shared" si="4"/>
        <v>0</v>
      </c>
      <c r="F26" s="424">
        <f t="shared" si="4"/>
        <v>0</v>
      </c>
      <c r="G26" s="422">
        <f t="shared" si="4"/>
        <v>0</v>
      </c>
      <c r="H26" s="425">
        <f t="shared" si="4"/>
        <v>0</v>
      </c>
      <c r="I26" s="426">
        <f t="shared" si="4"/>
        <v>0</v>
      </c>
      <c r="J26" s="422">
        <f t="shared" si="4"/>
        <v>0</v>
      </c>
      <c r="K26" s="425">
        <f t="shared" si="4"/>
        <v>0</v>
      </c>
      <c r="L26" s="438"/>
    </row>
    <row r="27" spans="1:12" ht="13.15" customHeight="1" x14ac:dyDescent="0.25">
      <c r="A27" s="303" t="s">
        <v>872</v>
      </c>
      <c r="B27" s="302"/>
      <c r="C27" s="508">
        <f>SD7a!C27+SD7b!C27++SD7e!C27</f>
        <v>0</v>
      </c>
      <c r="D27" s="422">
        <f>SD7a!D27+SD7b!D27++SD7e!D27</f>
        <v>0</v>
      </c>
      <c r="E27" s="423">
        <f>SD7a!E27+SD7b!E27++SD7e!E27</f>
        <v>0</v>
      </c>
      <c r="F27" s="424">
        <f>SD7a!F27+SD7b!F27++SD7e!F27</f>
        <v>0</v>
      </c>
      <c r="G27" s="422">
        <f>SD7a!G27+SD7b!G27++SD7e!G27</f>
        <v>0</v>
      </c>
      <c r="H27" s="425">
        <f>SD7a!H27+SD7b!H27++SD7e!H27</f>
        <v>0</v>
      </c>
      <c r="I27" s="424">
        <f>SD7a!I27+SD7b!I27++SD7e!I27</f>
        <v>0</v>
      </c>
      <c r="J27" s="422">
        <f>SD7a!J27+SD7b!J27++SD7e!J27</f>
        <v>0</v>
      </c>
      <c r="K27" s="425">
        <f>SD7a!K27+SD7b!K27++SD7e!K27</f>
        <v>0</v>
      </c>
      <c r="L27" s="438"/>
    </row>
    <row r="28" spans="1:12" ht="13.15" customHeight="1" x14ac:dyDescent="0.25">
      <c r="A28" s="303" t="s">
        <v>873</v>
      </c>
      <c r="B28" s="302"/>
      <c r="C28" s="508">
        <f>SD7a!C28+SD7b!C28++SD7e!C28</f>
        <v>0</v>
      </c>
      <c r="D28" s="422">
        <f>SD7a!D28+SD7b!D28++SD7e!D28</f>
        <v>0</v>
      </c>
      <c r="E28" s="423">
        <f>SD7a!E28+SD7b!E28++SD7e!E28</f>
        <v>0</v>
      </c>
      <c r="F28" s="424">
        <f>SD7a!F28+SD7b!F28++SD7e!F28</f>
        <v>0</v>
      </c>
      <c r="G28" s="422">
        <f>SD7a!G28+SD7b!G28++SD7e!G28</f>
        <v>0</v>
      </c>
      <c r="H28" s="425">
        <f>SD7a!H28+SD7b!H28++SD7e!H28</f>
        <v>0</v>
      </c>
      <c r="I28" s="424">
        <f>SD7a!I28+SD7b!I28++SD7e!I28</f>
        <v>0</v>
      </c>
      <c r="J28" s="422">
        <f>SD7a!J28+SD7b!J28++SD7e!J28</f>
        <v>0</v>
      </c>
      <c r="K28" s="425">
        <f>SD7a!K28+SD7b!K28++SD7e!K28</f>
        <v>0</v>
      </c>
      <c r="L28" s="479"/>
    </row>
    <row r="29" spans="1:12" ht="13.15" customHeight="1" x14ac:dyDescent="0.25">
      <c r="A29" s="303" t="s">
        <v>874</v>
      </c>
      <c r="B29" s="302"/>
      <c r="C29" s="508">
        <f>SD7a!C29+SD7b!C29++SD7e!C29</f>
        <v>0</v>
      </c>
      <c r="D29" s="422">
        <f>SD7a!D29+SD7b!D29++SD7e!D29</f>
        <v>0</v>
      </c>
      <c r="E29" s="423">
        <f>SD7a!E29+SD7b!E29++SD7e!E29</f>
        <v>0</v>
      </c>
      <c r="F29" s="424">
        <f>SD7a!F29+SD7b!F29++SD7e!F29</f>
        <v>0</v>
      </c>
      <c r="G29" s="422">
        <f>SD7a!G29+SD7b!G29++SD7e!G29</f>
        <v>0</v>
      </c>
      <c r="H29" s="425">
        <f>SD7a!H29+SD7b!H29++SD7e!H29</f>
        <v>0</v>
      </c>
      <c r="I29" s="424">
        <f>SD7a!I29+SD7b!I29++SD7e!I29</f>
        <v>0</v>
      </c>
      <c r="J29" s="422">
        <f>SD7a!J29+SD7b!J29++SD7e!J29</f>
        <v>0</v>
      </c>
      <c r="K29" s="425">
        <f>SD7a!K29+SD7b!K29++SD7e!K29</f>
        <v>0</v>
      </c>
      <c r="L29" s="479"/>
    </row>
    <row r="30" spans="1:12" ht="13.15" customHeight="1" x14ac:dyDescent="0.25">
      <c r="A30" s="303" t="s">
        <v>875</v>
      </c>
      <c r="B30" s="302"/>
      <c r="C30" s="508">
        <f>SD7a!C30+SD7b!C30++SD7e!C30</f>
        <v>0</v>
      </c>
      <c r="D30" s="422">
        <f>SD7a!D30+SD7b!D30++SD7e!D30</f>
        <v>0</v>
      </c>
      <c r="E30" s="423">
        <f>SD7a!E30+SD7b!E30++SD7e!E30</f>
        <v>0</v>
      </c>
      <c r="F30" s="424">
        <f>SD7a!F30+SD7b!F30++SD7e!F30</f>
        <v>0</v>
      </c>
      <c r="G30" s="422">
        <f>SD7a!G30+SD7b!G30++SD7e!G30</f>
        <v>0</v>
      </c>
      <c r="H30" s="425">
        <f>SD7a!H30+SD7b!H30++SD7e!H30</f>
        <v>0</v>
      </c>
      <c r="I30" s="424">
        <f>SD7a!I30+SD7b!I30++SD7e!I30</f>
        <v>0</v>
      </c>
      <c r="J30" s="422">
        <f>SD7a!J30+SD7b!J30++SD7e!J30</f>
        <v>0</v>
      </c>
      <c r="K30" s="425">
        <f>SD7a!K30+SD7b!K30++SD7e!K30</f>
        <v>0</v>
      </c>
      <c r="L30" s="479"/>
    </row>
    <row r="31" spans="1:12" ht="13.15" customHeight="1" x14ac:dyDescent="0.25">
      <c r="A31" s="303" t="s">
        <v>876</v>
      </c>
      <c r="B31" s="302"/>
      <c r="C31" s="508">
        <f>SD7a!C31+SD7b!C31++SD7e!C31</f>
        <v>0</v>
      </c>
      <c r="D31" s="422">
        <f>SD7a!D31+SD7b!D31++SD7e!D31</f>
        <v>0</v>
      </c>
      <c r="E31" s="423">
        <f>SD7a!E31+SD7b!E31++SD7e!E31</f>
        <v>0</v>
      </c>
      <c r="F31" s="424">
        <f>SD7a!F31+SD7b!F31++SD7e!F31</f>
        <v>0</v>
      </c>
      <c r="G31" s="422">
        <f>SD7a!G31+SD7b!G31++SD7e!G31</f>
        <v>0</v>
      </c>
      <c r="H31" s="425">
        <f>SD7a!H31+SD7b!H31++SD7e!H31</f>
        <v>0</v>
      </c>
      <c r="I31" s="424">
        <f>SD7a!I31+SD7b!I31++SD7e!I31</f>
        <v>0</v>
      </c>
      <c r="J31" s="422">
        <f>SD7a!J31+SD7b!J31++SD7e!J31</f>
        <v>0</v>
      </c>
      <c r="K31" s="425">
        <f>SD7a!K31+SD7b!K31++SD7e!K31</f>
        <v>0</v>
      </c>
      <c r="L31" s="479"/>
    </row>
    <row r="32" spans="1:12" ht="13.15" customHeight="1" x14ac:dyDescent="0.25">
      <c r="A32" s="303" t="s">
        <v>877</v>
      </c>
      <c r="B32" s="302"/>
      <c r="C32" s="508">
        <f>SD7a!C32+SD7b!C32++SD7e!C32</f>
        <v>0</v>
      </c>
      <c r="D32" s="422">
        <f>SD7a!D32+SD7b!D32++SD7e!D32</f>
        <v>0</v>
      </c>
      <c r="E32" s="423">
        <f>SD7a!E32+SD7b!E32++SD7e!E32</f>
        <v>0</v>
      </c>
      <c r="F32" s="424">
        <f>SD7a!F32+SD7b!F32++SD7e!F32</f>
        <v>0</v>
      </c>
      <c r="G32" s="422">
        <f>SD7a!G32+SD7b!G32++SD7e!G32</f>
        <v>0</v>
      </c>
      <c r="H32" s="425">
        <f>SD7a!H32+SD7b!H32++SD7e!H32</f>
        <v>0</v>
      </c>
      <c r="I32" s="424">
        <f>SD7a!I32+SD7b!I32++SD7e!I32</f>
        <v>0</v>
      </c>
      <c r="J32" s="422">
        <f>SD7a!J32+SD7b!J32++SD7e!J32</f>
        <v>0</v>
      </c>
      <c r="K32" s="425">
        <f>SD7a!K32+SD7b!K32++SD7e!K32</f>
        <v>0</v>
      </c>
      <c r="L32" s="479"/>
    </row>
    <row r="33" spans="1:15" ht="13.15" customHeight="1" x14ac:dyDescent="0.25">
      <c r="A33" s="303" t="s">
        <v>878</v>
      </c>
      <c r="B33" s="302"/>
      <c r="C33" s="508">
        <f>SD7a!C33+SD7b!C33++SD7e!C33</f>
        <v>0</v>
      </c>
      <c r="D33" s="422">
        <f>SD7a!D33+SD7b!D33++SD7e!D33</f>
        <v>0</v>
      </c>
      <c r="E33" s="423">
        <f>SD7a!E33+SD7b!E33++SD7e!E33</f>
        <v>0</v>
      </c>
      <c r="F33" s="424">
        <f>SD7a!F33+SD7b!F33++SD7e!F33</f>
        <v>0</v>
      </c>
      <c r="G33" s="422">
        <f>SD7a!G33+SD7b!G33++SD7e!G33</f>
        <v>0</v>
      </c>
      <c r="H33" s="425">
        <f>SD7a!H33+SD7b!H33++SD7e!H33</f>
        <v>0</v>
      </c>
      <c r="I33" s="424">
        <f>SD7a!I33+SD7b!I33++SD7e!I33</f>
        <v>0</v>
      </c>
      <c r="J33" s="422">
        <f>SD7a!J33+SD7b!J33++SD7e!J33</f>
        <v>0</v>
      </c>
      <c r="K33" s="425">
        <f>SD7a!K33+SD7b!K33++SD7e!K33</f>
        <v>0</v>
      </c>
      <c r="L33" s="479"/>
    </row>
    <row r="34" spans="1:15" ht="13.15" customHeight="1" x14ac:dyDescent="0.25">
      <c r="A34" s="303" t="s">
        <v>879</v>
      </c>
      <c r="B34" s="302"/>
      <c r="C34" s="508">
        <f>SD7a!C34+SD7b!C34++SD7e!C34</f>
        <v>0</v>
      </c>
      <c r="D34" s="422">
        <f>SD7a!D34+SD7b!D34++SD7e!D34</f>
        <v>0</v>
      </c>
      <c r="E34" s="423">
        <f>SD7a!E34+SD7b!E34++SD7e!E34</f>
        <v>0</v>
      </c>
      <c r="F34" s="424">
        <f>SD7a!F34+SD7b!F34++SD7e!F34</f>
        <v>0</v>
      </c>
      <c r="G34" s="422">
        <f>SD7a!G34+SD7b!G34++SD7e!G34</f>
        <v>0</v>
      </c>
      <c r="H34" s="425">
        <f>SD7a!H34+SD7b!H34++SD7e!H34</f>
        <v>0</v>
      </c>
      <c r="I34" s="424">
        <f>SD7a!I34+SD7b!I34++SD7e!I34</f>
        <v>0</v>
      </c>
      <c r="J34" s="422">
        <f>SD7a!J34+SD7b!J34++SD7e!J34</f>
        <v>0</v>
      </c>
      <c r="K34" s="425">
        <f>SD7a!K34+SD7b!K34++SD7e!K34</f>
        <v>0</v>
      </c>
      <c r="L34" s="479"/>
    </row>
    <row r="35" spans="1:15" ht="13.15" customHeight="1" x14ac:dyDescent="0.25">
      <c r="A35" s="303" t="s">
        <v>880</v>
      </c>
      <c r="B35" s="302"/>
      <c r="C35" s="508">
        <f>SD7a!C35+SD7b!C35++SD7e!C35</f>
        <v>0</v>
      </c>
      <c r="D35" s="422">
        <f>SD7a!D35+SD7b!D35++SD7e!D35</f>
        <v>0</v>
      </c>
      <c r="E35" s="423">
        <f>SD7a!E35+SD7b!E35++SD7e!E35</f>
        <v>0</v>
      </c>
      <c r="F35" s="424">
        <f>SD7a!F35+SD7b!F35++SD7e!F35</f>
        <v>0</v>
      </c>
      <c r="G35" s="422">
        <f>SD7a!G35+SD7b!G35++SD7e!G35</f>
        <v>0</v>
      </c>
      <c r="H35" s="425">
        <f>SD7a!H35+SD7b!H35++SD7e!H35</f>
        <v>0</v>
      </c>
      <c r="I35" s="424">
        <f>SD7a!I35+SD7b!I35++SD7e!I35</f>
        <v>0</v>
      </c>
      <c r="J35" s="422">
        <f>SD7a!J35+SD7b!J35++SD7e!J35</f>
        <v>0</v>
      </c>
      <c r="K35" s="425">
        <f>SD7a!K35+SD7b!K35++SD7e!K35</f>
        <v>0</v>
      </c>
      <c r="L35" s="479"/>
    </row>
    <row r="36" spans="1:15" ht="13.15" customHeight="1" x14ac:dyDescent="0.25">
      <c r="A36" s="303" t="s">
        <v>857</v>
      </c>
      <c r="B36" s="302"/>
      <c r="C36" s="508">
        <f>SD7a!C36+SD7b!C36++SD7e!C36</f>
        <v>0</v>
      </c>
      <c r="D36" s="422">
        <f>SD7a!D36+SD7b!D36++SD7e!D36</f>
        <v>0</v>
      </c>
      <c r="E36" s="423">
        <f>SD7a!E36+SD7b!E36++SD7e!E36</f>
        <v>0</v>
      </c>
      <c r="F36" s="424">
        <f>SD7a!F36+SD7b!F36++SD7e!F36</f>
        <v>0</v>
      </c>
      <c r="G36" s="422">
        <f>SD7a!G36+SD7b!G36++SD7e!G36</f>
        <v>0</v>
      </c>
      <c r="H36" s="425">
        <f>SD7a!H36+SD7b!H36++SD7e!H36</f>
        <v>0</v>
      </c>
      <c r="I36" s="424">
        <f>SD7a!I36+SD7b!I36++SD7e!I36</f>
        <v>0</v>
      </c>
      <c r="J36" s="422">
        <f>SD7a!J36+SD7b!J36++SD7e!J36</f>
        <v>0</v>
      </c>
      <c r="K36" s="425">
        <f>SD7a!K36+SD7b!K36++SD7e!K36</f>
        <v>0</v>
      </c>
      <c r="L36" s="479"/>
    </row>
    <row r="37" spans="1:15" ht="13.15" customHeight="1" x14ac:dyDescent="0.25">
      <c r="A37" s="284" t="s">
        <v>881</v>
      </c>
      <c r="B37" s="302"/>
      <c r="C37" s="422">
        <f>SUM(C38:C43)</f>
        <v>0</v>
      </c>
      <c r="D37" s="422">
        <f t="shared" ref="D37:K37" si="5">SUM(D38:D43)</f>
        <v>0</v>
      </c>
      <c r="E37" s="423">
        <f t="shared" si="5"/>
        <v>0</v>
      </c>
      <c r="F37" s="424">
        <f t="shared" si="5"/>
        <v>0</v>
      </c>
      <c r="G37" s="422">
        <f t="shared" si="5"/>
        <v>0</v>
      </c>
      <c r="H37" s="425">
        <f t="shared" si="5"/>
        <v>0</v>
      </c>
      <c r="I37" s="426">
        <f t="shared" si="5"/>
        <v>0</v>
      </c>
      <c r="J37" s="422">
        <f t="shared" si="5"/>
        <v>0</v>
      </c>
      <c r="K37" s="425">
        <f t="shared" si="5"/>
        <v>0</v>
      </c>
      <c r="L37" s="479"/>
      <c r="O37" s="438"/>
    </row>
    <row r="38" spans="1:15" ht="13.15" customHeight="1" x14ac:dyDescent="0.25">
      <c r="A38" s="303" t="s">
        <v>882</v>
      </c>
      <c r="B38" s="302"/>
      <c r="C38" s="508">
        <f>SD7a!C38+SD7b!C38++SD7e!C38</f>
        <v>0</v>
      </c>
      <c r="D38" s="422">
        <f>SD7a!D38+SD7b!D38++SD7e!D38</f>
        <v>0</v>
      </c>
      <c r="E38" s="423">
        <f>SD7a!E38+SD7b!E38++SD7e!E38</f>
        <v>0</v>
      </c>
      <c r="F38" s="424">
        <f>SD7a!F38+SD7b!F38++SD7e!F38</f>
        <v>0</v>
      </c>
      <c r="G38" s="422">
        <f>SD7a!G38+SD7b!G38++SD7e!G38</f>
        <v>0</v>
      </c>
      <c r="H38" s="425">
        <f>SD7a!H38+SD7b!H38++SD7e!H38</f>
        <v>0</v>
      </c>
      <c r="I38" s="424">
        <f>SD7a!I38+SD7b!I38++SD7e!I38</f>
        <v>0</v>
      </c>
      <c r="J38" s="422">
        <f>SD7a!J38+SD7b!J38++SD7e!J38</f>
        <v>0</v>
      </c>
      <c r="K38" s="425">
        <f>SD7a!K38+SD7b!K38++SD7e!K38</f>
        <v>0</v>
      </c>
      <c r="L38" s="479"/>
    </row>
    <row r="39" spans="1:15" ht="13.15" customHeight="1" x14ac:dyDescent="0.25">
      <c r="A39" s="303" t="s">
        <v>497</v>
      </c>
      <c r="B39" s="302"/>
      <c r="C39" s="508">
        <f>SD7a!C39+SD7b!C39++SD7e!C39</f>
        <v>0</v>
      </c>
      <c r="D39" s="422">
        <f>SD7a!D39+SD7b!D39++SD7e!D39</f>
        <v>0</v>
      </c>
      <c r="E39" s="423">
        <f>SD7a!E39+SD7b!E39++SD7e!E39</f>
        <v>0</v>
      </c>
      <c r="F39" s="424">
        <f>SD7a!F39+SD7b!F39++SD7e!F39</f>
        <v>0</v>
      </c>
      <c r="G39" s="422">
        <f>SD7a!G39+SD7b!G39++SD7e!G39</f>
        <v>0</v>
      </c>
      <c r="H39" s="425">
        <f>SD7a!H39+SD7b!H39++SD7e!H39</f>
        <v>0</v>
      </c>
      <c r="I39" s="424">
        <f>SD7a!I39+SD7b!I39++SD7e!I39</f>
        <v>0</v>
      </c>
      <c r="J39" s="422">
        <f>SD7a!J39+SD7b!J39++SD7e!J39</f>
        <v>0</v>
      </c>
      <c r="K39" s="425">
        <f>SD7a!K39+SD7b!K39++SD7e!K39</f>
        <v>0</v>
      </c>
      <c r="L39" s="479"/>
    </row>
    <row r="40" spans="1:15" ht="13.15" customHeight="1" x14ac:dyDescent="0.25">
      <c r="A40" s="303" t="s">
        <v>883</v>
      </c>
      <c r="B40" s="302"/>
      <c r="C40" s="508">
        <f>SD7a!C40+SD7b!C40++SD7e!C40</f>
        <v>0</v>
      </c>
      <c r="D40" s="422">
        <f>SD7a!D40+SD7b!D40++SD7e!D40</f>
        <v>0</v>
      </c>
      <c r="E40" s="423">
        <f>SD7a!E40+SD7b!E40++SD7e!E40</f>
        <v>0</v>
      </c>
      <c r="F40" s="424">
        <f>SD7a!F40+SD7b!F40++SD7e!F40</f>
        <v>0</v>
      </c>
      <c r="G40" s="422">
        <f>SD7a!G40+SD7b!G40++SD7e!G40</f>
        <v>0</v>
      </c>
      <c r="H40" s="425">
        <f>SD7a!H40+SD7b!H40++SD7e!H40</f>
        <v>0</v>
      </c>
      <c r="I40" s="424">
        <f>SD7a!I40+SD7b!I40++SD7e!I40</f>
        <v>0</v>
      </c>
      <c r="J40" s="422">
        <f>SD7a!J40+SD7b!J40++SD7e!J40</f>
        <v>0</v>
      </c>
      <c r="K40" s="425">
        <f>SD7a!K40+SD7b!K40++SD7e!K40</f>
        <v>0</v>
      </c>
      <c r="L40" s="438"/>
    </row>
    <row r="41" spans="1:15" ht="13.15" customHeight="1" x14ac:dyDescent="0.25">
      <c r="A41" s="303" t="s">
        <v>884</v>
      </c>
      <c r="B41" s="302"/>
      <c r="C41" s="508">
        <f>SD7a!C41+SD7b!C41++SD7e!C41</f>
        <v>0</v>
      </c>
      <c r="D41" s="422">
        <f>SD7a!D41+SD7b!D41++SD7e!D41</f>
        <v>0</v>
      </c>
      <c r="E41" s="423">
        <f>SD7a!E41+SD7b!E41++SD7e!E41</f>
        <v>0</v>
      </c>
      <c r="F41" s="424">
        <f>SD7a!F41+SD7b!F41++SD7e!F41</f>
        <v>0</v>
      </c>
      <c r="G41" s="422">
        <f>SD7a!G41+SD7b!G41++SD7e!G41</f>
        <v>0</v>
      </c>
      <c r="H41" s="425">
        <f>SD7a!H41+SD7b!H41++SD7e!H41</f>
        <v>0</v>
      </c>
      <c r="I41" s="424">
        <f>SD7a!I41+SD7b!I41++SD7e!I41</f>
        <v>0</v>
      </c>
      <c r="J41" s="422">
        <f>SD7a!J41+SD7b!J41++SD7e!J41</f>
        <v>0</v>
      </c>
      <c r="K41" s="425">
        <f>SD7a!K41+SD7b!K41++SD7e!K41</f>
        <v>0</v>
      </c>
      <c r="L41" s="479"/>
    </row>
    <row r="42" spans="1:15" ht="13.15" customHeight="1" x14ac:dyDescent="0.25">
      <c r="A42" s="303" t="s">
        <v>885</v>
      </c>
      <c r="B42" s="302"/>
      <c r="C42" s="508">
        <f>SD7a!C42+SD7b!C42++SD7e!C42</f>
        <v>0</v>
      </c>
      <c r="D42" s="422">
        <f>SD7a!D42+SD7b!D42++SD7e!D42</f>
        <v>0</v>
      </c>
      <c r="E42" s="423">
        <f>SD7a!E42+SD7b!E42++SD7e!E42</f>
        <v>0</v>
      </c>
      <c r="F42" s="424">
        <f>SD7a!F42+SD7b!F42++SD7e!F42</f>
        <v>0</v>
      </c>
      <c r="G42" s="422">
        <f>SD7a!G42+SD7b!G42++SD7e!G42</f>
        <v>0</v>
      </c>
      <c r="H42" s="425">
        <f>SD7a!H42+SD7b!H42++SD7e!H42</f>
        <v>0</v>
      </c>
      <c r="I42" s="424">
        <f>SD7a!I42+SD7b!I42++SD7e!I42</f>
        <v>0</v>
      </c>
      <c r="J42" s="422">
        <f>SD7a!J42+SD7b!J42++SD7e!J42</f>
        <v>0</v>
      </c>
      <c r="K42" s="425">
        <f>SD7a!K42+SD7b!K42++SD7e!K42</f>
        <v>0</v>
      </c>
      <c r="L42" s="438"/>
    </row>
    <row r="43" spans="1:15" ht="13.15" customHeight="1" x14ac:dyDescent="0.25">
      <c r="A43" s="303" t="s">
        <v>857</v>
      </c>
      <c r="B43" s="302"/>
      <c r="C43" s="508">
        <f>SD7a!C43+SD7b!C43++SD7e!C43</f>
        <v>0</v>
      </c>
      <c r="D43" s="422">
        <f>SD7a!D43+SD7b!D43++SD7e!D43</f>
        <v>0</v>
      </c>
      <c r="E43" s="423">
        <f>SD7a!E43+SD7b!E43++SD7e!E43</f>
        <v>0</v>
      </c>
      <c r="F43" s="424">
        <f>SD7a!F43+SD7b!F43++SD7e!F43</f>
        <v>0</v>
      </c>
      <c r="G43" s="422">
        <f>SD7a!G43+SD7b!G43++SD7e!G43</f>
        <v>0</v>
      </c>
      <c r="H43" s="425">
        <f>SD7a!H43+SD7b!H43++SD7e!H43</f>
        <v>0</v>
      </c>
      <c r="I43" s="424">
        <f>SD7a!I43+SD7b!I43++SD7e!I43</f>
        <v>0</v>
      </c>
      <c r="J43" s="422">
        <f>SD7a!J43+SD7b!J43++SD7e!J43</f>
        <v>0</v>
      </c>
      <c r="K43" s="425">
        <f>SD7a!K43+SD7b!K43++SD7e!K43</f>
        <v>0</v>
      </c>
      <c r="L43" s="438"/>
    </row>
    <row r="44" spans="1:15" ht="13.15" customHeight="1" x14ac:dyDescent="0.25">
      <c r="A44" s="284" t="s">
        <v>886</v>
      </c>
      <c r="B44" s="302"/>
      <c r="C44" s="422">
        <f>SUM(C45:C51)</f>
        <v>0</v>
      </c>
      <c r="D44" s="422">
        <f t="shared" ref="D44:K44" si="6">SUM(D45:D51)</f>
        <v>0</v>
      </c>
      <c r="E44" s="423">
        <f t="shared" si="6"/>
        <v>0</v>
      </c>
      <c r="F44" s="424">
        <f t="shared" si="6"/>
        <v>0</v>
      </c>
      <c r="G44" s="422">
        <f t="shared" si="6"/>
        <v>0</v>
      </c>
      <c r="H44" s="425">
        <f t="shared" si="6"/>
        <v>0</v>
      </c>
      <c r="I44" s="426">
        <f t="shared" si="6"/>
        <v>0</v>
      </c>
      <c r="J44" s="422">
        <f t="shared" si="6"/>
        <v>0</v>
      </c>
      <c r="K44" s="425">
        <f t="shared" si="6"/>
        <v>0</v>
      </c>
      <c r="L44" s="438"/>
    </row>
    <row r="45" spans="1:15" ht="13.15" customHeight="1" x14ac:dyDescent="0.25">
      <c r="A45" s="303" t="s">
        <v>887</v>
      </c>
      <c r="B45" s="302"/>
      <c r="C45" s="508">
        <f>SD7a!C45+SD7b!C45++SD7e!C45</f>
        <v>0</v>
      </c>
      <c r="D45" s="422">
        <f>SD7a!D45+SD7b!D45++SD7e!D45</f>
        <v>0</v>
      </c>
      <c r="E45" s="423">
        <f>SD7a!E45+SD7b!E45++SD7e!E45</f>
        <v>0</v>
      </c>
      <c r="F45" s="424">
        <f>SD7a!F45+SD7b!F45++SD7e!F45</f>
        <v>0</v>
      </c>
      <c r="G45" s="422">
        <f>SD7a!G45+SD7b!G45++SD7e!G45</f>
        <v>0</v>
      </c>
      <c r="H45" s="425">
        <f>SD7a!H45+SD7b!H45++SD7e!H45</f>
        <v>0</v>
      </c>
      <c r="I45" s="424">
        <f>SD7a!I45+SD7b!I45++SD7e!I45</f>
        <v>0</v>
      </c>
      <c r="J45" s="422">
        <f>SD7a!J45+SD7b!J45++SD7e!J45</f>
        <v>0</v>
      </c>
      <c r="K45" s="425">
        <f>SD7a!K45+SD7b!K45++SD7e!K45</f>
        <v>0</v>
      </c>
      <c r="L45" s="438"/>
    </row>
    <row r="46" spans="1:15" ht="13.15" customHeight="1" x14ac:dyDescent="0.25">
      <c r="A46" s="303" t="s">
        <v>888</v>
      </c>
      <c r="B46" s="302"/>
      <c r="C46" s="508">
        <f>SD7a!C46+SD7b!C46++SD7e!C46</f>
        <v>0</v>
      </c>
      <c r="D46" s="422">
        <f>SD7a!D46+SD7b!D46++SD7e!D46</f>
        <v>0</v>
      </c>
      <c r="E46" s="423">
        <f>SD7a!E46+SD7b!E46++SD7e!E46</f>
        <v>0</v>
      </c>
      <c r="F46" s="424">
        <f>SD7a!F46+SD7b!F46++SD7e!F46</f>
        <v>0</v>
      </c>
      <c r="G46" s="422">
        <f>SD7a!G46+SD7b!G46++SD7e!G46</f>
        <v>0</v>
      </c>
      <c r="H46" s="425">
        <f>SD7a!H46+SD7b!H46++SD7e!H46</f>
        <v>0</v>
      </c>
      <c r="I46" s="424">
        <f>SD7a!I46+SD7b!I46++SD7e!I46</f>
        <v>0</v>
      </c>
      <c r="J46" s="422">
        <f>SD7a!J46+SD7b!J46++SD7e!J46</f>
        <v>0</v>
      </c>
      <c r="K46" s="425">
        <f>SD7a!K46+SD7b!K46++SD7e!K46</f>
        <v>0</v>
      </c>
      <c r="L46" s="438"/>
    </row>
    <row r="47" spans="1:15" ht="13.15" customHeight="1" x14ac:dyDescent="0.25">
      <c r="A47" s="303" t="s">
        <v>889</v>
      </c>
      <c r="B47" s="302"/>
      <c r="C47" s="508">
        <f>SD7a!C47+SD7b!C47++SD7e!C47</f>
        <v>0</v>
      </c>
      <c r="D47" s="422">
        <f>SD7a!D47+SD7b!D47++SD7e!D47</f>
        <v>0</v>
      </c>
      <c r="E47" s="423">
        <f>SD7a!E47+SD7b!E47++SD7e!E47</f>
        <v>0</v>
      </c>
      <c r="F47" s="424">
        <f>SD7a!F47+SD7b!F47++SD7e!F47</f>
        <v>0</v>
      </c>
      <c r="G47" s="422">
        <f>SD7a!G47+SD7b!G47++SD7e!G47</f>
        <v>0</v>
      </c>
      <c r="H47" s="425">
        <f>SD7a!H47+SD7b!H47++SD7e!H47</f>
        <v>0</v>
      </c>
      <c r="I47" s="424">
        <f>SD7a!I47+SD7b!I47++SD7e!I47</f>
        <v>0</v>
      </c>
      <c r="J47" s="422">
        <f>SD7a!J47+SD7b!J47++SD7e!J47</f>
        <v>0</v>
      </c>
      <c r="K47" s="425">
        <f>SD7a!K47+SD7b!K47++SD7e!K47</f>
        <v>0</v>
      </c>
      <c r="L47" s="438"/>
    </row>
    <row r="48" spans="1:15" ht="13.15" customHeight="1" x14ac:dyDescent="0.25">
      <c r="A48" s="303" t="s">
        <v>890</v>
      </c>
      <c r="B48" s="302"/>
      <c r="C48" s="508">
        <f>SD7a!C48+SD7b!C48++SD7e!C48</f>
        <v>0</v>
      </c>
      <c r="D48" s="422">
        <f>SD7a!D48+SD7b!D48++SD7e!D48</f>
        <v>0</v>
      </c>
      <c r="E48" s="423">
        <f>SD7a!E48+SD7b!E48++SD7e!E48</f>
        <v>0</v>
      </c>
      <c r="F48" s="424">
        <f>SD7a!F48+SD7b!F48++SD7e!F48</f>
        <v>0</v>
      </c>
      <c r="G48" s="422">
        <f>SD7a!G48+SD7b!G48++SD7e!G48</f>
        <v>0</v>
      </c>
      <c r="H48" s="425">
        <f>SD7a!H48+SD7b!H48++SD7e!H48</f>
        <v>0</v>
      </c>
      <c r="I48" s="424">
        <f>SD7a!I48+SD7b!I48++SD7e!I48</f>
        <v>0</v>
      </c>
      <c r="J48" s="422">
        <f>SD7a!J48+SD7b!J48++SD7e!J48</f>
        <v>0</v>
      </c>
      <c r="K48" s="425">
        <f>SD7a!K48+SD7b!K48++SD7e!K48</f>
        <v>0</v>
      </c>
      <c r="L48" s="479"/>
    </row>
    <row r="49" spans="1:12" ht="13.15" customHeight="1" x14ac:dyDescent="0.25">
      <c r="A49" s="303" t="s">
        <v>891</v>
      </c>
      <c r="B49" s="302"/>
      <c r="C49" s="508">
        <f>SD7a!C49+SD7b!C49++SD7e!C49</f>
        <v>0</v>
      </c>
      <c r="D49" s="422">
        <f>SD7a!D49+SD7b!D49++SD7e!D49</f>
        <v>0</v>
      </c>
      <c r="E49" s="423">
        <f>SD7a!E49+SD7b!E49++SD7e!E49</f>
        <v>0</v>
      </c>
      <c r="F49" s="424">
        <f>SD7a!F49+SD7b!F49++SD7e!F49</f>
        <v>0</v>
      </c>
      <c r="G49" s="422">
        <f>SD7a!G49+SD7b!G49++SD7e!G49</f>
        <v>0</v>
      </c>
      <c r="H49" s="425">
        <f>SD7a!H49+SD7b!H49++SD7e!H49</f>
        <v>0</v>
      </c>
      <c r="I49" s="424">
        <f>SD7a!I49+SD7b!I49++SD7e!I49</f>
        <v>0</v>
      </c>
      <c r="J49" s="422">
        <f>SD7a!J49+SD7b!J49++SD7e!J49</f>
        <v>0</v>
      </c>
      <c r="K49" s="425">
        <f>SD7a!K49+SD7b!K49++SD7e!K49</f>
        <v>0</v>
      </c>
      <c r="L49" s="438"/>
    </row>
    <row r="50" spans="1:12" ht="13.15" customHeight="1" x14ac:dyDescent="0.25">
      <c r="A50" s="303" t="s">
        <v>892</v>
      </c>
      <c r="B50" s="302"/>
      <c r="C50" s="508">
        <f>SD7a!C50+SD7b!C50++SD7e!C50</f>
        <v>0</v>
      </c>
      <c r="D50" s="422">
        <f>SD7a!D50+SD7b!D50++SD7e!D50</f>
        <v>0</v>
      </c>
      <c r="E50" s="423">
        <f>SD7a!E50+SD7b!E50++SD7e!E50</f>
        <v>0</v>
      </c>
      <c r="F50" s="424">
        <f>SD7a!F50+SD7b!F50++SD7e!F50</f>
        <v>0</v>
      </c>
      <c r="G50" s="422">
        <f>SD7a!G50+SD7b!G50++SD7e!G50</f>
        <v>0</v>
      </c>
      <c r="H50" s="425">
        <f>SD7a!H50+SD7b!H50++SD7e!H50</f>
        <v>0</v>
      </c>
      <c r="I50" s="424">
        <f>SD7a!I50+SD7b!I50++SD7e!I50</f>
        <v>0</v>
      </c>
      <c r="J50" s="422">
        <f>SD7a!J50+SD7b!J50++SD7e!J50</f>
        <v>0</v>
      </c>
      <c r="K50" s="425">
        <f>SD7a!K50+SD7b!K50++SD7e!K50</f>
        <v>0</v>
      </c>
      <c r="L50" s="438"/>
    </row>
    <row r="51" spans="1:12" ht="13.15" customHeight="1" x14ac:dyDescent="0.25">
      <c r="A51" s="303" t="s">
        <v>857</v>
      </c>
      <c r="B51" s="302"/>
      <c r="C51" s="508">
        <f>SD7a!C51+SD7b!C51++SD7e!C51</f>
        <v>0</v>
      </c>
      <c r="D51" s="422">
        <f>SD7a!D51+SD7b!D51++SD7e!D51</f>
        <v>0</v>
      </c>
      <c r="E51" s="423">
        <f>SD7a!E51+SD7b!E51++SD7e!E51</f>
        <v>0</v>
      </c>
      <c r="F51" s="424">
        <f>SD7a!F51+SD7b!F51++SD7e!F51</f>
        <v>0</v>
      </c>
      <c r="G51" s="422">
        <f>SD7a!G51+SD7b!G51++SD7e!G51</f>
        <v>0</v>
      </c>
      <c r="H51" s="425">
        <f>SD7a!H51+SD7b!H51++SD7e!H51</f>
        <v>0</v>
      </c>
      <c r="I51" s="424">
        <f>SD7a!I51+SD7b!I51++SD7e!I51</f>
        <v>0</v>
      </c>
      <c r="J51" s="422">
        <f>SD7a!J51+SD7b!J51++SD7e!J51</f>
        <v>0</v>
      </c>
      <c r="K51" s="425">
        <f>SD7a!K51+SD7b!K51++SD7e!K51</f>
        <v>0</v>
      </c>
      <c r="L51" s="438"/>
    </row>
    <row r="52" spans="1:12" ht="13.15" customHeight="1" x14ac:dyDescent="0.25">
      <c r="A52" s="285" t="s">
        <v>893</v>
      </c>
      <c r="B52" s="302"/>
      <c r="C52" s="422">
        <f t="shared" ref="C52:K52" si="7">SUM(C53:C61)</f>
        <v>0</v>
      </c>
      <c r="D52" s="422">
        <f t="shared" si="7"/>
        <v>0</v>
      </c>
      <c r="E52" s="423">
        <f t="shared" si="7"/>
        <v>0</v>
      </c>
      <c r="F52" s="424">
        <f t="shared" si="7"/>
        <v>0</v>
      </c>
      <c r="G52" s="422">
        <f t="shared" si="7"/>
        <v>0</v>
      </c>
      <c r="H52" s="425">
        <f t="shared" si="7"/>
        <v>0</v>
      </c>
      <c r="I52" s="426">
        <f t="shared" si="7"/>
        <v>0</v>
      </c>
      <c r="J52" s="422">
        <f t="shared" si="7"/>
        <v>0</v>
      </c>
      <c r="K52" s="425">
        <f t="shared" si="7"/>
        <v>0</v>
      </c>
      <c r="L52" s="479"/>
    </row>
    <row r="53" spans="1:12" ht="13.15" customHeight="1" x14ac:dyDescent="0.25">
      <c r="A53" s="303" t="s">
        <v>894</v>
      </c>
      <c r="B53" s="302"/>
      <c r="C53" s="508">
        <f>SD7a!C53+SD7b!C53++SD7e!C53</f>
        <v>0</v>
      </c>
      <c r="D53" s="422">
        <f>SD7a!D53+SD7b!D53++SD7e!D53</f>
        <v>0</v>
      </c>
      <c r="E53" s="423">
        <f>SD7a!E53+SD7b!E53++SD7e!E53</f>
        <v>0</v>
      </c>
      <c r="F53" s="424">
        <f>SD7a!F53+SD7b!F53++SD7e!F53</f>
        <v>0</v>
      </c>
      <c r="G53" s="422">
        <f>SD7a!G53+SD7b!G53++SD7e!G53</f>
        <v>0</v>
      </c>
      <c r="H53" s="425">
        <f>SD7a!H53+SD7b!H53++SD7e!H53</f>
        <v>0</v>
      </c>
      <c r="I53" s="424">
        <f>SD7a!I53+SD7b!I53++SD7e!I53</f>
        <v>0</v>
      </c>
      <c r="J53" s="422">
        <f>SD7a!J53+SD7b!J53++SD7e!J53</f>
        <v>0</v>
      </c>
      <c r="K53" s="425">
        <f>SD7a!K53+SD7b!K53++SD7e!K53</f>
        <v>0</v>
      </c>
      <c r="L53" s="438"/>
    </row>
    <row r="54" spans="1:12" ht="13.15" customHeight="1" x14ac:dyDescent="0.25">
      <c r="A54" s="303" t="s">
        <v>895</v>
      </c>
      <c r="B54" s="302"/>
      <c r="C54" s="508">
        <f>SD7a!C54+SD7b!C54++SD7e!C54</f>
        <v>0</v>
      </c>
      <c r="D54" s="422">
        <f>SD7a!D54+SD7b!D54++SD7e!D54</f>
        <v>0</v>
      </c>
      <c r="E54" s="423">
        <f>SD7a!E54+SD7b!E54++SD7e!E54</f>
        <v>0</v>
      </c>
      <c r="F54" s="424">
        <f>SD7a!F54+SD7b!F54++SD7e!F54</f>
        <v>0</v>
      </c>
      <c r="G54" s="422">
        <f>SD7a!G54+SD7b!G54++SD7e!G54</f>
        <v>0</v>
      </c>
      <c r="H54" s="425">
        <f>SD7a!H54+SD7b!H54++SD7e!H54</f>
        <v>0</v>
      </c>
      <c r="I54" s="424">
        <f>SD7a!I54+SD7b!I54++SD7e!I54</f>
        <v>0</v>
      </c>
      <c r="J54" s="422">
        <f>SD7a!J54+SD7b!J54++SD7e!J54</f>
        <v>0</v>
      </c>
      <c r="K54" s="425">
        <f>SD7a!K54+SD7b!K54++SD7e!K54</f>
        <v>0</v>
      </c>
      <c r="L54" s="479"/>
    </row>
    <row r="55" spans="1:12" ht="13.15" customHeight="1" x14ac:dyDescent="0.25">
      <c r="A55" s="303" t="s">
        <v>896</v>
      </c>
      <c r="B55" s="302"/>
      <c r="C55" s="508">
        <f>SD7a!C55+SD7b!C55++SD7e!C55</f>
        <v>0</v>
      </c>
      <c r="D55" s="422">
        <f>SD7a!D55+SD7b!D55++SD7e!D55</f>
        <v>0</v>
      </c>
      <c r="E55" s="423">
        <f>SD7a!E55+SD7b!E55++SD7e!E55</f>
        <v>0</v>
      </c>
      <c r="F55" s="424">
        <f>SD7a!F55+SD7b!F55++SD7e!F55</f>
        <v>0</v>
      </c>
      <c r="G55" s="422">
        <f>SD7a!G55+SD7b!G55++SD7e!G55</f>
        <v>0</v>
      </c>
      <c r="H55" s="425">
        <f>SD7a!H55+SD7b!H55++SD7e!H55</f>
        <v>0</v>
      </c>
      <c r="I55" s="424">
        <f>SD7a!I55+SD7b!I55++SD7e!I55</f>
        <v>0</v>
      </c>
      <c r="J55" s="422">
        <f>SD7a!J55+SD7b!J55++SD7e!J55</f>
        <v>0</v>
      </c>
      <c r="K55" s="425">
        <f>SD7a!K55+SD7b!K55++SD7e!K55</f>
        <v>0</v>
      </c>
      <c r="L55" s="479"/>
    </row>
    <row r="56" spans="1:12" ht="13.15" customHeight="1" x14ac:dyDescent="0.25">
      <c r="A56" s="303" t="s">
        <v>859</v>
      </c>
      <c r="B56" s="302"/>
      <c r="C56" s="508">
        <f>SD7a!C56+SD7b!C56++SD7e!C56</f>
        <v>0</v>
      </c>
      <c r="D56" s="422">
        <f>SD7a!D56+SD7b!D56++SD7e!D56</f>
        <v>0</v>
      </c>
      <c r="E56" s="423">
        <f>SD7a!E56+SD7b!E56++SD7e!E56</f>
        <v>0</v>
      </c>
      <c r="F56" s="424">
        <f>SD7a!F56+SD7b!F56++SD7e!F56</f>
        <v>0</v>
      </c>
      <c r="G56" s="422">
        <f>SD7a!G56+SD7b!G56++SD7e!G56</f>
        <v>0</v>
      </c>
      <c r="H56" s="425">
        <f>SD7a!H56+SD7b!H56++SD7e!H56</f>
        <v>0</v>
      </c>
      <c r="I56" s="424">
        <f>SD7a!I56+SD7b!I56++SD7e!I56</f>
        <v>0</v>
      </c>
      <c r="J56" s="422">
        <f>SD7a!J56+SD7b!J56++SD7e!J56</f>
        <v>0</v>
      </c>
      <c r="K56" s="425">
        <f>SD7a!K56+SD7b!K56++SD7e!K56</f>
        <v>0</v>
      </c>
      <c r="L56" s="479"/>
    </row>
    <row r="57" spans="1:12" ht="13.15" customHeight="1" x14ac:dyDescent="0.25">
      <c r="A57" s="303" t="s">
        <v>860</v>
      </c>
      <c r="B57" s="302"/>
      <c r="C57" s="508">
        <f>SD7a!C57+SD7b!C57++SD7e!C57</f>
        <v>0</v>
      </c>
      <c r="D57" s="422">
        <f>SD7a!D57+SD7b!D57++SD7e!D57</f>
        <v>0</v>
      </c>
      <c r="E57" s="423">
        <f>SD7a!E57+SD7b!E57++SD7e!E57</f>
        <v>0</v>
      </c>
      <c r="F57" s="424">
        <f>SD7a!F57+SD7b!F57++SD7e!F57</f>
        <v>0</v>
      </c>
      <c r="G57" s="422">
        <f>SD7a!G57+SD7b!G57++SD7e!G57</f>
        <v>0</v>
      </c>
      <c r="H57" s="425">
        <f>SD7a!H57+SD7b!H57++SD7e!H57</f>
        <v>0</v>
      </c>
      <c r="I57" s="424">
        <f>SD7a!I57+SD7b!I57++SD7e!I57</f>
        <v>0</v>
      </c>
      <c r="J57" s="422">
        <f>SD7a!J57+SD7b!J57++SD7e!J57</f>
        <v>0</v>
      </c>
      <c r="K57" s="425">
        <f>SD7a!K57+SD7b!K57++SD7e!K57</f>
        <v>0</v>
      </c>
      <c r="L57" s="479"/>
    </row>
    <row r="58" spans="1:12" ht="13.15" customHeight="1" x14ac:dyDescent="0.25">
      <c r="A58" s="303" t="s">
        <v>861</v>
      </c>
      <c r="B58" s="302"/>
      <c r="C58" s="508">
        <f>SD7a!C58+SD7b!C58++SD7e!C58</f>
        <v>0</v>
      </c>
      <c r="D58" s="422">
        <f>SD7a!D58+SD7b!D58++SD7e!D58</f>
        <v>0</v>
      </c>
      <c r="E58" s="423">
        <f>SD7a!E58+SD7b!E58++SD7e!E58</f>
        <v>0</v>
      </c>
      <c r="F58" s="424">
        <f>SD7a!F58+SD7b!F58++SD7e!F58</f>
        <v>0</v>
      </c>
      <c r="G58" s="422">
        <f>SD7a!G58+SD7b!G58++SD7e!G58</f>
        <v>0</v>
      </c>
      <c r="H58" s="425">
        <f>SD7a!H58+SD7b!H58++SD7e!H58</f>
        <v>0</v>
      </c>
      <c r="I58" s="424">
        <f>SD7a!I58+SD7b!I58++SD7e!I58</f>
        <v>0</v>
      </c>
      <c r="J58" s="422">
        <f>SD7a!J58+SD7b!J58++SD7e!J58</f>
        <v>0</v>
      </c>
      <c r="K58" s="425">
        <f>SD7a!K58+SD7b!K58++SD7e!K58</f>
        <v>0</v>
      </c>
      <c r="L58" s="474"/>
    </row>
    <row r="59" spans="1:12" ht="13.15" customHeight="1" x14ac:dyDescent="0.25">
      <c r="A59" s="303" t="s">
        <v>867</v>
      </c>
      <c r="B59" s="302"/>
      <c r="C59" s="508">
        <f>SD7a!C59+SD7b!C59++SD7e!C59</f>
        <v>0</v>
      </c>
      <c r="D59" s="422">
        <f>SD7a!D59+SD7b!D59++SD7e!D59</f>
        <v>0</v>
      </c>
      <c r="E59" s="423">
        <f>SD7a!E59+SD7b!E59++SD7e!E59</f>
        <v>0</v>
      </c>
      <c r="F59" s="424">
        <f>SD7a!F59+SD7b!F59++SD7e!F59</f>
        <v>0</v>
      </c>
      <c r="G59" s="422">
        <f>SD7a!G59+SD7b!G59++SD7e!G59</f>
        <v>0</v>
      </c>
      <c r="H59" s="425">
        <f>SD7a!H59+SD7b!H59++SD7e!H59</f>
        <v>0</v>
      </c>
      <c r="I59" s="424">
        <f>SD7a!I59+SD7b!I59++SD7e!I59</f>
        <v>0</v>
      </c>
      <c r="J59" s="422">
        <f>SD7a!J59+SD7b!J59++SD7e!J59</f>
        <v>0</v>
      </c>
      <c r="K59" s="425">
        <f>SD7a!K59+SD7b!K59++SD7e!K59</f>
        <v>0</v>
      </c>
      <c r="L59" s="479"/>
    </row>
    <row r="60" spans="1:12" ht="13.15" customHeight="1" x14ac:dyDescent="0.25">
      <c r="A60" s="303" t="s">
        <v>870</v>
      </c>
      <c r="B60" s="302"/>
      <c r="C60" s="508">
        <f>SD7a!C60+SD7b!C60++SD7e!C60</f>
        <v>0</v>
      </c>
      <c r="D60" s="422">
        <f>SD7a!D60+SD7b!D60++SD7e!D60</f>
        <v>0</v>
      </c>
      <c r="E60" s="423">
        <f>SD7a!E60+SD7b!E60++SD7e!E60</f>
        <v>0</v>
      </c>
      <c r="F60" s="424">
        <f>SD7a!F60+SD7b!F60++SD7e!F60</f>
        <v>0</v>
      </c>
      <c r="G60" s="422">
        <f>SD7a!G60+SD7b!G60++SD7e!G60</f>
        <v>0</v>
      </c>
      <c r="H60" s="425">
        <f>SD7a!H60+SD7b!H60++SD7e!H60</f>
        <v>0</v>
      </c>
      <c r="I60" s="424">
        <f>SD7a!I60+SD7b!I60++SD7e!I60</f>
        <v>0</v>
      </c>
      <c r="J60" s="422">
        <f>SD7a!J60+SD7b!J60++SD7e!J60</f>
        <v>0</v>
      </c>
      <c r="K60" s="425">
        <f>SD7a!K60+SD7b!K60++SD7e!K60</f>
        <v>0</v>
      </c>
      <c r="L60" s="479"/>
    </row>
    <row r="61" spans="1:12" ht="13.15" customHeight="1" x14ac:dyDescent="0.25">
      <c r="A61" s="303" t="s">
        <v>857</v>
      </c>
      <c r="B61" s="302"/>
      <c r="C61" s="508">
        <f>SD7a!C61+SD7b!C61++SD7e!C61</f>
        <v>0</v>
      </c>
      <c r="D61" s="422">
        <f>SD7a!D61+SD7b!D61++SD7e!D61</f>
        <v>0</v>
      </c>
      <c r="E61" s="423">
        <f>SD7a!E61+SD7b!E61++SD7e!E61</f>
        <v>0</v>
      </c>
      <c r="F61" s="424">
        <f>SD7a!F61+SD7b!F61++SD7e!F61</f>
        <v>0</v>
      </c>
      <c r="G61" s="422">
        <f>SD7a!G61+SD7b!G61++SD7e!G61</f>
        <v>0</v>
      </c>
      <c r="H61" s="425">
        <f>SD7a!H61+SD7b!H61++SD7e!H61</f>
        <v>0</v>
      </c>
      <c r="I61" s="424">
        <f>SD7a!I61+SD7b!I61++SD7e!I61</f>
        <v>0</v>
      </c>
      <c r="J61" s="422">
        <f>SD7a!J61+SD7b!J61++SD7e!J61</f>
        <v>0</v>
      </c>
      <c r="K61" s="425">
        <f>SD7a!K61+SD7b!K61++SD7e!K61</f>
        <v>0</v>
      </c>
      <c r="L61" s="479"/>
    </row>
    <row r="62" spans="1:12" ht="13.15" customHeight="1" x14ac:dyDescent="0.25">
      <c r="A62" s="284" t="s">
        <v>897</v>
      </c>
      <c r="B62" s="302"/>
      <c r="C62" s="422">
        <f>SUM(C63:C67)</f>
        <v>0</v>
      </c>
      <c r="D62" s="422">
        <f t="shared" ref="D62:K62" si="8">SUM(D63:D67)</f>
        <v>0</v>
      </c>
      <c r="E62" s="423">
        <f t="shared" si="8"/>
        <v>0</v>
      </c>
      <c r="F62" s="424">
        <f t="shared" si="8"/>
        <v>0</v>
      </c>
      <c r="G62" s="422">
        <f t="shared" si="8"/>
        <v>0</v>
      </c>
      <c r="H62" s="425">
        <f t="shared" si="8"/>
        <v>0</v>
      </c>
      <c r="I62" s="426">
        <f t="shared" si="8"/>
        <v>0</v>
      </c>
      <c r="J62" s="422">
        <f t="shared" si="8"/>
        <v>0</v>
      </c>
      <c r="K62" s="425">
        <f t="shared" si="8"/>
        <v>0</v>
      </c>
      <c r="L62" s="479"/>
    </row>
    <row r="63" spans="1:12" ht="13.15" customHeight="1" x14ac:dyDescent="0.25">
      <c r="A63" s="303" t="s">
        <v>898</v>
      </c>
      <c r="B63" s="302"/>
      <c r="C63" s="508">
        <f>SD7a!C63+SD7b!C63++SD7e!C63</f>
        <v>0</v>
      </c>
      <c r="D63" s="422">
        <f>SD7a!D63+SD7b!D63++SD7e!D63</f>
        <v>0</v>
      </c>
      <c r="E63" s="423">
        <f>SD7a!E63+SD7b!E63++SD7e!E63</f>
        <v>0</v>
      </c>
      <c r="F63" s="424">
        <f>SD7a!F63+SD7b!F63++SD7e!F63</f>
        <v>0</v>
      </c>
      <c r="G63" s="422">
        <f>SD7a!G63+SD7b!G63++SD7e!G63</f>
        <v>0</v>
      </c>
      <c r="H63" s="425">
        <f>SD7a!H63+SD7b!H63++SD7e!H63</f>
        <v>0</v>
      </c>
      <c r="I63" s="424">
        <f>SD7a!I63+SD7b!I63++SD7e!I63</f>
        <v>0</v>
      </c>
      <c r="J63" s="422">
        <f>SD7a!J63+SD7b!J63++SD7e!J63</f>
        <v>0</v>
      </c>
      <c r="K63" s="425">
        <f>SD7a!K63+SD7b!K63++SD7e!K63</f>
        <v>0</v>
      </c>
      <c r="L63" s="479"/>
    </row>
    <row r="64" spans="1:12" ht="13.15" customHeight="1" x14ac:dyDescent="0.25">
      <c r="A64" s="303" t="s">
        <v>899</v>
      </c>
      <c r="B64" s="302"/>
      <c r="C64" s="508">
        <f>SD7a!C64+SD7b!C64++SD7e!C64</f>
        <v>0</v>
      </c>
      <c r="D64" s="422">
        <f>SD7a!D64+SD7b!D64++SD7e!D64</f>
        <v>0</v>
      </c>
      <c r="E64" s="423">
        <f>SD7a!E64+SD7b!E64++SD7e!E64</f>
        <v>0</v>
      </c>
      <c r="F64" s="424">
        <f>SD7a!F64+SD7b!F64++SD7e!F64</f>
        <v>0</v>
      </c>
      <c r="G64" s="422">
        <f>SD7a!G64+SD7b!G64++SD7e!G64</f>
        <v>0</v>
      </c>
      <c r="H64" s="425">
        <f>SD7a!H64+SD7b!H64++SD7e!H64</f>
        <v>0</v>
      </c>
      <c r="I64" s="424">
        <f>SD7a!I64+SD7b!I64++SD7e!I64</f>
        <v>0</v>
      </c>
      <c r="J64" s="422">
        <f>SD7a!J64+SD7b!J64++SD7e!J64</f>
        <v>0</v>
      </c>
      <c r="K64" s="425">
        <f>SD7a!K64+SD7b!K64++SD7e!K64</f>
        <v>0</v>
      </c>
      <c r="L64" s="438"/>
    </row>
    <row r="65" spans="1:12" ht="13.15" customHeight="1" x14ac:dyDescent="0.25">
      <c r="A65" s="303" t="s">
        <v>900</v>
      </c>
      <c r="B65" s="302"/>
      <c r="C65" s="508">
        <f>SD7a!C65+SD7b!C65++SD7e!C65</f>
        <v>0</v>
      </c>
      <c r="D65" s="422">
        <f>SD7a!D65+SD7b!D65++SD7e!D65</f>
        <v>0</v>
      </c>
      <c r="E65" s="423">
        <f>SD7a!E65+SD7b!E65++SD7e!E65</f>
        <v>0</v>
      </c>
      <c r="F65" s="424">
        <f>SD7a!F65+SD7b!F65++SD7e!F65</f>
        <v>0</v>
      </c>
      <c r="G65" s="422">
        <f>SD7a!G65+SD7b!G65++SD7e!G65</f>
        <v>0</v>
      </c>
      <c r="H65" s="425">
        <f>SD7a!H65+SD7b!H65++SD7e!H65</f>
        <v>0</v>
      </c>
      <c r="I65" s="424">
        <f>SD7a!I65+SD7b!I65++SD7e!I65</f>
        <v>0</v>
      </c>
      <c r="J65" s="422">
        <f>SD7a!J65+SD7b!J65++SD7e!J65</f>
        <v>0</v>
      </c>
      <c r="K65" s="425">
        <f>SD7a!K65+SD7b!K65++SD7e!K65</f>
        <v>0</v>
      </c>
      <c r="L65" s="438"/>
    </row>
    <row r="66" spans="1:12" ht="13.15" customHeight="1" x14ac:dyDescent="0.25">
      <c r="A66" s="303" t="s">
        <v>901</v>
      </c>
      <c r="B66" s="302"/>
      <c r="C66" s="508">
        <f>SD7a!C66+SD7b!C66++SD7e!C66</f>
        <v>0</v>
      </c>
      <c r="D66" s="422">
        <f>SD7a!D66+SD7b!D66++SD7e!D66</f>
        <v>0</v>
      </c>
      <c r="E66" s="423">
        <f>SD7a!E66+SD7b!E66++SD7e!E66</f>
        <v>0</v>
      </c>
      <c r="F66" s="424">
        <f>SD7a!F66+SD7b!F66++SD7e!F66</f>
        <v>0</v>
      </c>
      <c r="G66" s="422">
        <f>SD7a!G66+SD7b!G66++SD7e!G66</f>
        <v>0</v>
      </c>
      <c r="H66" s="425">
        <f>SD7a!H66+SD7b!H66++SD7e!H66</f>
        <v>0</v>
      </c>
      <c r="I66" s="424">
        <f>SD7a!I66+SD7b!I66++SD7e!I66</f>
        <v>0</v>
      </c>
      <c r="J66" s="422">
        <f>SD7a!J66+SD7b!J66++SD7e!J66</f>
        <v>0</v>
      </c>
      <c r="K66" s="425">
        <f>SD7a!K66+SD7b!K66++SD7e!K66</f>
        <v>0</v>
      </c>
      <c r="L66" s="438"/>
    </row>
    <row r="67" spans="1:12" ht="13.15" customHeight="1" x14ac:dyDescent="0.25">
      <c r="A67" s="303" t="s">
        <v>857</v>
      </c>
      <c r="B67" s="302"/>
      <c r="C67" s="508">
        <f>SD7a!C67+SD7b!C67++SD7e!C67</f>
        <v>0</v>
      </c>
      <c r="D67" s="422">
        <f>SD7a!D67+SD7b!D67++SD7e!D67</f>
        <v>0</v>
      </c>
      <c r="E67" s="423">
        <f>SD7a!E67+SD7b!E67++SD7e!E67</f>
        <v>0</v>
      </c>
      <c r="F67" s="424">
        <f>SD7a!F67+SD7b!F67++SD7e!F67</f>
        <v>0</v>
      </c>
      <c r="G67" s="422">
        <f>SD7a!G67+SD7b!G67++SD7e!G67</f>
        <v>0</v>
      </c>
      <c r="H67" s="425">
        <f>SD7a!H67+SD7b!H67++SD7e!H67</f>
        <v>0</v>
      </c>
      <c r="I67" s="424">
        <f>SD7a!I67+SD7b!I67++SD7e!I67</f>
        <v>0</v>
      </c>
      <c r="J67" s="422">
        <f>SD7a!J67+SD7b!J67++SD7e!J67</f>
        <v>0</v>
      </c>
      <c r="K67" s="425">
        <f>SD7a!K67+SD7b!K67++SD7e!K67</f>
        <v>0</v>
      </c>
      <c r="L67" s="438"/>
    </row>
    <row r="68" spans="1:12" ht="13.15" customHeight="1" x14ac:dyDescent="0.25">
      <c r="A68" s="285" t="s">
        <v>902</v>
      </c>
      <c r="B68" s="302"/>
      <c r="C68" s="422">
        <f>SUM(C69:C72)</f>
        <v>0</v>
      </c>
      <c r="D68" s="422">
        <f t="shared" ref="D68:K68" si="9">SUM(D69:D72)</f>
        <v>0</v>
      </c>
      <c r="E68" s="422">
        <f t="shared" si="9"/>
        <v>0</v>
      </c>
      <c r="F68" s="424">
        <f t="shared" si="9"/>
        <v>0</v>
      </c>
      <c r="G68" s="422">
        <f t="shared" si="9"/>
        <v>0</v>
      </c>
      <c r="H68" s="425">
        <f t="shared" si="9"/>
        <v>0</v>
      </c>
      <c r="I68" s="426">
        <f t="shared" si="9"/>
        <v>0</v>
      </c>
      <c r="J68" s="422">
        <f t="shared" si="9"/>
        <v>0</v>
      </c>
      <c r="K68" s="425">
        <f t="shared" si="9"/>
        <v>0</v>
      </c>
      <c r="L68" s="438"/>
    </row>
    <row r="69" spans="1:12" ht="13.15" customHeight="1" x14ac:dyDescent="0.25">
      <c r="A69" s="303" t="s">
        <v>903</v>
      </c>
      <c r="B69" s="302"/>
      <c r="C69" s="508">
        <f>SD7a!C69+SD7b!C69++SD7e!C69</f>
        <v>0</v>
      </c>
      <c r="D69" s="422">
        <f>SD7a!D69+SD7b!D69++SD7e!D69</f>
        <v>0</v>
      </c>
      <c r="E69" s="423">
        <f>SD7a!E69+SD7b!E69++SD7e!E69</f>
        <v>0</v>
      </c>
      <c r="F69" s="424">
        <f>SD7a!F69+SD7b!F69++SD7e!F69</f>
        <v>0</v>
      </c>
      <c r="G69" s="422">
        <f>SD7a!G69+SD7b!G69++SD7e!G69</f>
        <v>0</v>
      </c>
      <c r="H69" s="425">
        <f>SD7a!H69+SD7b!H69++SD7e!H69</f>
        <v>0</v>
      </c>
      <c r="I69" s="424">
        <f>SD7a!I69+SD7b!I69++SD7e!I69</f>
        <v>0</v>
      </c>
      <c r="J69" s="422">
        <f>SD7a!J69+SD7b!J69++SD7e!J69</f>
        <v>0</v>
      </c>
      <c r="K69" s="425">
        <f>SD7a!K69+SD7b!K69++SD7e!K69</f>
        <v>0</v>
      </c>
      <c r="L69" s="438"/>
    </row>
    <row r="70" spans="1:12" ht="13.15" customHeight="1" x14ac:dyDescent="0.25">
      <c r="A70" s="303" t="s">
        <v>904</v>
      </c>
      <c r="B70" s="302"/>
      <c r="C70" s="508">
        <f>SD7a!C70+SD7b!C70++SD7e!C70</f>
        <v>0</v>
      </c>
      <c r="D70" s="422">
        <f>SD7a!D70+SD7b!D70++SD7e!D70</f>
        <v>0</v>
      </c>
      <c r="E70" s="423">
        <f>SD7a!E70+SD7b!E70++SD7e!E70</f>
        <v>0</v>
      </c>
      <c r="F70" s="424">
        <f>SD7a!F70+SD7b!F70++SD7e!F70</f>
        <v>0</v>
      </c>
      <c r="G70" s="422">
        <f>SD7a!G70+SD7b!G70++SD7e!G70</f>
        <v>0</v>
      </c>
      <c r="H70" s="425">
        <f>SD7a!H70+SD7b!H70++SD7e!H70</f>
        <v>0</v>
      </c>
      <c r="I70" s="424">
        <f>SD7a!I70+SD7b!I70++SD7e!I70</f>
        <v>0</v>
      </c>
      <c r="J70" s="422">
        <f>SD7a!J70+SD7b!J70++SD7e!J70</f>
        <v>0</v>
      </c>
      <c r="K70" s="425">
        <f>SD7a!K70+SD7b!K70++SD7e!K70</f>
        <v>0</v>
      </c>
      <c r="L70" s="438"/>
    </row>
    <row r="71" spans="1:12" ht="13.15" customHeight="1" x14ac:dyDescent="0.25">
      <c r="A71" s="303" t="s">
        <v>905</v>
      </c>
      <c r="B71" s="302"/>
      <c r="C71" s="508">
        <f>SD7a!C71+SD7b!C71++SD7e!C71</f>
        <v>0</v>
      </c>
      <c r="D71" s="422">
        <f>SD7a!D71+SD7b!D71++SD7e!D71</f>
        <v>0</v>
      </c>
      <c r="E71" s="423">
        <f>SD7a!E71+SD7b!E71++SD7e!E71</f>
        <v>0</v>
      </c>
      <c r="F71" s="424">
        <f>SD7a!F71+SD7b!F71++SD7e!F71</f>
        <v>0</v>
      </c>
      <c r="G71" s="422">
        <f>SD7a!G71+SD7b!G71++SD7e!G71</f>
        <v>0</v>
      </c>
      <c r="H71" s="425">
        <f>SD7a!H71+SD7b!H71++SD7e!H71</f>
        <v>0</v>
      </c>
      <c r="I71" s="424">
        <f>SD7a!I71+SD7b!I71++SD7e!I71</f>
        <v>0</v>
      </c>
      <c r="J71" s="422">
        <f>SD7a!J71+SD7b!J71++SD7e!J71</f>
        <v>0</v>
      </c>
      <c r="K71" s="425">
        <f>SD7a!K71+SD7b!K71++SD7e!K71</f>
        <v>0</v>
      </c>
      <c r="L71" s="438"/>
    </row>
    <row r="72" spans="1:12" ht="13.15" customHeight="1" x14ac:dyDescent="0.25">
      <c r="A72" s="303" t="s">
        <v>857</v>
      </c>
      <c r="B72" s="302"/>
      <c r="C72" s="508">
        <f>SD7a!C72+SD7b!C72++SD7e!C72</f>
        <v>0</v>
      </c>
      <c r="D72" s="422">
        <f>SD7a!D72+SD7b!D72++SD7e!D72</f>
        <v>0</v>
      </c>
      <c r="E72" s="423">
        <f>SD7a!E72+SD7b!E72++SD7e!E72</f>
        <v>0</v>
      </c>
      <c r="F72" s="424">
        <f>SD7a!F72+SD7b!F72++SD7e!F72</f>
        <v>0</v>
      </c>
      <c r="G72" s="422">
        <f>SD7a!G72+SD7b!G72++SD7e!G72</f>
        <v>0</v>
      </c>
      <c r="H72" s="425">
        <f>SD7a!H72+SD7b!H72++SD7e!H72</f>
        <v>0</v>
      </c>
      <c r="I72" s="424">
        <f>SD7a!I72+SD7b!I72++SD7e!I72</f>
        <v>0</v>
      </c>
      <c r="J72" s="422">
        <f>SD7a!J72+SD7b!J72++SD7e!J72</f>
        <v>0</v>
      </c>
      <c r="K72" s="425">
        <f>SD7a!K72+SD7b!K72++SD7e!K72</f>
        <v>0</v>
      </c>
      <c r="L72" s="438"/>
    </row>
    <row r="73" spans="1:12" ht="5.0999999999999996" customHeight="1" x14ac:dyDescent="0.25">
      <c r="A73" s="305"/>
      <c r="B73" s="302"/>
      <c r="C73" s="25"/>
      <c r="D73" s="25"/>
      <c r="E73" s="306"/>
      <c r="F73" s="307"/>
      <c r="G73" s="25"/>
      <c r="H73" s="24"/>
      <c r="I73" s="307"/>
      <c r="J73" s="25"/>
      <c r="K73" s="306"/>
      <c r="L73" s="438"/>
    </row>
    <row r="74" spans="1:12" ht="13.15" customHeight="1" x14ac:dyDescent="0.25">
      <c r="A74" s="301" t="s">
        <v>906</v>
      </c>
      <c r="B74" s="302"/>
      <c r="C74" s="293">
        <f>C75+C98</f>
        <v>0</v>
      </c>
      <c r="D74" s="293">
        <f t="shared" ref="D74:K74" si="10">D75+D98</f>
        <v>0</v>
      </c>
      <c r="E74" s="294">
        <f t="shared" si="10"/>
        <v>0</v>
      </c>
      <c r="F74" s="292">
        <f t="shared" si="10"/>
        <v>27938469</v>
      </c>
      <c r="G74" s="293">
        <f t="shared" si="10"/>
        <v>9438469</v>
      </c>
      <c r="H74" s="291">
        <f t="shared" si="10"/>
        <v>9438469</v>
      </c>
      <c r="I74" s="292">
        <f t="shared" si="10"/>
        <v>12573638.694</v>
      </c>
      <c r="J74" s="293">
        <f t="shared" si="10"/>
        <v>5221172.9513119999</v>
      </c>
      <c r="K74" s="294">
        <f t="shared" si="10"/>
        <v>3375789.5403784961</v>
      </c>
      <c r="L74" s="438"/>
    </row>
    <row r="75" spans="1:12" ht="13.15" customHeight="1" x14ac:dyDescent="0.25">
      <c r="A75" s="285" t="s">
        <v>907</v>
      </c>
      <c r="B75" s="302"/>
      <c r="C75" s="417">
        <f>SUM(C76:C97)</f>
        <v>0</v>
      </c>
      <c r="D75" s="417">
        <f t="shared" ref="D75:K75" si="11">SUM(D76:D97)</f>
        <v>0</v>
      </c>
      <c r="E75" s="418">
        <f t="shared" si="11"/>
        <v>0</v>
      </c>
      <c r="F75" s="419">
        <f t="shared" si="11"/>
        <v>27117280</v>
      </c>
      <c r="G75" s="417">
        <f t="shared" si="11"/>
        <v>8617280</v>
      </c>
      <c r="H75" s="420">
        <f t="shared" si="11"/>
        <v>8617280</v>
      </c>
      <c r="I75" s="419">
        <f t="shared" si="11"/>
        <v>11714675</v>
      </c>
      <c r="J75" s="417">
        <f t="shared" si="11"/>
        <v>4320979</v>
      </c>
      <c r="K75" s="420">
        <f t="shared" si="11"/>
        <v>2432386.2794035198</v>
      </c>
      <c r="L75" s="438"/>
    </row>
    <row r="76" spans="1:12" ht="13.15" customHeight="1" x14ac:dyDescent="0.25">
      <c r="A76" s="303" t="s">
        <v>908</v>
      </c>
      <c r="B76" s="302"/>
      <c r="C76" s="508">
        <f>SD7a!C76+SD7b!C76++SD7e!C76</f>
        <v>0</v>
      </c>
      <c r="D76" s="422">
        <f>SD7a!D76+SD7b!D76++SD7e!D76</f>
        <v>0</v>
      </c>
      <c r="E76" s="423">
        <f>SD7a!E76+SD7b!E76++SD7e!E76</f>
        <v>0</v>
      </c>
      <c r="F76" s="424">
        <f>SD7a!F76+SD7b!F76++SD7e!F76</f>
        <v>0</v>
      </c>
      <c r="G76" s="422">
        <f>SD7a!G76+SD7b!G76++SD7e!G76</f>
        <v>0</v>
      </c>
      <c r="H76" s="425">
        <f>SD7a!H76+SD7b!H76++SD7e!H76</f>
        <v>0</v>
      </c>
      <c r="I76" s="424">
        <f>SD7a!I76+SD7b!I76++SD7e!I76</f>
        <v>0</v>
      </c>
      <c r="J76" s="422">
        <f>SD7a!J76+SD7b!J76++SD7e!J76</f>
        <v>0</v>
      </c>
      <c r="K76" s="425">
        <f>SD7a!K76+SD7b!K76++SD7e!K76</f>
        <v>0</v>
      </c>
      <c r="L76" s="438"/>
    </row>
    <row r="77" spans="1:12" ht="13.15" customHeight="1" x14ac:dyDescent="0.25">
      <c r="A77" s="303" t="s">
        <v>909</v>
      </c>
      <c r="B77" s="302"/>
      <c r="C77" s="508">
        <f>SD7a!C77+SD7b!C77++SD7e!C77</f>
        <v>0</v>
      </c>
      <c r="D77" s="422">
        <f>SD7a!D77+SD7b!D77++SD7e!D77</f>
        <v>0</v>
      </c>
      <c r="E77" s="423">
        <f>SD7a!E77+SD7b!E77++SD7e!E77</f>
        <v>0</v>
      </c>
      <c r="F77" s="424">
        <f>SD7a!F77+SD7b!F77++SD7e!F77</f>
        <v>27117280</v>
      </c>
      <c r="G77" s="422">
        <f>SD7a!G77+SD7b!G77++SD7e!G77</f>
        <v>8617280</v>
      </c>
      <c r="H77" s="425">
        <f>SD7a!H77+SD7b!H77++SD7e!H77</f>
        <v>8617280</v>
      </c>
      <c r="I77" s="424">
        <f>SD7a!I77+SD7b!I77++SD7e!I77</f>
        <v>11714675</v>
      </c>
      <c r="J77" s="422">
        <f>SD7a!J77+SD7b!J77++SD7e!J77</f>
        <v>4320979</v>
      </c>
      <c r="K77" s="425">
        <f>SD7a!K77+SD7b!K77++SD7e!K77</f>
        <v>2432386.2794035198</v>
      </c>
      <c r="L77" s="438"/>
    </row>
    <row r="78" spans="1:12" ht="13.15" customHeight="1" x14ac:dyDescent="0.25">
      <c r="A78" s="303" t="s">
        <v>910</v>
      </c>
      <c r="B78" s="302"/>
      <c r="C78" s="508">
        <f>SD7a!C78+SD7b!C78++SD7e!C78</f>
        <v>0</v>
      </c>
      <c r="D78" s="422">
        <f>SD7a!D78+SD7b!D78++SD7e!D78</f>
        <v>0</v>
      </c>
      <c r="E78" s="423">
        <f>SD7a!E78+SD7b!E78++SD7e!E78</f>
        <v>0</v>
      </c>
      <c r="F78" s="424">
        <f>SD7a!F78+SD7b!F78++SD7e!F78</f>
        <v>0</v>
      </c>
      <c r="G78" s="422">
        <f>SD7a!G78+SD7b!G78++SD7e!G78</f>
        <v>0</v>
      </c>
      <c r="H78" s="425">
        <f>SD7a!H78+SD7b!H78++SD7e!H78</f>
        <v>0</v>
      </c>
      <c r="I78" s="424">
        <f>SD7a!I78+SD7b!I78++SD7e!I78</f>
        <v>0</v>
      </c>
      <c r="J78" s="422">
        <f>SD7a!J78+SD7b!J78++SD7e!J78</f>
        <v>0</v>
      </c>
      <c r="K78" s="425">
        <f>SD7a!K78+SD7b!K78++SD7e!K78</f>
        <v>0</v>
      </c>
      <c r="L78" s="438"/>
    </row>
    <row r="79" spans="1:12" ht="13.15" customHeight="1" x14ac:dyDescent="0.25">
      <c r="A79" s="303" t="s">
        <v>911</v>
      </c>
      <c r="B79" s="302"/>
      <c r="C79" s="508">
        <f>SD7a!C79+SD7b!C79++SD7e!C79</f>
        <v>0</v>
      </c>
      <c r="D79" s="422">
        <f>SD7a!D79+SD7b!D79++SD7e!D79</f>
        <v>0</v>
      </c>
      <c r="E79" s="423">
        <f>SD7a!E79+SD7b!E79++SD7e!E79</f>
        <v>0</v>
      </c>
      <c r="F79" s="424">
        <f>SD7a!F79+SD7b!F79++SD7e!F79</f>
        <v>0</v>
      </c>
      <c r="G79" s="422">
        <f>SD7a!G79+SD7b!G79++SD7e!G79</f>
        <v>0</v>
      </c>
      <c r="H79" s="425">
        <f>SD7a!H79+SD7b!H79++SD7e!H79</f>
        <v>0</v>
      </c>
      <c r="I79" s="424">
        <f>SD7a!I79+SD7b!I79++SD7e!I79</f>
        <v>0</v>
      </c>
      <c r="J79" s="422">
        <f>SD7a!J79+SD7b!J79++SD7e!J79</f>
        <v>0</v>
      </c>
      <c r="K79" s="425">
        <f>SD7a!K79+SD7b!K79++SD7e!K79</f>
        <v>0</v>
      </c>
      <c r="L79" s="438"/>
    </row>
    <row r="80" spans="1:12" ht="13.15" customHeight="1" x14ac:dyDescent="0.25">
      <c r="A80" s="303" t="s">
        <v>912</v>
      </c>
      <c r="B80" s="302"/>
      <c r="C80" s="508">
        <f>SD7a!C80+SD7b!C80++SD7e!C80</f>
        <v>0</v>
      </c>
      <c r="D80" s="422">
        <f>SD7a!D80+SD7b!D80++SD7e!D80</f>
        <v>0</v>
      </c>
      <c r="E80" s="423">
        <f>SD7a!E80+SD7b!E80++SD7e!E80</f>
        <v>0</v>
      </c>
      <c r="F80" s="424">
        <f>SD7a!F80+SD7b!F80++SD7e!F80</f>
        <v>0</v>
      </c>
      <c r="G80" s="422">
        <f>SD7a!G80+SD7b!G80++SD7e!G80</f>
        <v>0</v>
      </c>
      <c r="H80" s="425">
        <f>SD7a!H80+SD7b!H80++SD7e!H80</f>
        <v>0</v>
      </c>
      <c r="I80" s="424">
        <f>SD7a!I80+SD7b!I80++SD7e!I80</f>
        <v>0</v>
      </c>
      <c r="J80" s="422">
        <f>SD7a!J80+SD7b!J80++SD7e!J80</f>
        <v>0</v>
      </c>
      <c r="K80" s="425">
        <f>SD7a!K80+SD7b!K80++SD7e!K80</f>
        <v>0</v>
      </c>
      <c r="L80" s="438"/>
    </row>
    <row r="81" spans="1:12" ht="13.15" customHeight="1" x14ac:dyDescent="0.25">
      <c r="A81" s="303" t="s">
        <v>913</v>
      </c>
      <c r="B81" s="302"/>
      <c r="C81" s="508">
        <f>SD7a!C81+SD7b!C81++SD7e!C81</f>
        <v>0</v>
      </c>
      <c r="D81" s="422">
        <f>SD7a!D81+SD7b!D81++SD7e!D81</f>
        <v>0</v>
      </c>
      <c r="E81" s="423">
        <f>SD7a!E81+SD7b!E81++SD7e!E81</f>
        <v>0</v>
      </c>
      <c r="F81" s="424">
        <f>SD7a!F81+SD7b!F81++SD7e!F81</f>
        <v>0</v>
      </c>
      <c r="G81" s="422">
        <f>SD7a!G81+SD7b!G81++SD7e!G81</f>
        <v>0</v>
      </c>
      <c r="H81" s="425">
        <f>SD7a!H81+SD7b!H81++SD7e!H81</f>
        <v>0</v>
      </c>
      <c r="I81" s="424">
        <f>SD7a!I81+SD7b!I81++SD7e!I81</f>
        <v>0</v>
      </c>
      <c r="J81" s="422">
        <f>SD7a!J81+SD7b!J81++SD7e!J81</f>
        <v>0</v>
      </c>
      <c r="K81" s="425">
        <f>SD7a!K81+SD7b!K81++SD7e!K81</f>
        <v>0</v>
      </c>
      <c r="L81" s="438"/>
    </row>
    <row r="82" spans="1:12" ht="13.15" customHeight="1" x14ac:dyDescent="0.25">
      <c r="A82" s="303" t="s">
        <v>914</v>
      </c>
      <c r="B82" s="302"/>
      <c r="C82" s="508">
        <f>SD7a!C82+SD7b!C82++SD7e!C82</f>
        <v>0</v>
      </c>
      <c r="D82" s="422">
        <f>SD7a!D82+SD7b!D82++SD7e!D82</f>
        <v>0</v>
      </c>
      <c r="E82" s="423">
        <f>SD7a!E82+SD7b!E82++SD7e!E82</f>
        <v>0</v>
      </c>
      <c r="F82" s="424">
        <f>SD7a!F82+SD7b!F82++SD7e!F82</f>
        <v>0</v>
      </c>
      <c r="G82" s="422">
        <f>SD7a!G82+SD7b!G82++SD7e!G82</f>
        <v>0</v>
      </c>
      <c r="H82" s="425">
        <f>SD7a!H82+SD7b!H82++SD7e!H82</f>
        <v>0</v>
      </c>
      <c r="I82" s="424">
        <f>SD7a!I82+SD7b!I82++SD7e!I82</f>
        <v>0</v>
      </c>
      <c r="J82" s="422">
        <f>SD7a!J82+SD7b!J82++SD7e!J82</f>
        <v>0</v>
      </c>
      <c r="K82" s="425">
        <f>SD7a!K82+SD7b!K82++SD7e!K82</f>
        <v>0</v>
      </c>
      <c r="L82" s="438"/>
    </row>
    <row r="83" spans="1:12" ht="13.15" customHeight="1" x14ac:dyDescent="0.25">
      <c r="A83" s="303" t="s">
        <v>915</v>
      </c>
      <c r="B83" s="302"/>
      <c r="C83" s="508">
        <f>SD7a!C83+SD7b!C83++SD7e!C83</f>
        <v>0</v>
      </c>
      <c r="D83" s="422">
        <f>SD7a!D83+SD7b!D83++SD7e!D83</f>
        <v>0</v>
      </c>
      <c r="E83" s="423">
        <f>SD7a!E83+SD7b!E83++SD7e!E83</f>
        <v>0</v>
      </c>
      <c r="F83" s="424">
        <f>SD7a!F83+SD7b!F83++SD7e!F83</f>
        <v>0</v>
      </c>
      <c r="G83" s="422">
        <f>SD7a!G83+SD7b!G83++SD7e!G83</f>
        <v>0</v>
      </c>
      <c r="H83" s="425">
        <f>SD7a!H83+SD7b!H83++SD7e!H83</f>
        <v>0</v>
      </c>
      <c r="I83" s="424">
        <f>SD7a!I83+SD7b!I83++SD7e!I83</f>
        <v>0</v>
      </c>
      <c r="J83" s="422">
        <f>SD7a!J83+SD7b!J83++SD7e!J83</f>
        <v>0</v>
      </c>
      <c r="K83" s="425">
        <f>SD7a!K83+SD7b!K83++SD7e!K83</f>
        <v>0</v>
      </c>
      <c r="L83" s="438"/>
    </row>
    <row r="84" spans="1:12" s="376" customFormat="1" ht="13.15" customHeight="1" x14ac:dyDescent="0.25">
      <c r="A84" s="303" t="s">
        <v>916</v>
      </c>
      <c r="B84" s="302"/>
      <c r="C84" s="508">
        <f>SD7a!C84+SD7b!C84++SD7e!C84</f>
        <v>0</v>
      </c>
      <c r="D84" s="422">
        <f>SD7a!D84+SD7b!D84++SD7e!D84</f>
        <v>0</v>
      </c>
      <c r="E84" s="423">
        <f>SD7a!E84+SD7b!E84++SD7e!E84</f>
        <v>0</v>
      </c>
      <c r="F84" s="424">
        <f>SD7a!F84+SD7b!F84++SD7e!F84</f>
        <v>0</v>
      </c>
      <c r="G84" s="422">
        <f>SD7a!G84+SD7b!G84++SD7e!G84</f>
        <v>0</v>
      </c>
      <c r="H84" s="425">
        <f>SD7a!H84+SD7b!H84++SD7e!H84</f>
        <v>0</v>
      </c>
      <c r="I84" s="424">
        <f>SD7a!I84+SD7b!I84++SD7e!I84</f>
        <v>0</v>
      </c>
      <c r="J84" s="422">
        <f>SD7a!J84+SD7b!J84++SD7e!J84</f>
        <v>0</v>
      </c>
      <c r="K84" s="425">
        <f>SD7a!K84+SD7b!K84++SD7e!K84</f>
        <v>0</v>
      </c>
      <c r="L84" s="484"/>
    </row>
    <row r="85" spans="1:12" s="376" customFormat="1" ht="13.15" customHeight="1" x14ac:dyDescent="0.25">
      <c r="A85" s="303" t="s">
        <v>89</v>
      </c>
      <c r="B85" s="302"/>
      <c r="C85" s="508">
        <f>SD7a!C85+SD7b!C85++SD7e!C85</f>
        <v>0</v>
      </c>
      <c r="D85" s="422">
        <f>SD7a!D85+SD7b!D85++SD7e!D85</f>
        <v>0</v>
      </c>
      <c r="E85" s="423">
        <f>SD7a!E85+SD7b!E85++SD7e!E85</f>
        <v>0</v>
      </c>
      <c r="F85" s="424">
        <f>SD7a!F85+SD7b!F85++SD7e!F85</f>
        <v>0</v>
      </c>
      <c r="G85" s="422">
        <f>SD7a!G85+SD7b!G85++SD7e!G85</f>
        <v>0</v>
      </c>
      <c r="H85" s="425">
        <f>SD7a!H85+SD7b!H85++SD7e!H85</f>
        <v>0</v>
      </c>
      <c r="I85" s="424">
        <f>SD7a!I85+SD7b!I85++SD7e!I85</f>
        <v>0</v>
      </c>
      <c r="J85" s="422">
        <f>SD7a!J85+SD7b!J85++SD7e!J85</f>
        <v>0</v>
      </c>
      <c r="K85" s="425">
        <f>SD7a!K85+SD7b!K85++SD7e!K85</f>
        <v>0</v>
      </c>
    </row>
    <row r="86" spans="1:12" s="376" customFormat="1" ht="13.15" customHeight="1" x14ac:dyDescent="0.25">
      <c r="A86" s="303" t="s">
        <v>917</v>
      </c>
      <c r="B86" s="302"/>
      <c r="C86" s="508">
        <f>SD7a!C86+SD7b!C86++SD7e!C86</f>
        <v>0</v>
      </c>
      <c r="D86" s="422">
        <f>SD7a!D86+SD7b!D86++SD7e!D86</f>
        <v>0</v>
      </c>
      <c r="E86" s="423">
        <f>SD7a!E86+SD7b!E86++SD7e!E86</f>
        <v>0</v>
      </c>
      <c r="F86" s="424">
        <f>SD7a!F86+SD7b!F86++SD7e!F86</f>
        <v>0</v>
      </c>
      <c r="G86" s="422">
        <f>SD7a!G86+SD7b!G86++SD7e!G86</f>
        <v>0</v>
      </c>
      <c r="H86" s="425">
        <f>SD7a!H86+SD7b!H86++SD7e!H86</f>
        <v>0</v>
      </c>
      <c r="I86" s="424">
        <f>SD7a!I86+SD7b!I86++SD7e!I86</f>
        <v>0</v>
      </c>
      <c r="J86" s="422">
        <f>SD7a!J86+SD7b!J86++SD7e!J86</f>
        <v>0</v>
      </c>
      <c r="K86" s="425">
        <f>SD7a!K86+SD7b!K86++SD7e!K86</f>
        <v>0</v>
      </c>
    </row>
    <row r="87" spans="1:12" ht="13.15" customHeight="1" x14ac:dyDescent="0.25">
      <c r="A87" s="303" t="s">
        <v>918</v>
      </c>
      <c r="B87" s="302"/>
      <c r="C87" s="508">
        <f>SD7a!C87+SD7b!C87++SD7e!C87</f>
        <v>0</v>
      </c>
      <c r="D87" s="422">
        <f>SD7a!D87+SD7b!D87++SD7e!D87</f>
        <v>0</v>
      </c>
      <c r="E87" s="423">
        <f>SD7a!E87+SD7b!E87++SD7e!E87</f>
        <v>0</v>
      </c>
      <c r="F87" s="424">
        <f>SD7a!F87+SD7b!F87++SD7e!F87</f>
        <v>0</v>
      </c>
      <c r="G87" s="422">
        <f>SD7a!G87+SD7b!G87++SD7e!G87</f>
        <v>0</v>
      </c>
      <c r="H87" s="425">
        <f>SD7a!H87+SD7b!H87++SD7e!H87</f>
        <v>0</v>
      </c>
      <c r="I87" s="424">
        <f>SD7a!I87+SD7b!I87++SD7e!I87</f>
        <v>0</v>
      </c>
      <c r="J87" s="422">
        <f>SD7a!J87+SD7b!J87++SD7e!J87</f>
        <v>0</v>
      </c>
      <c r="K87" s="425">
        <f>SD7a!K87+SD7b!K87++SD7e!K87</f>
        <v>0</v>
      </c>
    </row>
    <row r="88" spans="1:12" ht="13.15" customHeight="1" x14ac:dyDescent="0.25">
      <c r="A88" s="303" t="s">
        <v>1021</v>
      </c>
      <c r="B88" s="302"/>
      <c r="C88" s="508">
        <f>SD7a!C88+SD7b!C88++SD7e!C88</f>
        <v>0</v>
      </c>
      <c r="D88" s="422">
        <f>SD7a!D88+SD7b!D88++SD7e!D88</f>
        <v>0</v>
      </c>
      <c r="E88" s="423">
        <f>SD7a!E88+SD7b!E88++SD7e!E88</f>
        <v>0</v>
      </c>
      <c r="F88" s="424">
        <f>SD7a!F88+SD7b!F88++SD7e!F88</f>
        <v>0</v>
      </c>
      <c r="G88" s="422">
        <f>SD7a!G88+SD7b!G88++SD7e!G88</f>
        <v>0</v>
      </c>
      <c r="H88" s="425">
        <f>SD7a!H88+SD7b!H88++SD7e!H88</f>
        <v>0</v>
      </c>
      <c r="I88" s="424">
        <f>SD7a!I88+SD7b!I88++SD7e!I88</f>
        <v>0</v>
      </c>
      <c r="J88" s="422">
        <f>SD7a!J88+SD7b!J88++SD7e!J88</f>
        <v>0</v>
      </c>
      <c r="K88" s="425">
        <f>SD7a!K88+SD7b!K88++SD7e!K88</f>
        <v>0</v>
      </c>
    </row>
    <row r="89" spans="1:12" ht="13.15" customHeight="1" x14ac:dyDescent="0.25">
      <c r="A89" s="303" t="s">
        <v>919</v>
      </c>
      <c r="B89" s="302"/>
      <c r="C89" s="508">
        <f>SD7a!C89+SD7b!C89++SD7e!C89</f>
        <v>0</v>
      </c>
      <c r="D89" s="422">
        <f>SD7a!D89+SD7b!D89++SD7e!D89</f>
        <v>0</v>
      </c>
      <c r="E89" s="423">
        <f>SD7a!E89+SD7b!E89++SD7e!E89</f>
        <v>0</v>
      </c>
      <c r="F89" s="424">
        <f>SD7a!F89+SD7b!F89++SD7e!F89</f>
        <v>0</v>
      </c>
      <c r="G89" s="422">
        <f>SD7a!G89+SD7b!G89++SD7e!G89</f>
        <v>0</v>
      </c>
      <c r="H89" s="425">
        <f>SD7a!H89+SD7b!H89++SD7e!H89</f>
        <v>0</v>
      </c>
      <c r="I89" s="424">
        <f>SD7a!I89+SD7b!I89++SD7e!I89</f>
        <v>0</v>
      </c>
      <c r="J89" s="422">
        <f>SD7a!J89+SD7b!J89++SD7e!J89</f>
        <v>0</v>
      </c>
      <c r="K89" s="425">
        <f>SD7a!K89+SD7b!K89++SD7e!K89</f>
        <v>0</v>
      </c>
    </row>
    <row r="90" spans="1:12" ht="13.15" customHeight="1" x14ac:dyDescent="0.25">
      <c r="A90" s="303" t="s">
        <v>920</v>
      </c>
      <c r="B90" s="302"/>
      <c r="C90" s="508">
        <f>SD7a!C90+SD7b!C90++SD7e!C90</f>
        <v>0</v>
      </c>
      <c r="D90" s="422">
        <f>SD7a!D90+SD7b!D90++SD7e!D90</f>
        <v>0</v>
      </c>
      <c r="E90" s="423">
        <f>SD7a!E90+SD7b!E90++SD7e!E90</f>
        <v>0</v>
      </c>
      <c r="F90" s="424">
        <f>SD7a!F90+SD7b!F90++SD7e!F90</f>
        <v>0</v>
      </c>
      <c r="G90" s="422">
        <f>SD7a!G90+SD7b!G90++SD7e!G90</f>
        <v>0</v>
      </c>
      <c r="H90" s="425">
        <f>SD7a!H90+SD7b!H90++SD7e!H90</f>
        <v>0</v>
      </c>
      <c r="I90" s="424">
        <f>SD7a!I90+SD7b!I90++SD7e!I90</f>
        <v>0</v>
      </c>
      <c r="J90" s="422">
        <f>SD7a!J90+SD7b!J90++SD7e!J90</f>
        <v>0</v>
      </c>
      <c r="K90" s="425">
        <f>SD7a!K90+SD7b!K90++SD7e!K90</f>
        <v>0</v>
      </c>
    </row>
    <row r="91" spans="1:12" ht="13.15" customHeight="1" x14ac:dyDescent="0.25">
      <c r="A91" s="303" t="s">
        <v>921</v>
      </c>
      <c r="B91" s="302"/>
      <c r="C91" s="508">
        <f>SD7a!C91+SD7b!C91++SD7e!C91</f>
        <v>0</v>
      </c>
      <c r="D91" s="422">
        <f>SD7a!D91+SD7b!D91++SD7e!D91</f>
        <v>0</v>
      </c>
      <c r="E91" s="423">
        <f>SD7a!E91+SD7b!E91++SD7e!E91</f>
        <v>0</v>
      </c>
      <c r="F91" s="424">
        <f>SD7a!F91+SD7b!F91++SD7e!F91</f>
        <v>0</v>
      </c>
      <c r="G91" s="422">
        <f>SD7a!G91+SD7b!G91++SD7e!G91</f>
        <v>0</v>
      </c>
      <c r="H91" s="425">
        <f>SD7a!H91+SD7b!H91++SD7e!H91</f>
        <v>0</v>
      </c>
      <c r="I91" s="424">
        <f>SD7a!I91+SD7b!I91++SD7e!I91</f>
        <v>0</v>
      </c>
      <c r="J91" s="422">
        <f>SD7a!J91+SD7b!J91++SD7e!J91</f>
        <v>0</v>
      </c>
      <c r="K91" s="425">
        <f>SD7a!K91+SD7b!K91++SD7e!K91</f>
        <v>0</v>
      </c>
    </row>
    <row r="92" spans="1:12" ht="13.15" customHeight="1" x14ac:dyDescent="0.25">
      <c r="A92" s="303" t="s">
        <v>11</v>
      </c>
      <c r="B92" s="302"/>
      <c r="C92" s="508">
        <f>SD7a!C92+SD7b!C92++SD7e!C92</f>
        <v>0</v>
      </c>
      <c r="D92" s="422">
        <f>SD7a!D92+SD7b!D92++SD7e!D92</f>
        <v>0</v>
      </c>
      <c r="E92" s="423">
        <f>SD7a!E92+SD7b!E92++SD7e!E92</f>
        <v>0</v>
      </c>
      <c r="F92" s="424">
        <f>SD7a!F92+SD7b!F92++SD7e!F92</f>
        <v>0</v>
      </c>
      <c r="G92" s="422">
        <f>SD7a!G92+SD7b!G92++SD7e!G92</f>
        <v>0</v>
      </c>
      <c r="H92" s="425">
        <f>SD7a!H92+SD7b!H92++SD7e!H92</f>
        <v>0</v>
      </c>
      <c r="I92" s="424">
        <f>SD7a!I92+SD7b!I92++SD7e!I92</f>
        <v>0</v>
      </c>
      <c r="J92" s="422">
        <f>SD7a!J92+SD7b!J92++SD7e!J92</f>
        <v>0</v>
      </c>
      <c r="K92" s="425">
        <f>SD7a!K92+SD7b!K92++SD7e!K92</f>
        <v>0</v>
      </c>
    </row>
    <row r="93" spans="1:12" ht="13.15" customHeight="1" x14ac:dyDescent="0.25">
      <c r="A93" s="303" t="s">
        <v>922</v>
      </c>
      <c r="B93" s="302"/>
      <c r="C93" s="508">
        <f>SD7a!C93+SD7b!C93++SD7e!C93</f>
        <v>0</v>
      </c>
      <c r="D93" s="422">
        <f>SD7a!D93+SD7b!D93++SD7e!D93</f>
        <v>0</v>
      </c>
      <c r="E93" s="423">
        <f>SD7a!E93+SD7b!E93++SD7e!E93</f>
        <v>0</v>
      </c>
      <c r="F93" s="424">
        <f>SD7a!F93+SD7b!F93++SD7e!F93</f>
        <v>0</v>
      </c>
      <c r="G93" s="422">
        <f>SD7a!G93+SD7b!G93++SD7e!G93</f>
        <v>0</v>
      </c>
      <c r="H93" s="425">
        <f>SD7a!H93+SD7b!H93++SD7e!H93</f>
        <v>0</v>
      </c>
      <c r="I93" s="424">
        <f>SD7a!I93+SD7b!I93++SD7e!I93</f>
        <v>0</v>
      </c>
      <c r="J93" s="422">
        <f>SD7a!J93+SD7b!J93++SD7e!J93</f>
        <v>0</v>
      </c>
      <c r="K93" s="425">
        <f>SD7a!K93+SD7b!K93++SD7e!K93</f>
        <v>0</v>
      </c>
    </row>
    <row r="94" spans="1:12" ht="13.15" customHeight="1" x14ac:dyDescent="0.25">
      <c r="A94" s="303" t="s">
        <v>10</v>
      </c>
      <c r="B94" s="302"/>
      <c r="C94" s="508">
        <f>SD7a!C94+SD7b!C94++SD7e!C94</f>
        <v>0</v>
      </c>
      <c r="D94" s="422">
        <f>SD7a!D94+SD7b!D94++SD7e!D94</f>
        <v>0</v>
      </c>
      <c r="E94" s="423">
        <f>SD7a!E94+SD7b!E94++SD7e!E94</f>
        <v>0</v>
      </c>
      <c r="F94" s="424">
        <f>SD7a!F94+SD7b!F94++SD7e!F94</f>
        <v>0</v>
      </c>
      <c r="G94" s="422">
        <f>SD7a!G94+SD7b!G94++SD7e!G94</f>
        <v>0</v>
      </c>
      <c r="H94" s="425">
        <f>SD7a!H94+SD7b!H94++SD7e!H94</f>
        <v>0</v>
      </c>
      <c r="I94" s="424">
        <f>SD7a!I94+SD7b!I94++SD7e!I94</f>
        <v>0</v>
      </c>
      <c r="J94" s="422">
        <f>SD7a!J94+SD7b!J94++SD7e!J94</f>
        <v>0</v>
      </c>
      <c r="K94" s="425">
        <f>SD7a!K94+SD7b!K94++SD7e!K94</f>
        <v>0</v>
      </c>
    </row>
    <row r="95" spans="1:12" ht="13.15" customHeight="1" x14ac:dyDescent="0.25">
      <c r="A95" s="303" t="s">
        <v>923</v>
      </c>
      <c r="B95" s="302"/>
      <c r="C95" s="508">
        <f>SD7a!C95+SD7b!C95++SD7e!C95</f>
        <v>0</v>
      </c>
      <c r="D95" s="422">
        <f>SD7a!D95+SD7b!D95++SD7e!D95</f>
        <v>0</v>
      </c>
      <c r="E95" s="423">
        <f>SD7a!E95+SD7b!E95++SD7e!E95</f>
        <v>0</v>
      </c>
      <c r="F95" s="424">
        <f>SD7a!F95+SD7b!F95++SD7e!F95</f>
        <v>0</v>
      </c>
      <c r="G95" s="422">
        <f>SD7a!G95+SD7b!G95++SD7e!G95</f>
        <v>0</v>
      </c>
      <c r="H95" s="425">
        <f>SD7a!H95+SD7b!H95++SD7e!H95</f>
        <v>0</v>
      </c>
      <c r="I95" s="424">
        <f>SD7a!I95+SD7b!I95++SD7e!I95</f>
        <v>0</v>
      </c>
      <c r="J95" s="422">
        <f>SD7a!J95+SD7b!J95++SD7e!J95</f>
        <v>0</v>
      </c>
      <c r="K95" s="425">
        <f>SD7a!K95+SD7b!K95++SD7e!K95</f>
        <v>0</v>
      </c>
    </row>
    <row r="96" spans="1:12" ht="13.15" customHeight="1" x14ac:dyDescent="0.25">
      <c r="A96" s="303" t="s">
        <v>924</v>
      </c>
      <c r="B96" s="302"/>
      <c r="C96" s="508">
        <f>SD7a!C96+SD7b!C96++SD7e!C96</f>
        <v>0</v>
      </c>
      <c r="D96" s="422">
        <f>SD7a!D96+SD7b!D96++SD7e!D96</f>
        <v>0</v>
      </c>
      <c r="E96" s="423">
        <f>SD7a!E96+SD7b!E96++SD7e!E96</f>
        <v>0</v>
      </c>
      <c r="F96" s="424">
        <f>SD7a!F96+SD7b!F96++SD7e!F96</f>
        <v>0</v>
      </c>
      <c r="G96" s="422">
        <f>SD7a!G96+SD7b!G96++SD7e!G96</f>
        <v>0</v>
      </c>
      <c r="H96" s="425">
        <f>SD7a!H96+SD7b!H96++SD7e!H96</f>
        <v>0</v>
      </c>
      <c r="I96" s="424">
        <f>SD7a!I96+SD7b!I96++SD7e!I96</f>
        <v>0</v>
      </c>
      <c r="J96" s="422">
        <f>SD7a!J96+SD7b!J96++SD7e!J96</f>
        <v>0</v>
      </c>
      <c r="K96" s="425">
        <f>SD7a!K96+SD7b!K96++SD7e!K96</f>
        <v>0</v>
      </c>
    </row>
    <row r="97" spans="1:11" ht="13.15" customHeight="1" x14ac:dyDescent="0.25">
      <c r="A97" s="303" t="s">
        <v>857</v>
      </c>
      <c r="B97" s="302"/>
      <c r="C97" s="508">
        <f>SD7a!C97+SD7b!C97++SD7e!C97</f>
        <v>0</v>
      </c>
      <c r="D97" s="422">
        <f>SD7a!D97+SD7b!D97++SD7e!D97</f>
        <v>0</v>
      </c>
      <c r="E97" s="423">
        <f>SD7a!E97+SD7b!E97++SD7e!E97</f>
        <v>0</v>
      </c>
      <c r="F97" s="424">
        <f>SD7a!F97+SD7b!F97++SD7e!F97</f>
        <v>0</v>
      </c>
      <c r="G97" s="422">
        <f>SD7a!G97+SD7b!G97++SD7e!G97</f>
        <v>0</v>
      </c>
      <c r="H97" s="425">
        <f>SD7a!H97+SD7b!H97++SD7e!H97</f>
        <v>0</v>
      </c>
      <c r="I97" s="424">
        <f>SD7a!I97+SD7b!I97++SD7e!I97</f>
        <v>0</v>
      </c>
      <c r="J97" s="422">
        <f>SD7a!J97+SD7b!J97++SD7e!J97</f>
        <v>0</v>
      </c>
      <c r="K97" s="425">
        <f>SD7a!K97+SD7b!K97++SD7e!K97</f>
        <v>0</v>
      </c>
    </row>
    <row r="98" spans="1:11" ht="13.15" customHeight="1" x14ac:dyDescent="0.25">
      <c r="A98" s="285" t="s">
        <v>925</v>
      </c>
      <c r="B98" s="302"/>
      <c r="C98" s="422">
        <f>SUM(C99:C101)</f>
        <v>0</v>
      </c>
      <c r="D98" s="422">
        <f t="shared" ref="D98:K98" si="12">SUM(D99:D101)</f>
        <v>0</v>
      </c>
      <c r="E98" s="422">
        <f t="shared" si="12"/>
        <v>0</v>
      </c>
      <c r="F98" s="424">
        <f t="shared" si="12"/>
        <v>821189</v>
      </c>
      <c r="G98" s="422">
        <f t="shared" si="12"/>
        <v>821189</v>
      </c>
      <c r="H98" s="425">
        <f t="shared" si="12"/>
        <v>821189</v>
      </c>
      <c r="I98" s="426">
        <f t="shared" si="12"/>
        <v>858963.69400000002</v>
      </c>
      <c r="J98" s="422">
        <f t="shared" si="12"/>
        <v>900193.95131200005</v>
      </c>
      <c r="K98" s="425">
        <f t="shared" si="12"/>
        <v>943403.260974976</v>
      </c>
    </row>
    <row r="99" spans="1:11" ht="13.15" customHeight="1" x14ac:dyDescent="0.25">
      <c r="A99" s="303" t="s">
        <v>926</v>
      </c>
      <c r="B99" s="302"/>
      <c r="C99" s="508">
        <f>SD7a!C99+SD7b!C99++SD7e!C99</f>
        <v>0</v>
      </c>
      <c r="D99" s="422">
        <f>SD7a!D99+SD7b!D99++SD7e!D99</f>
        <v>0</v>
      </c>
      <c r="E99" s="423">
        <f>SD7a!E99+SD7b!E99++SD7e!E99</f>
        <v>0</v>
      </c>
      <c r="F99" s="424">
        <f>SD7a!F99+SD7b!F99++SD7e!F99</f>
        <v>0</v>
      </c>
      <c r="G99" s="422">
        <f>SD7a!G99+SD7b!G99++SD7e!G99</f>
        <v>0</v>
      </c>
      <c r="H99" s="425">
        <f>SD7a!H99+SD7b!H99++SD7e!H99</f>
        <v>0</v>
      </c>
      <c r="I99" s="424">
        <f>SD7a!I99+SD7b!I99++SD7e!I99</f>
        <v>0</v>
      </c>
      <c r="J99" s="422">
        <f>SD7a!J99+SD7b!J99++SD7e!J99</f>
        <v>0</v>
      </c>
      <c r="K99" s="425">
        <f>SD7a!K99+SD7b!K99++SD7e!K99</f>
        <v>0</v>
      </c>
    </row>
    <row r="100" spans="1:11" ht="13.15" customHeight="1" x14ac:dyDescent="0.25">
      <c r="A100" s="303" t="s">
        <v>927</v>
      </c>
      <c r="B100" s="302"/>
      <c r="C100" s="508">
        <f>SD7a!C100+SD7b!C100++SD7e!C100</f>
        <v>0</v>
      </c>
      <c r="D100" s="422">
        <f>SD7a!D100+SD7b!D100++SD7e!D100</f>
        <v>0</v>
      </c>
      <c r="E100" s="423">
        <f>SD7a!E100+SD7b!E100++SD7e!E100</f>
        <v>0</v>
      </c>
      <c r="F100" s="424">
        <f>SD7a!F100+SD7b!F100++SD7e!F100</f>
        <v>821189</v>
      </c>
      <c r="G100" s="422">
        <f>SD7a!G100+SD7b!G100++SD7e!G100</f>
        <v>821189</v>
      </c>
      <c r="H100" s="425">
        <f>SD7a!H100+SD7b!H100++SD7e!H100</f>
        <v>821189</v>
      </c>
      <c r="I100" s="424">
        <f>SD7a!I100+SD7b!I100++SD7e!I100</f>
        <v>858963.69400000002</v>
      </c>
      <c r="J100" s="422">
        <f>SD7a!J100+SD7b!J100++SD7e!J100</f>
        <v>900193.95131200005</v>
      </c>
      <c r="K100" s="425">
        <f>SD7a!K100+SD7b!K100++SD7e!K100</f>
        <v>943403.260974976</v>
      </c>
    </row>
    <row r="101" spans="1:11" ht="13.15" customHeight="1" x14ac:dyDescent="0.25">
      <c r="A101" s="303" t="s">
        <v>857</v>
      </c>
      <c r="B101" s="302"/>
      <c r="C101" s="508">
        <f>SD7a!C101+SD7b!C101++SD7e!C101</f>
        <v>0</v>
      </c>
      <c r="D101" s="422">
        <f>SD7a!D101+SD7b!D101++SD7e!D101</f>
        <v>0</v>
      </c>
      <c r="E101" s="423">
        <f>SD7a!E101+SD7b!E101++SD7e!E101</f>
        <v>0</v>
      </c>
      <c r="F101" s="424">
        <f>SD7a!F101+SD7b!F101++SD7e!F101</f>
        <v>0</v>
      </c>
      <c r="G101" s="422">
        <f>SD7a!G101+SD7b!G101++SD7e!G101</f>
        <v>0</v>
      </c>
      <c r="H101" s="425">
        <f>SD7a!H101+SD7b!H101++SD7e!H101</f>
        <v>0</v>
      </c>
      <c r="I101" s="424">
        <f>SD7a!I101+SD7b!I101++SD7e!I101</f>
        <v>0</v>
      </c>
      <c r="J101" s="422">
        <f>SD7a!J101+SD7b!J101++SD7e!J101</f>
        <v>0</v>
      </c>
      <c r="K101" s="425">
        <f>SD7a!K101+SD7b!K101++SD7e!K101</f>
        <v>0</v>
      </c>
    </row>
    <row r="102" spans="1:11" ht="5.0999999999999996" customHeight="1" x14ac:dyDescent="0.25">
      <c r="A102" s="305"/>
      <c r="B102" s="302"/>
      <c r="C102" s="25"/>
      <c r="D102" s="25"/>
      <c r="E102" s="306"/>
      <c r="F102" s="307"/>
      <c r="G102" s="25"/>
      <c r="H102" s="24"/>
      <c r="I102" s="307"/>
      <c r="J102" s="25"/>
      <c r="K102" s="306"/>
    </row>
    <row r="103" spans="1:11" ht="13.15" customHeight="1" x14ac:dyDescent="0.25">
      <c r="A103" s="301" t="s">
        <v>185</v>
      </c>
      <c r="B103" s="302"/>
      <c r="C103" s="461">
        <f>SUM(C104:C108)</f>
        <v>0</v>
      </c>
      <c r="D103" s="461">
        <f t="shared" ref="D103:K103" si="13">SUM(D104:D108)</f>
        <v>0</v>
      </c>
      <c r="E103" s="513">
        <f t="shared" si="13"/>
        <v>0</v>
      </c>
      <c r="F103" s="514">
        <f t="shared" si="13"/>
        <v>0</v>
      </c>
      <c r="G103" s="461">
        <f t="shared" si="13"/>
        <v>0</v>
      </c>
      <c r="H103" s="515">
        <f t="shared" si="13"/>
        <v>0</v>
      </c>
      <c r="I103" s="514">
        <f t="shared" si="13"/>
        <v>0</v>
      </c>
      <c r="J103" s="461">
        <f t="shared" si="13"/>
        <v>0</v>
      </c>
      <c r="K103" s="513">
        <f t="shared" si="13"/>
        <v>0</v>
      </c>
    </row>
    <row r="104" spans="1:11" ht="13.15" customHeight="1" x14ac:dyDescent="0.25">
      <c r="A104" s="285" t="s">
        <v>928</v>
      </c>
      <c r="B104" s="302"/>
      <c r="C104" s="508">
        <f>SD7a!C104+SD7b!C104++SD7e!C104</f>
        <v>0</v>
      </c>
      <c r="D104" s="422">
        <f>SD7a!D104+SD7b!D104++SD7e!D104</f>
        <v>0</v>
      </c>
      <c r="E104" s="423">
        <f>SD7a!E104+SD7b!E104++SD7e!E104</f>
        <v>0</v>
      </c>
      <c r="F104" s="424">
        <f>SD7a!F104+SD7b!F104++SD7e!F104</f>
        <v>0</v>
      </c>
      <c r="G104" s="422">
        <f>SD7a!G104+SD7b!G104++SD7e!G104</f>
        <v>0</v>
      </c>
      <c r="H104" s="425">
        <f>SD7a!H104+SD7b!H104++SD7e!H104</f>
        <v>0</v>
      </c>
      <c r="I104" s="424">
        <f>SD7a!I104+SD7b!I104++SD7e!I104</f>
        <v>0</v>
      </c>
      <c r="J104" s="422">
        <f>SD7a!J104+SD7b!J104++SD7e!J104</f>
        <v>0</v>
      </c>
      <c r="K104" s="425">
        <f>SD7a!K104+SD7b!K104++SD7e!K104</f>
        <v>0</v>
      </c>
    </row>
    <row r="105" spans="1:11" ht="13.15" customHeight="1" x14ac:dyDescent="0.25">
      <c r="A105" s="284" t="s">
        <v>929</v>
      </c>
      <c r="B105" s="302"/>
      <c r="C105" s="508">
        <f>SD7a!C105+SD7b!C105++SD7e!C105</f>
        <v>0</v>
      </c>
      <c r="D105" s="422">
        <f>SD7a!D105+SD7b!D105++SD7e!D105</f>
        <v>0</v>
      </c>
      <c r="E105" s="423">
        <f>SD7a!E105+SD7b!E105++SD7e!E105</f>
        <v>0</v>
      </c>
      <c r="F105" s="424">
        <f>SD7a!F105+SD7b!F105++SD7e!F105</f>
        <v>0</v>
      </c>
      <c r="G105" s="422">
        <f>SD7a!G105+SD7b!G105++SD7e!G105</f>
        <v>0</v>
      </c>
      <c r="H105" s="425">
        <f>SD7a!H105+SD7b!H105++SD7e!H105</f>
        <v>0</v>
      </c>
      <c r="I105" s="424">
        <f>SD7a!I105+SD7b!I105++SD7e!I105</f>
        <v>0</v>
      </c>
      <c r="J105" s="422">
        <f>SD7a!J105+SD7b!J105++SD7e!J105</f>
        <v>0</v>
      </c>
      <c r="K105" s="425">
        <f>SD7a!K105+SD7b!K105++SD7e!K105</f>
        <v>0</v>
      </c>
    </row>
    <row r="106" spans="1:11" ht="13.15" customHeight="1" x14ac:dyDescent="0.25">
      <c r="A106" s="285" t="s">
        <v>930</v>
      </c>
      <c r="B106" s="302"/>
      <c r="C106" s="508">
        <f>SD7a!C106+SD7b!C106++SD7e!C106</f>
        <v>0</v>
      </c>
      <c r="D106" s="422">
        <f>SD7a!D106+SD7b!D106++SD7e!D106</f>
        <v>0</v>
      </c>
      <c r="E106" s="423">
        <f>SD7a!E106+SD7b!E106++SD7e!E106</f>
        <v>0</v>
      </c>
      <c r="F106" s="424">
        <f>SD7a!F106+SD7b!F106++SD7e!F106</f>
        <v>0</v>
      </c>
      <c r="G106" s="422">
        <f>SD7a!G106+SD7b!G106++SD7e!G106</f>
        <v>0</v>
      </c>
      <c r="H106" s="425">
        <f>SD7a!H106+SD7b!H106++SD7e!H106</f>
        <v>0</v>
      </c>
      <c r="I106" s="424">
        <f>SD7a!I106+SD7b!I106++SD7e!I106</f>
        <v>0</v>
      </c>
      <c r="J106" s="422">
        <f>SD7a!J106+SD7b!J106++SD7e!J106</f>
        <v>0</v>
      </c>
      <c r="K106" s="425">
        <f>SD7a!K106+SD7b!K106++SD7e!K106</f>
        <v>0</v>
      </c>
    </row>
    <row r="107" spans="1:11" ht="13.15" customHeight="1" x14ac:dyDescent="0.25">
      <c r="A107" s="285" t="s">
        <v>931</v>
      </c>
      <c r="B107" s="302"/>
      <c r="C107" s="508">
        <f>SD7a!C107+SD7b!C107++SD7e!C107</f>
        <v>0</v>
      </c>
      <c r="D107" s="422">
        <f>SD7a!D107+SD7b!D107++SD7e!D107</f>
        <v>0</v>
      </c>
      <c r="E107" s="423">
        <f>SD7a!E107+SD7b!E107++SD7e!E107</f>
        <v>0</v>
      </c>
      <c r="F107" s="424">
        <f>SD7a!F107+SD7b!F107++SD7e!F107</f>
        <v>0</v>
      </c>
      <c r="G107" s="422">
        <f>SD7a!G107+SD7b!G107++SD7e!G107</f>
        <v>0</v>
      </c>
      <c r="H107" s="425">
        <f>SD7a!H107+SD7b!H107++SD7e!H107</f>
        <v>0</v>
      </c>
      <c r="I107" s="424">
        <f>SD7a!I107+SD7b!I107++SD7e!I107</f>
        <v>0</v>
      </c>
      <c r="J107" s="422">
        <f>SD7a!J107+SD7b!J107++SD7e!J107</f>
        <v>0</v>
      </c>
      <c r="K107" s="425">
        <f>SD7a!K107+SD7b!K107++SD7e!K107</f>
        <v>0</v>
      </c>
    </row>
    <row r="108" spans="1:11" ht="13.15" customHeight="1" x14ac:dyDescent="0.25">
      <c r="A108" s="284" t="s">
        <v>932</v>
      </c>
      <c r="B108" s="302"/>
      <c r="C108" s="508">
        <f>SD7a!C108+SD7b!C108++SD7e!C108</f>
        <v>0</v>
      </c>
      <c r="D108" s="422">
        <f>SD7a!D108+SD7b!D108++SD7e!D108</f>
        <v>0</v>
      </c>
      <c r="E108" s="423">
        <f>SD7a!E108+SD7b!E108++SD7e!E108</f>
        <v>0</v>
      </c>
      <c r="F108" s="424">
        <f>SD7a!F108+SD7b!F108++SD7e!F108</f>
        <v>0</v>
      </c>
      <c r="G108" s="422">
        <f>SD7a!G108+SD7b!G108++SD7e!G108</f>
        <v>0</v>
      </c>
      <c r="H108" s="425">
        <f>SD7a!H108+SD7b!H108++SD7e!H108</f>
        <v>0</v>
      </c>
      <c r="I108" s="424">
        <f>SD7a!I108+SD7b!I108++SD7e!I108</f>
        <v>0</v>
      </c>
      <c r="J108" s="422">
        <f>SD7a!J108+SD7b!J108++SD7e!J108</f>
        <v>0</v>
      </c>
      <c r="K108" s="425">
        <f>SD7a!K108+SD7b!K108++SD7e!K108</f>
        <v>0</v>
      </c>
    </row>
    <row r="109" spans="1:11" ht="5.0999999999999996" customHeight="1" x14ac:dyDescent="0.25">
      <c r="A109" s="493"/>
      <c r="B109" s="302"/>
      <c r="C109" s="25"/>
      <c r="D109" s="25"/>
      <c r="E109" s="306"/>
      <c r="F109" s="307"/>
      <c r="G109" s="25"/>
      <c r="H109" s="24"/>
      <c r="I109" s="307"/>
      <c r="J109" s="25"/>
      <c r="K109" s="306"/>
    </row>
    <row r="110" spans="1:11" ht="13.15" customHeight="1" x14ac:dyDescent="0.25">
      <c r="A110" s="494" t="s">
        <v>186</v>
      </c>
      <c r="B110" s="302"/>
      <c r="C110" s="28">
        <f>+C111+C114</f>
        <v>0</v>
      </c>
      <c r="D110" s="28">
        <f t="shared" ref="D110:K110" si="14">+D111+D114</f>
        <v>0</v>
      </c>
      <c r="E110" s="308">
        <f t="shared" si="14"/>
        <v>0</v>
      </c>
      <c r="F110" s="309">
        <f t="shared" si="14"/>
        <v>0</v>
      </c>
      <c r="G110" s="28">
        <f t="shared" si="14"/>
        <v>0</v>
      </c>
      <c r="H110" s="27">
        <f t="shared" si="14"/>
        <v>0</v>
      </c>
      <c r="I110" s="309">
        <f t="shared" si="14"/>
        <v>0</v>
      </c>
      <c r="J110" s="28">
        <f t="shared" si="14"/>
        <v>0</v>
      </c>
      <c r="K110" s="308">
        <f t="shared" si="14"/>
        <v>0</v>
      </c>
    </row>
    <row r="111" spans="1:11" ht="13.15" customHeight="1" x14ac:dyDescent="0.25">
      <c r="A111" s="285" t="s">
        <v>933</v>
      </c>
      <c r="B111" s="302"/>
      <c r="C111" s="417">
        <f t="shared" ref="C111:K111" si="15">SUM(C112:C113)</f>
        <v>0</v>
      </c>
      <c r="D111" s="417">
        <f t="shared" si="15"/>
        <v>0</v>
      </c>
      <c r="E111" s="417">
        <f t="shared" si="15"/>
        <v>0</v>
      </c>
      <c r="F111" s="419">
        <f t="shared" si="15"/>
        <v>0</v>
      </c>
      <c r="G111" s="417">
        <f t="shared" si="15"/>
        <v>0</v>
      </c>
      <c r="H111" s="420">
        <f t="shared" si="15"/>
        <v>0</v>
      </c>
      <c r="I111" s="421">
        <f t="shared" si="15"/>
        <v>0</v>
      </c>
      <c r="J111" s="417">
        <f t="shared" si="15"/>
        <v>0</v>
      </c>
      <c r="K111" s="420">
        <f t="shared" si="15"/>
        <v>0</v>
      </c>
    </row>
    <row r="112" spans="1:11" ht="13.15" customHeight="1" x14ac:dyDescent="0.25">
      <c r="A112" s="303" t="s">
        <v>934</v>
      </c>
      <c r="B112" s="302"/>
      <c r="C112" s="508">
        <f>SD7a!C112+SD7b!C112++SD7e!C112</f>
        <v>0</v>
      </c>
      <c r="D112" s="422">
        <f>SD7a!D112+SD7b!D112++SD7e!D112</f>
        <v>0</v>
      </c>
      <c r="E112" s="423">
        <f>SD7a!E112+SD7b!E112++SD7e!E112</f>
        <v>0</v>
      </c>
      <c r="F112" s="424">
        <f>SD7a!F112+SD7b!F112++SD7e!F112</f>
        <v>0</v>
      </c>
      <c r="G112" s="422">
        <f>SD7a!G112+SD7b!G112++SD7e!G112</f>
        <v>0</v>
      </c>
      <c r="H112" s="425">
        <f>SD7a!H112+SD7b!H112++SD7e!H112</f>
        <v>0</v>
      </c>
      <c r="I112" s="424">
        <f>SD7a!I112+SD7b!I112++SD7e!I112</f>
        <v>0</v>
      </c>
      <c r="J112" s="422">
        <f>SD7a!J112+SD7b!J112++SD7e!J112</f>
        <v>0</v>
      </c>
      <c r="K112" s="425">
        <f>SD7a!K112+SD7b!K112++SD7e!K112</f>
        <v>0</v>
      </c>
    </row>
    <row r="113" spans="1:11" ht="13.15" customHeight="1" x14ac:dyDescent="0.25">
      <c r="A113" s="303" t="s">
        <v>935</v>
      </c>
      <c r="B113" s="302"/>
      <c r="C113" s="508">
        <f>SD7a!C113+SD7b!C113++SD7e!C113</f>
        <v>0</v>
      </c>
      <c r="D113" s="422">
        <f>SD7a!D113+SD7b!D113++SD7e!D113</f>
        <v>0</v>
      </c>
      <c r="E113" s="423">
        <f>SD7a!E113+SD7b!E113++SD7e!E113</f>
        <v>0</v>
      </c>
      <c r="F113" s="424">
        <f>SD7a!F113+SD7b!F113++SD7e!F113</f>
        <v>0</v>
      </c>
      <c r="G113" s="422">
        <f>SD7a!G113+SD7b!G113++SD7e!G113</f>
        <v>0</v>
      </c>
      <c r="H113" s="425">
        <f>SD7a!H113+SD7b!H113++SD7e!H113</f>
        <v>0</v>
      </c>
      <c r="I113" s="424">
        <f>SD7a!I113+SD7b!I113++SD7e!I113</f>
        <v>0</v>
      </c>
      <c r="J113" s="422">
        <f>SD7a!J113+SD7b!J113++SD7e!J113</f>
        <v>0</v>
      </c>
      <c r="K113" s="425">
        <f>SD7a!K113+SD7b!K113++SD7e!K113</f>
        <v>0</v>
      </c>
    </row>
    <row r="114" spans="1:11" ht="13.15" customHeight="1" x14ac:dyDescent="0.25">
      <c r="A114" s="285" t="s">
        <v>936</v>
      </c>
      <c r="B114" s="302"/>
      <c r="C114" s="422">
        <f>SUM(C115:C116)</f>
        <v>0</v>
      </c>
      <c r="D114" s="422">
        <f t="shared" ref="D114:K114" si="16">SUM(D115:D116)</f>
        <v>0</v>
      </c>
      <c r="E114" s="422">
        <f t="shared" si="16"/>
        <v>0</v>
      </c>
      <c r="F114" s="424">
        <f t="shared" si="16"/>
        <v>0</v>
      </c>
      <c r="G114" s="422">
        <f t="shared" si="16"/>
        <v>0</v>
      </c>
      <c r="H114" s="425">
        <f t="shared" si="16"/>
        <v>0</v>
      </c>
      <c r="I114" s="426">
        <f t="shared" si="16"/>
        <v>0</v>
      </c>
      <c r="J114" s="422">
        <f t="shared" si="16"/>
        <v>0</v>
      </c>
      <c r="K114" s="425">
        <f t="shared" si="16"/>
        <v>0</v>
      </c>
    </row>
    <row r="115" spans="1:11" ht="13.15" customHeight="1" x14ac:dyDescent="0.25">
      <c r="A115" s="303" t="s">
        <v>934</v>
      </c>
      <c r="B115" s="302"/>
      <c r="C115" s="508">
        <f>SD7a!C115+SD7b!C115++SD7e!C115</f>
        <v>0</v>
      </c>
      <c r="D115" s="422">
        <f>SD7a!D115+SD7b!D115++SD7e!D115</f>
        <v>0</v>
      </c>
      <c r="E115" s="423">
        <f>SD7a!E115+SD7b!E115++SD7e!E115</f>
        <v>0</v>
      </c>
      <c r="F115" s="424">
        <f>SD7a!F115+SD7b!F115++SD7e!F115</f>
        <v>0</v>
      </c>
      <c r="G115" s="422">
        <f>SD7a!G115+SD7b!G115++SD7e!G115</f>
        <v>0</v>
      </c>
      <c r="H115" s="425">
        <f>SD7a!H115+SD7b!H115++SD7e!H115</f>
        <v>0</v>
      </c>
      <c r="I115" s="424">
        <f>SD7a!I115+SD7b!I115++SD7e!I115</f>
        <v>0</v>
      </c>
      <c r="J115" s="422">
        <f>SD7a!J115+SD7b!J115++SD7e!J115</f>
        <v>0</v>
      </c>
      <c r="K115" s="425">
        <f>SD7a!K115+SD7b!K115++SD7e!K115</f>
        <v>0</v>
      </c>
    </row>
    <row r="116" spans="1:11" ht="13.15" customHeight="1" x14ac:dyDescent="0.25">
      <c r="A116" s="303" t="s">
        <v>935</v>
      </c>
      <c r="B116" s="302"/>
      <c r="C116" s="508">
        <f>SD7a!C116+SD7b!C116++SD7e!C116</f>
        <v>0</v>
      </c>
      <c r="D116" s="422">
        <f>SD7a!D116+SD7b!D116++SD7e!D116</f>
        <v>0</v>
      </c>
      <c r="E116" s="423">
        <f>SD7a!E116+SD7b!E116++SD7e!E116</f>
        <v>0</v>
      </c>
      <c r="F116" s="424">
        <f>SD7a!F116+SD7b!F116++SD7e!F116</f>
        <v>0</v>
      </c>
      <c r="G116" s="422">
        <f>SD7a!G116+SD7b!G116++SD7e!G116</f>
        <v>0</v>
      </c>
      <c r="H116" s="425">
        <f>SD7a!H116+SD7b!H116++SD7e!H116</f>
        <v>0</v>
      </c>
      <c r="I116" s="424">
        <f>SD7a!I116+SD7b!I116++SD7e!I116</f>
        <v>0</v>
      </c>
      <c r="J116" s="422">
        <f>SD7a!J116+SD7b!J116++SD7e!J116</f>
        <v>0</v>
      </c>
      <c r="K116" s="425">
        <f>SD7a!K116+SD7b!K116++SD7e!K116</f>
        <v>0</v>
      </c>
    </row>
    <row r="117" spans="1:11" ht="5.0999999999999996" customHeight="1" x14ac:dyDescent="0.25">
      <c r="A117" s="493"/>
      <c r="B117" s="302"/>
      <c r="C117" s="25"/>
      <c r="D117" s="25"/>
      <c r="E117" s="306"/>
      <c r="F117" s="307"/>
      <c r="G117" s="25"/>
      <c r="H117" s="24"/>
      <c r="I117" s="307"/>
      <c r="J117" s="25"/>
      <c r="K117" s="306"/>
    </row>
    <row r="118" spans="1:11" ht="13.15" customHeight="1" x14ac:dyDescent="0.25">
      <c r="A118" s="494" t="s">
        <v>187</v>
      </c>
      <c r="B118" s="302"/>
      <c r="C118" s="28">
        <f>+C119+C131</f>
        <v>4085858.99</v>
      </c>
      <c r="D118" s="28">
        <f t="shared" ref="D118:K118" si="17">+D119+D131</f>
        <v>5264505.63</v>
      </c>
      <c r="E118" s="308">
        <f t="shared" si="17"/>
        <v>20651810.98</v>
      </c>
      <c r="F118" s="309">
        <f t="shared" si="17"/>
        <v>0</v>
      </c>
      <c r="G118" s="28">
        <f t="shared" si="17"/>
        <v>0</v>
      </c>
      <c r="H118" s="27">
        <f t="shared" si="17"/>
        <v>0</v>
      </c>
      <c r="I118" s="309">
        <f t="shared" si="17"/>
        <v>0</v>
      </c>
      <c r="J118" s="28">
        <f t="shared" si="17"/>
        <v>0</v>
      </c>
      <c r="K118" s="308">
        <f t="shared" si="17"/>
        <v>0</v>
      </c>
    </row>
    <row r="119" spans="1:11" ht="13.15" customHeight="1" x14ac:dyDescent="0.25">
      <c r="A119" s="285" t="s">
        <v>937</v>
      </c>
      <c r="B119" s="302"/>
      <c r="C119" s="417">
        <f>SUM(C120:C130)</f>
        <v>4085858.99</v>
      </c>
      <c r="D119" s="417">
        <f t="shared" ref="D119:K119" si="18">SUM(D120:D130)</f>
        <v>5264505.63</v>
      </c>
      <c r="E119" s="417">
        <f t="shared" si="18"/>
        <v>20651810.98</v>
      </c>
      <c r="F119" s="419">
        <f t="shared" si="18"/>
        <v>0</v>
      </c>
      <c r="G119" s="417">
        <f t="shared" si="18"/>
        <v>0</v>
      </c>
      <c r="H119" s="420">
        <f t="shared" si="18"/>
        <v>0</v>
      </c>
      <c r="I119" s="421">
        <f t="shared" si="18"/>
        <v>0</v>
      </c>
      <c r="J119" s="417">
        <f t="shared" si="18"/>
        <v>0</v>
      </c>
      <c r="K119" s="420">
        <f t="shared" si="18"/>
        <v>0</v>
      </c>
    </row>
    <row r="120" spans="1:11" ht="13.15" customHeight="1" x14ac:dyDescent="0.25">
      <c r="A120" s="303" t="s">
        <v>938</v>
      </c>
      <c r="B120" s="302"/>
      <c r="C120" s="508">
        <f>SD7a!C120+SD7b!C120++SD7e!C120</f>
        <v>3814681.47</v>
      </c>
      <c r="D120" s="422">
        <f>SD7a!D120+SD7b!D120++SD7e!D120</f>
        <v>4627982.5</v>
      </c>
      <c r="E120" s="423">
        <f>SD7a!E120+SD7b!E120++SD7e!E120</f>
        <v>20651810.98</v>
      </c>
      <c r="F120" s="424">
        <f>SD7a!F120+SD7b!F120++SD7e!F120</f>
        <v>0</v>
      </c>
      <c r="G120" s="422">
        <f>SD7a!G120+SD7b!G120++SD7e!G120</f>
        <v>0</v>
      </c>
      <c r="H120" s="425">
        <f>SD7a!H120+SD7b!H120++SD7e!H120</f>
        <v>0</v>
      </c>
      <c r="I120" s="424">
        <f>SD7a!I120+SD7b!I120++SD7e!I120</f>
        <v>0</v>
      </c>
      <c r="J120" s="422">
        <f>SD7a!J120+SD7b!J120++SD7e!J120</f>
        <v>0</v>
      </c>
      <c r="K120" s="425">
        <f>SD7a!K120+SD7b!K120++SD7e!K120</f>
        <v>0</v>
      </c>
    </row>
    <row r="121" spans="1:11" ht="13.15" customHeight="1" x14ac:dyDescent="0.25">
      <c r="A121" s="303" t="s">
        <v>939</v>
      </c>
      <c r="B121" s="302"/>
      <c r="C121" s="508">
        <f>SD7a!C121+SD7b!C121++SD7e!C121</f>
        <v>0</v>
      </c>
      <c r="D121" s="422">
        <f>SD7a!D121+SD7b!D121++SD7e!D121</f>
        <v>0</v>
      </c>
      <c r="E121" s="423">
        <f>SD7a!E121+SD7b!E121++SD7e!E121</f>
        <v>0</v>
      </c>
      <c r="F121" s="424">
        <f>SD7a!F121+SD7b!F121++SD7e!F121</f>
        <v>0</v>
      </c>
      <c r="G121" s="422">
        <f>SD7a!G121+SD7b!G121++SD7e!G121</f>
        <v>0</v>
      </c>
      <c r="H121" s="425">
        <f>SD7a!H121+SD7b!H121++SD7e!H121</f>
        <v>0</v>
      </c>
      <c r="I121" s="424">
        <f>SD7a!I121+SD7b!I121++SD7e!I121</f>
        <v>0</v>
      </c>
      <c r="J121" s="422">
        <f>SD7a!J121+SD7b!J121++SD7e!J121</f>
        <v>0</v>
      </c>
      <c r="K121" s="425">
        <f>SD7a!K121+SD7b!K121++SD7e!K121</f>
        <v>0</v>
      </c>
    </row>
    <row r="122" spans="1:11" ht="13.15" customHeight="1" x14ac:dyDescent="0.25">
      <c r="A122" s="303" t="s">
        <v>940</v>
      </c>
      <c r="B122" s="302"/>
      <c r="C122" s="508">
        <f>SD7a!C122+SD7b!C122++SD7e!C122</f>
        <v>0</v>
      </c>
      <c r="D122" s="422">
        <f>SD7a!D122+SD7b!D122++SD7e!D122</f>
        <v>0</v>
      </c>
      <c r="E122" s="423">
        <f>SD7a!E122+SD7b!E122++SD7e!E122</f>
        <v>0</v>
      </c>
      <c r="F122" s="424">
        <f>SD7a!F122+SD7b!F122++SD7e!F122</f>
        <v>0</v>
      </c>
      <c r="G122" s="422">
        <f>SD7a!G122+SD7b!G122++SD7e!G122</f>
        <v>0</v>
      </c>
      <c r="H122" s="425">
        <f>SD7a!H122+SD7b!H122++SD7e!H122</f>
        <v>0</v>
      </c>
      <c r="I122" s="424">
        <f>SD7a!I122+SD7b!I122++SD7e!I122</f>
        <v>0</v>
      </c>
      <c r="J122" s="422">
        <f>SD7a!J122+SD7b!J122++SD7e!J122</f>
        <v>0</v>
      </c>
      <c r="K122" s="425">
        <f>SD7a!K122+SD7b!K122++SD7e!K122</f>
        <v>0</v>
      </c>
    </row>
    <row r="123" spans="1:11" ht="13.15" customHeight="1" x14ac:dyDescent="0.25">
      <c r="A123" s="303" t="s">
        <v>941</v>
      </c>
      <c r="B123" s="302"/>
      <c r="C123" s="508">
        <f>SD7a!C123+SD7b!C123++SD7e!C123</f>
        <v>0</v>
      </c>
      <c r="D123" s="422">
        <f>SD7a!D123+SD7b!D123++SD7e!D123</f>
        <v>0</v>
      </c>
      <c r="E123" s="423">
        <f>SD7a!E123+SD7b!E123++SD7e!E123</f>
        <v>0</v>
      </c>
      <c r="F123" s="424">
        <f>SD7a!F123+SD7b!F123++SD7e!F123</f>
        <v>0</v>
      </c>
      <c r="G123" s="422">
        <f>SD7a!G123+SD7b!G123++SD7e!G123</f>
        <v>0</v>
      </c>
      <c r="H123" s="425">
        <f>SD7a!H123+SD7b!H123++SD7e!H123</f>
        <v>0</v>
      </c>
      <c r="I123" s="424">
        <f>SD7a!I123+SD7b!I123++SD7e!I123</f>
        <v>0</v>
      </c>
      <c r="J123" s="422">
        <f>SD7a!J123+SD7b!J123++SD7e!J123</f>
        <v>0</v>
      </c>
      <c r="K123" s="425">
        <f>SD7a!K123+SD7b!K123++SD7e!K123</f>
        <v>0</v>
      </c>
    </row>
    <row r="124" spans="1:11" ht="13.15" customHeight="1" x14ac:dyDescent="0.25">
      <c r="A124" s="303" t="s">
        <v>942</v>
      </c>
      <c r="B124" s="302"/>
      <c r="C124" s="508">
        <f>SD7a!C124+SD7b!C124++SD7e!C124</f>
        <v>0</v>
      </c>
      <c r="D124" s="422">
        <f>SD7a!D124+SD7b!D124++SD7e!D124</f>
        <v>0</v>
      </c>
      <c r="E124" s="423">
        <f>SD7a!E124+SD7b!E124++SD7e!E124</f>
        <v>0</v>
      </c>
      <c r="F124" s="424">
        <f>SD7a!F124+SD7b!F124++SD7e!F124</f>
        <v>0</v>
      </c>
      <c r="G124" s="422">
        <f>SD7a!G124+SD7b!G124++SD7e!G124</f>
        <v>0</v>
      </c>
      <c r="H124" s="425">
        <f>SD7a!H124+SD7b!H124++SD7e!H124</f>
        <v>0</v>
      </c>
      <c r="I124" s="424">
        <f>SD7a!I124+SD7b!I124++SD7e!I124</f>
        <v>0</v>
      </c>
      <c r="J124" s="422">
        <f>SD7a!J124+SD7b!J124++SD7e!J124</f>
        <v>0</v>
      </c>
      <c r="K124" s="425">
        <f>SD7a!K124+SD7b!K124++SD7e!K124</f>
        <v>0</v>
      </c>
    </row>
    <row r="125" spans="1:11" ht="13.15" customHeight="1" x14ac:dyDescent="0.25">
      <c r="A125" s="303" t="s">
        <v>943</v>
      </c>
      <c r="B125" s="302"/>
      <c r="C125" s="508">
        <f>SD7a!C125+SD7b!C125++SD7e!C125</f>
        <v>0</v>
      </c>
      <c r="D125" s="422">
        <f>SD7a!D125+SD7b!D125++SD7e!D125</f>
        <v>0</v>
      </c>
      <c r="E125" s="423">
        <f>SD7a!E125+SD7b!E125++SD7e!E125</f>
        <v>0</v>
      </c>
      <c r="F125" s="424">
        <f>SD7a!F125+SD7b!F125++SD7e!F125</f>
        <v>0</v>
      </c>
      <c r="G125" s="422">
        <f>SD7a!G125+SD7b!G125++SD7e!G125</f>
        <v>0</v>
      </c>
      <c r="H125" s="425">
        <f>SD7a!H125+SD7b!H125++SD7e!H125</f>
        <v>0</v>
      </c>
      <c r="I125" s="424">
        <f>SD7a!I125+SD7b!I125++SD7e!I125</f>
        <v>0</v>
      </c>
      <c r="J125" s="422">
        <f>SD7a!J125+SD7b!J125++SD7e!J125</f>
        <v>0</v>
      </c>
      <c r="K125" s="425">
        <f>SD7a!K125+SD7b!K125++SD7e!K125</f>
        <v>0</v>
      </c>
    </row>
    <row r="126" spans="1:11" ht="13.15" customHeight="1" x14ac:dyDescent="0.25">
      <c r="A126" s="303" t="s">
        <v>944</v>
      </c>
      <c r="B126" s="302"/>
      <c r="C126" s="508">
        <f>SD7a!C126+SD7b!C126++SD7e!C126</f>
        <v>0</v>
      </c>
      <c r="D126" s="422">
        <f>SD7a!D126+SD7b!D126++SD7e!D126</f>
        <v>0</v>
      </c>
      <c r="E126" s="423">
        <f>SD7a!E126+SD7b!E126++SD7e!E126</f>
        <v>0</v>
      </c>
      <c r="F126" s="424">
        <f>SD7a!F126+SD7b!F126++SD7e!F126</f>
        <v>0</v>
      </c>
      <c r="G126" s="422">
        <f>SD7a!G126+SD7b!G126++SD7e!G126</f>
        <v>0</v>
      </c>
      <c r="H126" s="425">
        <f>SD7a!H126+SD7b!H126++SD7e!H126</f>
        <v>0</v>
      </c>
      <c r="I126" s="424">
        <f>SD7a!I126+SD7b!I126++SD7e!I126</f>
        <v>0</v>
      </c>
      <c r="J126" s="422">
        <f>SD7a!J126+SD7b!J126++SD7e!J126</f>
        <v>0</v>
      </c>
      <c r="K126" s="425">
        <f>SD7a!K126+SD7b!K126++SD7e!K126</f>
        <v>0</v>
      </c>
    </row>
    <row r="127" spans="1:11" ht="13.15" customHeight="1" x14ac:dyDescent="0.25">
      <c r="A127" s="303" t="s">
        <v>945</v>
      </c>
      <c r="B127" s="302"/>
      <c r="C127" s="508">
        <f>SD7a!C127+SD7b!C127++SD7e!C127</f>
        <v>271177.52</v>
      </c>
      <c r="D127" s="422">
        <f>SD7a!D127+SD7b!D127++SD7e!D127</f>
        <v>636523.13</v>
      </c>
      <c r="E127" s="423">
        <f>SD7a!E127+SD7b!E127++SD7e!E127</f>
        <v>0</v>
      </c>
      <c r="F127" s="424">
        <f>SD7a!F127+SD7b!F127++SD7e!F127</f>
        <v>0</v>
      </c>
      <c r="G127" s="422">
        <f>SD7a!G127+SD7b!G127++SD7e!G127</f>
        <v>0</v>
      </c>
      <c r="H127" s="425">
        <f>SD7a!H127+SD7b!H127++SD7e!H127</f>
        <v>0</v>
      </c>
      <c r="I127" s="424">
        <f>SD7a!I127+SD7b!I127++SD7e!I127</f>
        <v>0</v>
      </c>
      <c r="J127" s="422">
        <f>SD7a!J127+SD7b!J127++SD7e!J127</f>
        <v>0</v>
      </c>
      <c r="K127" s="425">
        <f>SD7a!K127+SD7b!K127++SD7e!K127</f>
        <v>0</v>
      </c>
    </row>
    <row r="128" spans="1:11" ht="13.15" customHeight="1" x14ac:dyDescent="0.25">
      <c r="A128" s="303" t="s">
        <v>946</v>
      </c>
      <c r="B128" s="302"/>
      <c r="C128" s="508">
        <f>SD7a!C128+SD7b!C128++SD7e!C128</f>
        <v>0</v>
      </c>
      <c r="D128" s="422">
        <f>SD7a!D128+SD7b!D128++SD7e!D128</f>
        <v>0</v>
      </c>
      <c r="E128" s="423">
        <f>SD7a!E128+SD7b!E128++SD7e!E128</f>
        <v>0</v>
      </c>
      <c r="F128" s="424">
        <f>SD7a!F128+SD7b!F128++SD7e!F128</f>
        <v>0</v>
      </c>
      <c r="G128" s="422">
        <f>SD7a!G128+SD7b!G128++SD7e!G128</f>
        <v>0</v>
      </c>
      <c r="H128" s="425">
        <f>SD7a!H128+SD7b!H128++SD7e!H128</f>
        <v>0</v>
      </c>
      <c r="I128" s="424">
        <f>SD7a!I128+SD7b!I128++SD7e!I128</f>
        <v>0</v>
      </c>
      <c r="J128" s="422">
        <f>SD7a!J128+SD7b!J128++SD7e!J128</f>
        <v>0</v>
      </c>
      <c r="K128" s="425">
        <f>SD7a!K128+SD7b!K128++SD7e!K128</f>
        <v>0</v>
      </c>
    </row>
    <row r="129" spans="1:11" ht="13.15" customHeight="1" x14ac:dyDescent="0.25">
      <c r="A129" s="303" t="s">
        <v>947</v>
      </c>
      <c r="B129" s="302"/>
      <c r="C129" s="508">
        <f>SD7a!C129+SD7b!C129++SD7e!C129</f>
        <v>0</v>
      </c>
      <c r="D129" s="422">
        <f>SD7a!D129+SD7b!D129++SD7e!D129</f>
        <v>0</v>
      </c>
      <c r="E129" s="423">
        <f>SD7a!E129+SD7b!E129++SD7e!E129</f>
        <v>0</v>
      </c>
      <c r="F129" s="424">
        <f>SD7a!F129+SD7b!F129++SD7e!F129</f>
        <v>0</v>
      </c>
      <c r="G129" s="422">
        <f>SD7a!G129+SD7b!G129++SD7e!G129</f>
        <v>0</v>
      </c>
      <c r="H129" s="425">
        <f>SD7a!H129+SD7b!H129++SD7e!H129</f>
        <v>0</v>
      </c>
      <c r="I129" s="424">
        <f>SD7a!I129+SD7b!I129++SD7e!I129</f>
        <v>0</v>
      </c>
      <c r="J129" s="422">
        <f>SD7a!J129+SD7b!J129++SD7e!J129</f>
        <v>0</v>
      </c>
      <c r="K129" s="425">
        <f>SD7a!K129+SD7b!K129++SD7e!K129</f>
        <v>0</v>
      </c>
    </row>
    <row r="130" spans="1:11" ht="13.15" customHeight="1" x14ac:dyDescent="0.25">
      <c r="A130" s="303" t="s">
        <v>857</v>
      </c>
      <c r="B130" s="302"/>
      <c r="C130" s="508">
        <f>SD7a!C130+SD7b!C130++SD7e!C130</f>
        <v>0</v>
      </c>
      <c r="D130" s="422">
        <f>SD7a!D130+SD7b!D130++SD7e!D130</f>
        <v>0</v>
      </c>
      <c r="E130" s="423">
        <f>SD7a!E130+SD7b!E130++SD7e!E130</f>
        <v>0</v>
      </c>
      <c r="F130" s="424">
        <f>SD7a!F130+SD7b!F130++SD7e!F130</f>
        <v>0</v>
      </c>
      <c r="G130" s="422">
        <f>SD7a!G130+SD7b!G130++SD7e!G130</f>
        <v>0</v>
      </c>
      <c r="H130" s="425">
        <f>SD7a!H130+SD7b!H130++SD7e!H130</f>
        <v>0</v>
      </c>
      <c r="I130" s="424">
        <f>SD7a!I130+SD7b!I130++SD7e!I130</f>
        <v>0</v>
      </c>
      <c r="J130" s="422">
        <f>SD7a!J130+SD7b!J130++SD7e!J130</f>
        <v>0</v>
      </c>
      <c r="K130" s="425">
        <f>SD7a!K130+SD7b!K130++SD7e!K130</f>
        <v>0</v>
      </c>
    </row>
    <row r="131" spans="1:11" ht="13.15" customHeight="1" x14ac:dyDescent="0.25">
      <c r="A131" s="285" t="s">
        <v>948</v>
      </c>
      <c r="B131" s="302"/>
      <c r="C131" s="422">
        <f>SUM(C132:C134)</f>
        <v>0</v>
      </c>
      <c r="D131" s="422">
        <f t="shared" ref="D131:K131" si="19">SUM(D132:D134)</f>
        <v>0</v>
      </c>
      <c r="E131" s="422">
        <f t="shared" si="19"/>
        <v>0</v>
      </c>
      <c r="F131" s="424">
        <f t="shared" si="19"/>
        <v>0</v>
      </c>
      <c r="G131" s="422">
        <f t="shared" si="19"/>
        <v>0</v>
      </c>
      <c r="H131" s="425">
        <f t="shared" si="19"/>
        <v>0</v>
      </c>
      <c r="I131" s="426">
        <f t="shared" si="19"/>
        <v>0</v>
      </c>
      <c r="J131" s="422">
        <f t="shared" si="19"/>
        <v>0</v>
      </c>
      <c r="K131" s="425">
        <f t="shared" si="19"/>
        <v>0</v>
      </c>
    </row>
    <row r="132" spans="1:11" ht="13.15" customHeight="1" x14ac:dyDescent="0.25">
      <c r="A132" s="303" t="s">
        <v>949</v>
      </c>
      <c r="B132" s="302"/>
      <c r="C132" s="508">
        <f>SD7a!C132+SD7b!C132++SD7e!C132</f>
        <v>0</v>
      </c>
      <c r="D132" s="422">
        <f>SD7a!D132+SD7b!D132++SD7e!D132</f>
        <v>0</v>
      </c>
      <c r="E132" s="423">
        <f>SD7a!E132+SD7b!E132++SD7e!E132</f>
        <v>0</v>
      </c>
      <c r="F132" s="424">
        <f>SD7a!F132+SD7b!F132++SD7e!F132</f>
        <v>0</v>
      </c>
      <c r="G132" s="422">
        <f>SD7a!G132+SD7b!G132++SD7e!G132</f>
        <v>0</v>
      </c>
      <c r="H132" s="425">
        <f>SD7a!H132+SD7b!H132++SD7e!H132</f>
        <v>0</v>
      </c>
      <c r="I132" s="424">
        <f>SD7a!I132+SD7b!I132++SD7e!I132</f>
        <v>0</v>
      </c>
      <c r="J132" s="422">
        <f>SD7a!J132+SD7b!J132++SD7e!J132</f>
        <v>0</v>
      </c>
      <c r="K132" s="425">
        <f>SD7a!K132+SD7b!K132++SD7e!K132</f>
        <v>0</v>
      </c>
    </row>
    <row r="133" spans="1:11" ht="13.15" customHeight="1" x14ac:dyDescent="0.25">
      <c r="A133" s="303" t="s">
        <v>950</v>
      </c>
      <c r="B133" s="302"/>
      <c r="C133" s="508">
        <f>SD7a!C133+SD7b!C133++SD7e!C133</f>
        <v>0</v>
      </c>
      <c r="D133" s="422">
        <f>SD7a!D133+SD7b!D133++SD7e!D133</f>
        <v>0</v>
      </c>
      <c r="E133" s="423">
        <f>SD7a!E133+SD7b!E133++SD7e!E133</f>
        <v>0</v>
      </c>
      <c r="F133" s="424">
        <f>SD7a!F133+SD7b!F133++SD7e!F133</f>
        <v>0</v>
      </c>
      <c r="G133" s="422">
        <f>SD7a!G133+SD7b!G133++SD7e!G133</f>
        <v>0</v>
      </c>
      <c r="H133" s="425">
        <f>SD7a!H133+SD7b!H133++SD7e!H133</f>
        <v>0</v>
      </c>
      <c r="I133" s="424">
        <f>SD7a!I133+SD7b!I133++SD7e!I133</f>
        <v>0</v>
      </c>
      <c r="J133" s="422">
        <f>SD7a!J133+SD7b!J133++SD7e!J133</f>
        <v>0</v>
      </c>
      <c r="K133" s="425">
        <f>SD7a!K133+SD7b!K133++SD7e!K133</f>
        <v>0</v>
      </c>
    </row>
    <row r="134" spans="1:11" ht="13.15" customHeight="1" x14ac:dyDescent="0.25">
      <c r="A134" s="303" t="s">
        <v>857</v>
      </c>
      <c r="B134" s="302"/>
      <c r="C134" s="508">
        <f>SD7a!C134+SD7b!C134++SD7e!C134</f>
        <v>0</v>
      </c>
      <c r="D134" s="422">
        <f>SD7a!D134+SD7b!D134++SD7e!D134</f>
        <v>0</v>
      </c>
      <c r="E134" s="423">
        <f>SD7a!E134+SD7b!E134++SD7e!E134</f>
        <v>0</v>
      </c>
      <c r="F134" s="424">
        <f>SD7a!F134+SD7b!F134++SD7e!F134</f>
        <v>0</v>
      </c>
      <c r="G134" s="422">
        <f>SD7a!G134+SD7b!G134++SD7e!G134</f>
        <v>0</v>
      </c>
      <c r="H134" s="425">
        <f>SD7a!H134+SD7b!H134++SD7e!H134</f>
        <v>0</v>
      </c>
      <c r="I134" s="424">
        <f>SD7a!I134+SD7b!I134++SD7e!I134</f>
        <v>0</v>
      </c>
      <c r="J134" s="422">
        <f>SD7a!J134+SD7b!J134++SD7e!J134</f>
        <v>0</v>
      </c>
      <c r="K134" s="425">
        <f>SD7a!K134+SD7b!K134++SD7e!K134</f>
        <v>0</v>
      </c>
    </row>
    <row r="135" spans="1:11" ht="5.0999999999999996" customHeight="1" x14ac:dyDescent="0.25">
      <c r="A135" s="310"/>
      <c r="B135" s="302"/>
      <c r="C135" s="25"/>
      <c r="D135" s="25"/>
      <c r="E135" s="306"/>
      <c r="F135" s="307"/>
      <c r="G135" s="25"/>
      <c r="H135" s="24"/>
      <c r="I135" s="307"/>
      <c r="J135" s="25"/>
      <c r="K135" s="306"/>
    </row>
    <row r="136" spans="1:11" ht="13.15" customHeight="1" x14ac:dyDescent="0.25">
      <c r="A136" s="301" t="s">
        <v>951</v>
      </c>
      <c r="B136" s="302"/>
      <c r="C136" s="461">
        <f t="shared" ref="C136:K136" si="20">SUM(C137:C137)</f>
        <v>0</v>
      </c>
      <c r="D136" s="461">
        <f t="shared" si="20"/>
        <v>0</v>
      </c>
      <c r="E136" s="513">
        <f t="shared" si="20"/>
        <v>0</v>
      </c>
      <c r="F136" s="514">
        <f t="shared" si="20"/>
        <v>0</v>
      </c>
      <c r="G136" s="461">
        <f t="shared" si="20"/>
        <v>0</v>
      </c>
      <c r="H136" s="515">
        <f t="shared" si="20"/>
        <v>0</v>
      </c>
      <c r="I136" s="514">
        <f t="shared" si="20"/>
        <v>0</v>
      </c>
      <c r="J136" s="461">
        <f t="shared" si="20"/>
        <v>0</v>
      </c>
      <c r="K136" s="513">
        <f t="shared" si="20"/>
        <v>0</v>
      </c>
    </row>
    <row r="137" spans="1:11" ht="13.15" customHeight="1" x14ac:dyDescent="0.25">
      <c r="A137" s="285" t="s">
        <v>951</v>
      </c>
      <c r="B137" s="302"/>
      <c r="C137" s="508">
        <f>SD7a!C137+SD7b!C137++SD7e!C137</f>
        <v>0</v>
      </c>
      <c r="D137" s="422">
        <f>SD7a!D137+SD7b!D137++SD7e!D137</f>
        <v>0</v>
      </c>
      <c r="E137" s="423">
        <f>SD7a!E137+SD7b!E137++SD7e!E137</f>
        <v>0</v>
      </c>
      <c r="F137" s="424">
        <f>SD7a!F137+SD7b!F137++SD7e!F137</f>
        <v>0</v>
      </c>
      <c r="G137" s="422">
        <f>SD7a!G137+SD7b!G137++SD7e!G137</f>
        <v>0</v>
      </c>
      <c r="H137" s="425">
        <f>SD7a!H137+SD7b!H137++SD7e!H137</f>
        <v>0</v>
      </c>
      <c r="I137" s="424">
        <f>SD7a!I137+SD7b!I137++SD7e!I137</f>
        <v>0</v>
      </c>
      <c r="J137" s="422">
        <f>SD7a!J137+SD7b!J137++SD7e!J137</f>
        <v>0</v>
      </c>
      <c r="K137" s="425">
        <f>SD7a!K137+SD7b!K137++SD7e!K137</f>
        <v>0</v>
      </c>
    </row>
    <row r="138" spans="1:11" ht="5.0999999999999996" customHeight="1" x14ac:dyDescent="0.25">
      <c r="A138" s="305"/>
      <c r="B138" s="302"/>
      <c r="C138" s="25"/>
      <c r="D138" s="25"/>
      <c r="E138" s="306"/>
      <c r="F138" s="307"/>
      <c r="G138" s="25"/>
      <c r="H138" s="24"/>
      <c r="I138" s="307"/>
      <c r="J138" s="25"/>
      <c r="K138" s="306"/>
    </row>
    <row r="139" spans="1:11" ht="13.15" customHeight="1" x14ac:dyDescent="0.25">
      <c r="A139" s="301" t="s">
        <v>952</v>
      </c>
      <c r="B139" s="302"/>
      <c r="C139" s="461">
        <f>+C140+C141</f>
        <v>0</v>
      </c>
      <c r="D139" s="461">
        <f t="shared" ref="D139:K139" si="21">+D140+D141</f>
        <v>0</v>
      </c>
      <c r="E139" s="513">
        <f t="shared" si="21"/>
        <v>7098773.0700000003</v>
      </c>
      <c r="F139" s="514">
        <f t="shared" si="21"/>
        <v>0</v>
      </c>
      <c r="G139" s="461">
        <f t="shared" si="21"/>
        <v>0</v>
      </c>
      <c r="H139" s="515">
        <f t="shared" si="21"/>
        <v>0</v>
      </c>
      <c r="I139" s="514">
        <f t="shared" si="21"/>
        <v>0</v>
      </c>
      <c r="J139" s="461">
        <f t="shared" si="21"/>
        <v>0</v>
      </c>
      <c r="K139" s="513">
        <f t="shared" si="21"/>
        <v>0</v>
      </c>
    </row>
    <row r="140" spans="1:11" ht="13.15" customHeight="1" x14ac:dyDescent="0.25">
      <c r="A140" s="284" t="s">
        <v>953</v>
      </c>
      <c r="B140" s="302"/>
      <c r="C140" s="508">
        <f>SD7a!C140+SD7b!C140++SD7e!C140</f>
        <v>0</v>
      </c>
      <c r="D140" s="422">
        <f>SD7a!D140+SD7b!D140++SD7e!D140</f>
        <v>0</v>
      </c>
      <c r="E140" s="423">
        <f>SD7a!E140+SD7b!E140++SD7e!E140</f>
        <v>0</v>
      </c>
      <c r="F140" s="424">
        <f>SD7a!F140+SD7b!F140++SD7e!F140</f>
        <v>0</v>
      </c>
      <c r="G140" s="422">
        <f>SD7a!G140+SD7b!G140++SD7e!G140</f>
        <v>0</v>
      </c>
      <c r="H140" s="425">
        <f>SD7a!H140+SD7b!H140++SD7e!H140</f>
        <v>0</v>
      </c>
      <c r="I140" s="424">
        <f>SD7a!I140+SD7b!I140++SD7e!I140</f>
        <v>0</v>
      </c>
      <c r="J140" s="422">
        <f>SD7a!J140+SD7b!J140++SD7e!J140</f>
        <v>0</v>
      </c>
      <c r="K140" s="425">
        <f>SD7a!K140+SD7b!K140++SD7e!K140</f>
        <v>0</v>
      </c>
    </row>
    <row r="141" spans="1:11" ht="13.15" customHeight="1" x14ac:dyDescent="0.25">
      <c r="A141" s="284" t="s">
        <v>954</v>
      </c>
      <c r="B141" s="302"/>
      <c r="C141" s="422">
        <f>SUM(C142:C147)</f>
        <v>0</v>
      </c>
      <c r="D141" s="422">
        <f t="shared" ref="D141:K141" si="22">SUM(D142:D147)</f>
        <v>0</v>
      </c>
      <c r="E141" s="422">
        <f t="shared" si="22"/>
        <v>7098773.0700000003</v>
      </c>
      <c r="F141" s="424">
        <f t="shared" si="22"/>
        <v>0</v>
      </c>
      <c r="G141" s="422">
        <f t="shared" si="22"/>
        <v>0</v>
      </c>
      <c r="H141" s="425">
        <f t="shared" si="22"/>
        <v>0</v>
      </c>
      <c r="I141" s="426">
        <f t="shared" si="22"/>
        <v>0</v>
      </c>
      <c r="J141" s="422">
        <f t="shared" si="22"/>
        <v>0</v>
      </c>
      <c r="K141" s="425">
        <f t="shared" si="22"/>
        <v>0</v>
      </c>
    </row>
    <row r="142" spans="1:11" ht="13.15" customHeight="1" x14ac:dyDescent="0.25">
      <c r="A142" s="303" t="s">
        <v>955</v>
      </c>
      <c r="B142" s="302"/>
      <c r="C142" s="508">
        <f>SD7a!C142+SD7b!C142++SD7e!C142</f>
        <v>0</v>
      </c>
      <c r="D142" s="422">
        <f>SD7a!D142+SD7b!D142++SD7e!D142</f>
        <v>0</v>
      </c>
      <c r="E142" s="423">
        <f>SD7a!E142+SD7b!E142++SD7e!E142</f>
        <v>0</v>
      </c>
      <c r="F142" s="424">
        <f>SD7a!F142+SD7b!F142++SD7e!F142</f>
        <v>0</v>
      </c>
      <c r="G142" s="422">
        <f>SD7a!G142+SD7b!G142++SD7e!G142</f>
        <v>0</v>
      </c>
      <c r="H142" s="425">
        <f>SD7a!H142+SD7b!H142++SD7e!H142</f>
        <v>0</v>
      </c>
      <c r="I142" s="424">
        <f>SD7a!I142+SD7b!I142++SD7e!I142</f>
        <v>0</v>
      </c>
      <c r="J142" s="422">
        <f>SD7a!J142+SD7b!J142++SD7e!J142</f>
        <v>0</v>
      </c>
      <c r="K142" s="425">
        <f>SD7a!K142+SD7b!K142++SD7e!K142</f>
        <v>0</v>
      </c>
    </row>
    <row r="143" spans="1:11" ht="13.15" customHeight="1" x14ac:dyDescent="0.25">
      <c r="A143" s="303" t="s">
        <v>956</v>
      </c>
      <c r="B143" s="302"/>
      <c r="C143" s="508">
        <f>SD7a!C143+SD7b!C143++SD7e!C143</f>
        <v>0</v>
      </c>
      <c r="D143" s="422">
        <f>SD7a!D143+SD7b!D143++SD7e!D143</f>
        <v>0</v>
      </c>
      <c r="E143" s="423">
        <f>SD7a!E143+SD7b!E143++SD7e!E143</f>
        <v>0</v>
      </c>
      <c r="F143" s="424">
        <f>SD7a!F143+SD7b!F143++SD7e!F143</f>
        <v>0</v>
      </c>
      <c r="G143" s="422">
        <f>SD7a!G143+SD7b!G143++SD7e!G143</f>
        <v>0</v>
      </c>
      <c r="H143" s="425">
        <f>SD7a!H143+SD7b!H143++SD7e!H143</f>
        <v>0</v>
      </c>
      <c r="I143" s="424">
        <f>SD7a!I143+SD7b!I143++SD7e!I143</f>
        <v>0</v>
      </c>
      <c r="J143" s="422">
        <f>SD7a!J143+SD7b!J143++SD7e!J143</f>
        <v>0</v>
      </c>
      <c r="K143" s="425">
        <f>SD7a!K143+SD7b!K143++SD7e!K143</f>
        <v>0</v>
      </c>
    </row>
    <row r="144" spans="1:11" ht="13.15" customHeight="1" x14ac:dyDescent="0.25">
      <c r="A144" s="303" t="s">
        <v>957</v>
      </c>
      <c r="B144" s="302"/>
      <c r="C144" s="508">
        <f>SD7a!C144+SD7b!C144++SD7e!C144</f>
        <v>0</v>
      </c>
      <c r="D144" s="422">
        <f>SD7a!D144+SD7b!D144++SD7e!D144</f>
        <v>0</v>
      </c>
      <c r="E144" s="423">
        <f>SD7a!E144+SD7b!E144++SD7e!E144</f>
        <v>0</v>
      </c>
      <c r="F144" s="424">
        <f>SD7a!F144+SD7b!F144++SD7e!F144</f>
        <v>0</v>
      </c>
      <c r="G144" s="422">
        <f>SD7a!G144+SD7b!G144++SD7e!G144</f>
        <v>0</v>
      </c>
      <c r="H144" s="425">
        <f>SD7a!H144+SD7b!H144++SD7e!H144</f>
        <v>0</v>
      </c>
      <c r="I144" s="424">
        <f>SD7a!I144+SD7b!I144++SD7e!I144</f>
        <v>0</v>
      </c>
      <c r="J144" s="422">
        <f>SD7a!J144+SD7b!J144++SD7e!J144</f>
        <v>0</v>
      </c>
      <c r="K144" s="425">
        <f>SD7a!K144+SD7b!K144++SD7e!K144</f>
        <v>0</v>
      </c>
    </row>
    <row r="145" spans="1:11" ht="13.15" customHeight="1" x14ac:dyDescent="0.25">
      <c r="A145" s="303" t="s">
        <v>958</v>
      </c>
      <c r="B145" s="302"/>
      <c r="C145" s="508">
        <f>SD7a!C145+SD7b!C145++SD7e!C145</f>
        <v>0</v>
      </c>
      <c r="D145" s="422">
        <f>SD7a!D145+SD7b!D145++SD7e!D145</f>
        <v>0</v>
      </c>
      <c r="E145" s="423">
        <f>SD7a!E145+SD7b!E145++SD7e!E145</f>
        <v>0</v>
      </c>
      <c r="F145" s="424">
        <f>SD7a!F145+SD7b!F145++SD7e!F145</f>
        <v>0</v>
      </c>
      <c r="G145" s="422">
        <f>SD7a!G145+SD7b!G145++SD7e!G145</f>
        <v>0</v>
      </c>
      <c r="H145" s="425">
        <f>SD7a!H145+SD7b!H145++SD7e!H145</f>
        <v>0</v>
      </c>
      <c r="I145" s="424">
        <f>SD7a!I145+SD7b!I145++SD7e!I145</f>
        <v>0</v>
      </c>
      <c r="J145" s="422">
        <f>SD7a!J145+SD7b!J145++SD7e!J145</f>
        <v>0</v>
      </c>
      <c r="K145" s="425">
        <f>SD7a!K145+SD7b!K145++SD7e!K145</f>
        <v>0</v>
      </c>
    </row>
    <row r="146" spans="1:11" ht="13.15" customHeight="1" x14ac:dyDescent="0.25">
      <c r="A146" s="303" t="s">
        <v>959</v>
      </c>
      <c r="B146" s="302"/>
      <c r="C146" s="508">
        <f>SD7a!C146+SD7b!C146++SD7e!C146</f>
        <v>0</v>
      </c>
      <c r="D146" s="422">
        <f>SD7a!D146+SD7b!D146++SD7e!D146</f>
        <v>0</v>
      </c>
      <c r="E146" s="423">
        <f>SD7a!E146+SD7b!E146++SD7e!E146</f>
        <v>0</v>
      </c>
      <c r="F146" s="424">
        <f>SD7a!F146+SD7b!F146++SD7e!F146</f>
        <v>0</v>
      </c>
      <c r="G146" s="422">
        <f>SD7a!G146+SD7b!G146++SD7e!G146</f>
        <v>0</v>
      </c>
      <c r="H146" s="425">
        <f>SD7a!H146+SD7b!H146++SD7e!H146</f>
        <v>0</v>
      </c>
      <c r="I146" s="424">
        <f>SD7a!I146+SD7b!I146++SD7e!I146</f>
        <v>0</v>
      </c>
      <c r="J146" s="422">
        <f>SD7a!J146+SD7b!J146++SD7e!J146</f>
        <v>0</v>
      </c>
      <c r="K146" s="425">
        <f>SD7a!K146+SD7b!K146++SD7e!K146</f>
        <v>0</v>
      </c>
    </row>
    <row r="147" spans="1:11" ht="13.15" customHeight="1" x14ac:dyDescent="0.25">
      <c r="A147" s="303" t="s">
        <v>960</v>
      </c>
      <c r="B147" s="302"/>
      <c r="C147" s="508">
        <f>SD7a!C147+SD7b!C147++SD7e!C147</f>
        <v>0</v>
      </c>
      <c r="D147" s="422">
        <f>SD7a!D147+SD7b!D147++SD7e!D147</f>
        <v>0</v>
      </c>
      <c r="E147" s="423">
        <f>SD7a!E147+SD7b!E147++SD7e!E147</f>
        <v>7098773.0700000003</v>
      </c>
      <c r="F147" s="424">
        <f>SD7a!F147+SD7b!F147++SD7e!F147</f>
        <v>0</v>
      </c>
      <c r="G147" s="422">
        <f>SD7a!G147+SD7b!G147++SD7e!G147</f>
        <v>0</v>
      </c>
      <c r="H147" s="425">
        <f>SD7a!H147+SD7b!H147++SD7e!H147</f>
        <v>0</v>
      </c>
      <c r="I147" s="424">
        <f>SD7a!I147+SD7b!I147++SD7e!I147</f>
        <v>0</v>
      </c>
      <c r="J147" s="422">
        <f>SD7a!J147+SD7b!J147++SD7e!J147</f>
        <v>0</v>
      </c>
      <c r="K147" s="425">
        <f>SD7a!K147+SD7b!K147++SD7e!K147</f>
        <v>0</v>
      </c>
    </row>
    <row r="148" spans="1:11" ht="5.0999999999999996" customHeight="1" x14ac:dyDescent="0.25">
      <c r="A148" s="305"/>
      <c r="B148" s="302"/>
      <c r="C148" s="28"/>
      <c r="D148" s="28"/>
      <c r="E148" s="308"/>
      <c r="F148" s="309"/>
      <c r="G148" s="28"/>
      <c r="H148" s="27"/>
      <c r="I148" s="309"/>
      <c r="J148" s="28"/>
      <c r="K148" s="308"/>
    </row>
    <row r="149" spans="1:11" ht="13.15" customHeight="1" x14ac:dyDescent="0.25">
      <c r="A149" s="301" t="s">
        <v>961</v>
      </c>
      <c r="B149" s="302"/>
      <c r="C149" s="461">
        <f t="shared" ref="C149:K149" si="23">SUM(C150:C150)</f>
        <v>8355881.2999999998</v>
      </c>
      <c r="D149" s="461">
        <f t="shared" si="23"/>
        <v>10313218.279999999</v>
      </c>
      <c r="E149" s="513">
        <f t="shared" si="23"/>
        <v>11449225.390000001</v>
      </c>
      <c r="F149" s="514">
        <f t="shared" si="23"/>
        <v>10425048</v>
      </c>
      <c r="G149" s="461">
        <f t="shared" si="23"/>
        <v>5425048</v>
      </c>
      <c r="H149" s="515">
        <f t="shared" si="23"/>
        <v>5425048</v>
      </c>
      <c r="I149" s="514">
        <f t="shared" si="23"/>
        <v>10174600</v>
      </c>
      <c r="J149" s="461">
        <f t="shared" si="23"/>
        <v>10659981</v>
      </c>
      <c r="K149" s="513">
        <f t="shared" si="23"/>
        <v>11168522</v>
      </c>
    </row>
    <row r="150" spans="1:11" ht="13.15" customHeight="1" x14ac:dyDescent="0.25">
      <c r="A150" s="285" t="s">
        <v>961</v>
      </c>
      <c r="B150" s="302"/>
      <c r="C150" s="508">
        <f>SD7a!C150+SD7b!C150++SD7e!C150</f>
        <v>8355881.2999999998</v>
      </c>
      <c r="D150" s="422">
        <f>SD7a!D150+SD7b!D150++SD7e!D150</f>
        <v>10313218.279999999</v>
      </c>
      <c r="E150" s="423">
        <f>SD7a!E150+SD7b!E150++SD7e!E150</f>
        <v>11449225.390000001</v>
      </c>
      <c r="F150" s="424">
        <f>SD7a!F150+SD7b!F150++SD7e!F150</f>
        <v>10425048</v>
      </c>
      <c r="G150" s="422">
        <f>SD7a!G150+SD7b!G150++SD7e!G150</f>
        <v>5425048</v>
      </c>
      <c r="H150" s="425">
        <f>SD7a!H150+SD7b!H150++SD7e!H150</f>
        <v>5425048</v>
      </c>
      <c r="I150" s="424">
        <f>SD7a!I150+SD7b!I150++SD7e!I150</f>
        <v>10174600</v>
      </c>
      <c r="J150" s="422">
        <f>SD7a!J150+SD7b!J150++SD7e!J150</f>
        <v>10659981</v>
      </c>
      <c r="K150" s="425">
        <f>SD7a!K150+SD7b!K150++SD7e!K150</f>
        <v>11168522</v>
      </c>
    </row>
    <row r="151" spans="1:11" ht="5.0999999999999996" customHeight="1" x14ac:dyDescent="0.25">
      <c r="A151" s="305"/>
      <c r="B151" s="302"/>
      <c r="C151" s="25"/>
      <c r="D151" s="25"/>
      <c r="E151" s="306"/>
      <c r="F151" s="307"/>
      <c r="G151" s="25"/>
      <c r="H151" s="24"/>
      <c r="I151" s="307"/>
      <c r="J151" s="25"/>
      <c r="K151" s="306"/>
    </row>
    <row r="152" spans="1:11" ht="13.15" customHeight="1" x14ac:dyDescent="0.25">
      <c r="A152" s="301" t="s">
        <v>962</v>
      </c>
      <c r="B152" s="302"/>
      <c r="C152" s="461">
        <f t="shared" ref="C152:K152" si="24">SUM(C153:C153)</f>
        <v>516139.69</v>
      </c>
      <c r="D152" s="461">
        <f t="shared" si="24"/>
        <v>2644237.19</v>
      </c>
      <c r="E152" s="513">
        <f t="shared" si="24"/>
        <v>2630856.61</v>
      </c>
      <c r="F152" s="514">
        <f t="shared" si="24"/>
        <v>209366</v>
      </c>
      <c r="G152" s="461">
        <f t="shared" si="24"/>
        <v>209366</v>
      </c>
      <c r="H152" s="515">
        <f t="shared" si="24"/>
        <v>209366</v>
      </c>
      <c r="I152" s="514">
        <f t="shared" si="24"/>
        <v>218996.83600000001</v>
      </c>
      <c r="J152" s="461">
        <f t="shared" si="24"/>
        <v>229508.68412800002</v>
      </c>
      <c r="K152" s="513">
        <f t="shared" si="24"/>
        <v>240525.10096614403</v>
      </c>
    </row>
    <row r="153" spans="1:11" ht="13.15" customHeight="1" x14ac:dyDescent="0.25">
      <c r="A153" s="285" t="s">
        <v>962</v>
      </c>
      <c r="B153" s="302"/>
      <c r="C153" s="508">
        <f>SD7a!C153+SD7b!C153++SD7e!C153</f>
        <v>516139.69</v>
      </c>
      <c r="D153" s="422">
        <f>SD7a!D153+SD7b!D153++SD7e!D153</f>
        <v>2644237.19</v>
      </c>
      <c r="E153" s="423">
        <f>SD7a!E153+SD7b!E153++SD7e!E153</f>
        <v>2630856.61</v>
      </c>
      <c r="F153" s="424">
        <f>SD7a!F153+SD7b!F153++SD7e!F153</f>
        <v>209366</v>
      </c>
      <c r="G153" s="422">
        <f>SD7a!G153+SD7b!G153++SD7e!G153</f>
        <v>209366</v>
      </c>
      <c r="H153" s="425">
        <f>SD7a!H153+SD7b!H153++SD7e!H153</f>
        <v>209366</v>
      </c>
      <c r="I153" s="424">
        <f>SD7a!I153+SD7b!I153++SD7e!I153</f>
        <v>218996.83600000001</v>
      </c>
      <c r="J153" s="422">
        <f>SD7a!J153+SD7b!J153++SD7e!J153</f>
        <v>229508.68412800002</v>
      </c>
      <c r="K153" s="425">
        <f>SD7a!K153+SD7b!K153++SD7e!K153</f>
        <v>240525.10096614403</v>
      </c>
    </row>
    <row r="154" spans="1:11" ht="5.0999999999999996" customHeight="1" x14ac:dyDescent="0.25">
      <c r="A154" s="305"/>
      <c r="B154" s="302"/>
      <c r="C154" s="25"/>
      <c r="D154" s="25"/>
      <c r="E154" s="306"/>
      <c r="F154" s="307"/>
      <c r="G154" s="25"/>
      <c r="H154" s="24"/>
      <c r="I154" s="307"/>
      <c r="J154" s="25"/>
      <c r="K154" s="306"/>
    </row>
    <row r="155" spans="1:11" ht="13.15" customHeight="1" x14ac:dyDescent="0.25">
      <c r="A155" s="301" t="s">
        <v>963</v>
      </c>
      <c r="B155" s="302"/>
      <c r="C155" s="461">
        <f t="shared" ref="C155:K155" si="25">SUM(C156:C156)</f>
        <v>0</v>
      </c>
      <c r="D155" s="461">
        <f t="shared" si="25"/>
        <v>0</v>
      </c>
      <c r="E155" s="513">
        <f t="shared" si="25"/>
        <v>0</v>
      </c>
      <c r="F155" s="514">
        <f t="shared" si="25"/>
        <v>2000000</v>
      </c>
      <c r="G155" s="461">
        <f t="shared" si="25"/>
        <v>0</v>
      </c>
      <c r="H155" s="515">
        <f t="shared" si="25"/>
        <v>0</v>
      </c>
      <c r="I155" s="514">
        <f t="shared" si="25"/>
        <v>1000000</v>
      </c>
      <c r="J155" s="461">
        <f t="shared" si="25"/>
        <v>1048000</v>
      </c>
      <c r="K155" s="513">
        <f t="shared" si="25"/>
        <v>1098304</v>
      </c>
    </row>
    <row r="156" spans="1:11" ht="13.15" customHeight="1" x14ac:dyDescent="0.25">
      <c r="A156" s="285" t="s">
        <v>963</v>
      </c>
      <c r="B156" s="302"/>
      <c r="C156" s="508">
        <f>SD7a!C156+SD7b!C156++SD7e!C156</f>
        <v>0</v>
      </c>
      <c r="D156" s="422">
        <f>SD7a!D156+SD7b!D156++SD7e!D156</f>
        <v>0</v>
      </c>
      <c r="E156" s="423">
        <f>SD7a!E156+SD7b!E156++SD7e!E156</f>
        <v>0</v>
      </c>
      <c r="F156" s="424">
        <f>SD7a!F156+SD7b!F156++SD7e!F156</f>
        <v>2000000</v>
      </c>
      <c r="G156" s="422">
        <f>SD7a!G156+SD7b!G156++SD7e!G156</f>
        <v>0</v>
      </c>
      <c r="H156" s="425">
        <f>SD7a!H156+SD7b!H156++SD7e!H156</f>
        <v>0</v>
      </c>
      <c r="I156" s="424">
        <f>SD7a!I156+SD7b!I156++SD7e!I156</f>
        <v>1000000</v>
      </c>
      <c r="J156" s="422">
        <f>SD7a!J156+SD7b!J156++SD7e!J156</f>
        <v>1048000</v>
      </c>
      <c r="K156" s="425">
        <f>SD7a!K156+SD7b!K156++SD7e!K156</f>
        <v>1098304</v>
      </c>
    </row>
    <row r="157" spans="1:11" ht="5.0999999999999996" customHeight="1" x14ac:dyDescent="0.25">
      <c r="A157" s="305"/>
      <c r="B157" s="302"/>
      <c r="C157" s="25"/>
      <c r="D157" s="25"/>
      <c r="E157" s="306"/>
      <c r="F157" s="307"/>
      <c r="G157" s="25"/>
      <c r="H157" s="24"/>
      <c r="I157" s="307"/>
      <c r="J157" s="25"/>
      <c r="K157" s="306"/>
    </row>
    <row r="158" spans="1:11" ht="13.15" customHeight="1" x14ac:dyDescent="0.25">
      <c r="A158" s="301" t="s">
        <v>964</v>
      </c>
      <c r="B158" s="302"/>
      <c r="C158" s="461">
        <f t="shared" ref="C158:K158" si="26">SUM(C159:C159)</f>
        <v>240522.35</v>
      </c>
      <c r="D158" s="461">
        <f t="shared" si="26"/>
        <v>0</v>
      </c>
      <c r="E158" s="513">
        <f t="shared" si="26"/>
        <v>1624433.39</v>
      </c>
      <c r="F158" s="514">
        <f t="shared" si="26"/>
        <v>5280000</v>
      </c>
      <c r="G158" s="461">
        <f t="shared" si="26"/>
        <v>1000000</v>
      </c>
      <c r="H158" s="515">
        <f t="shared" si="26"/>
        <v>1000000</v>
      </c>
      <c r="I158" s="514">
        <f t="shared" si="26"/>
        <v>5000000</v>
      </c>
      <c r="J158" s="461">
        <f t="shared" si="26"/>
        <v>5240000</v>
      </c>
      <c r="K158" s="513">
        <f t="shared" si="26"/>
        <v>5491520</v>
      </c>
    </row>
    <row r="159" spans="1:11" ht="13.15" customHeight="1" x14ac:dyDescent="0.25">
      <c r="A159" s="285" t="s">
        <v>964</v>
      </c>
      <c r="B159" s="302"/>
      <c r="C159" s="508">
        <f>SD7a!C159+SD7b!C159++SD7e!C159</f>
        <v>240522.35</v>
      </c>
      <c r="D159" s="422">
        <f>SD7a!D159+SD7b!D159++SD7e!D159</f>
        <v>0</v>
      </c>
      <c r="E159" s="423">
        <f>SD7a!E159+SD7b!E159++SD7e!E159</f>
        <v>1624433.39</v>
      </c>
      <c r="F159" s="424">
        <f>SD7a!F159+SD7b!F159++SD7e!F159</f>
        <v>5280000</v>
      </c>
      <c r="G159" s="422">
        <f>SD7a!G159+SD7b!G159++SD7e!G159</f>
        <v>1000000</v>
      </c>
      <c r="H159" s="425">
        <f>SD7a!H159+SD7b!H159++SD7e!H159</f>
        <v>1000000</v>
      </c>
      <c r="I159" s="424">
        <f>SD7a!I159+SD7b!I159++SD7e!I159</f>
        <v>5000000</v>
      </c>
      <c r="J159" s="422">
        <f>SD7a!J159+SD7b!J159++SD7e!J159</f>
        <v>5240000</v>
      </c>
      <c r="K159" s="425">
        <f>SD7a!K159+SD7b!K159++SD7e!K159</f>
        <v>5491520</v>
      </c>
    </row>
    <row r="160" spans="1:11" ht="5.0999999999999996" customHeight="1" x14ac:dyDescent="0.25">
      <c r="A160" s="305"/>
      <c r="B160" s="302"/>
      <c r="C160" s="25"/>
      <c r="D160" s="25"/>
      <c r="E160" s="306"/>
      <c r="F160" s="307"/>
      <c r="G160" s="25"/>
      <c r="H160" s="24"/>
      <c r="I160" s="307"/>
      <c r="J160" s="25"/>
      <c r="K160" s="306"/>
    </row>
    <row r="161" spans="1:23" ht="13.15" customHeight="1" x14ac:dyDescent="0.25">
      <c r="A161" s="301" t="s">
        <v>979</v>
      </c>
      <c r="B161" s="302"/>
      <c r="C161" s="461">
        <f t="shared" ref="C161:K161" si="27">SUM(C162:C162)</f>
        <v>0</v>
      </c>
      <c r="D161" s="461">
        <f t="shared" si="27"/>
        <v>0</v>
      </c>
      <c r="E161" s="513">
        <f t="shared" si="27"/>
        <v>0</v>
      </c>
      <c r="F161" s="514">
        <f t="shared" si="27"/>
        <v>0</v>
      </c>
      <c r="G161" s="461">
        <f t="shared" si="27"/>
        <v>0</v>
      </c>
      <c r="H161" s="515">
        <f t="shared" si="27"/>
        <v>0</v>
      </c>
      <c r="I161" s="514">
        <f t="shared" si="27"/>
        <v>0</v>
      </c>
      <c r="J161" s="461">
        <f t="shared" si="27"/>
        <v>0</v>
      </c>
      <c r="K161" s="513">
        <f t="shared" si="27"/>
        <v>0</v>
      </c>
    </row>
    <row r="162" spans="1:23" ht="13.15" customHeight="1" x14ac:dyDescent="0.25">
      <c r="A162" s="285" t="s">
        <v>979</v>
      </c>
      <c r="B162" s="302"/>
      <c r="C162" s="508">
        <f>SD7a!C162+SD7b!C162++SD7e!C162</f>
        <v>0</v>
      </c>
      <c r="D162" s="422">
        <f>SD7a!D162+SD7b!D162++SD7e!D162</f>
        <v>0</v>
      </c>
      <c r="E162" s="423">
        <f>SD7a!E162+SD7b!E162++SD7e!E162</f>
        <v>0</v>
      </c>
      <c r="F162" s="424">
        <f>SD7a!F162+SD7b!F162++SD7e!F162</f>
        <v>0</v>
      </c>
      <c r="G162" s="422">
        <f>SD7a!G162+SD7b!G162++SD7e!G162</f>
        <v>0</v>
      </c>
      <c r="H162" s="425">
        <f>SD7a!H162+SD7b!H162++SD7e!H162</f>
        <v>0</v>
      </c>
      <c r="I162" s="424">
        <f>SD7a!I162+SD7b!I162++SD7e!I162</f>
        <v>0</v>
      </c>
      <c r="J162" s="422">
        <f>SD7a!J162+SD7b!J162++SD7e!J162</f>
        <v>0</v>
      </c>
      <c r="K162" s="425">
        <f>SD7a!K162+SD7b!K162++SD7e!K162</f>
        <v>0</v>
      </c>
    </row>
    <row r="163" spans="1:23" ht="5.0999999999999996" customHeight="1" x14ac:dyDescent="0.25">
      <c r="A163" s="305"/>
      <c r="B163" s="302"/>
      <c r="C163" s="25"/>
      <c r="D163" s="25"/>
      <c r="E163" s="306"/>
      <c r="F163" s="307"/>
      <c r="G163" s="25"/>
      <c r="H163" s="24"/>
      <c r="I163" s="307"/>
      <c r="J163" s="25"/>
      <c r="K163" s="306"/>
    </row>
    <row r="164" spans="1:23" ht="13.15" customHeight="1" x14ac:dyDescent="0.25">
      <c r="A164" s="301" t="s">
        <v>965</v>
      </c>
      <c r="B164" s="302"/>
      <c r="C164" s="461">
        <f t="shared" ref="C164:K164" si="28">SUM(C165:C165)</f>
        <v>0</v>
      </c>
      <c r="D164" s="461">
        <f t="shared" si="28"/>
        <v>0</v>
      </c>
      <c r="E164" s="513">
        <f t="shared" si="28"/>
        <v>0</v>
      </c>
      <c r="F164" s="514">
        <f t="shared" si="28"/>
        <v>0</v>
      </c>
      <c r="G164" s="461">
        <f t="shared" si="28"/>
        <v>0</v>
      </c>
      <c r="H164" s="515">
        <f t="shared" si="28"/>
        <v>0</v>
      </c>
      <c r="I164" s="514">
        <f t="shared" si="28"/>
        <v>0</v>
      </c>
      <c r="J164" s="461">
        <f t="shared" si="28"/>
        <v>0</v>
      </c>
      <c r="K164" s="513">
        <f t="shared" si="28"/>
        <v>0</v>
      </c>
    </row>
    <row r="165" spans="1:23" ht="13.15" customHeight="1" x14ac:dyDescent="0.25">
      <c r="A165" s="285" t="s">
        <v>965</v>
      </c>
      <c r="B165" s="302"/>
      <c r="C165" s="508">
        <f>SD7a!C165+SD7b!C165++SD7e!C165</f>
        <v>0</v>
      </c>
      <c r="D165" s="422">
        <f>SD7a!D165+SD7b!D165++SD7e!D165</f>
        <v>0</v>
      </c>
      <c r="E165" s="423">
        <f>SD7a!E165+SD7b!E165++SD7e!E165</f>
        <v>0</v>
      </c>
      <c r="F165" s="424">
        <f>SD7a!F165+SD7b!F165++SD7e!F165</f>
        <v>0</v>
      </c>
      <c r="G165" s="422">
        <f>SD7a!G165+SD7b!G165++SD7e!G165</f>
        <v>0</v>
      </c>
      <c r="H165" s="425">
        <f>SD7a!H165+SD7b!H165++SD7e!H165</f>
        <v>0</v>
      </c>
      <c r="I165" s="424">
        <f>SD7a!I165+SD7b!I165++SD7e!I165</f>
        <v>0</v>
      </c>
      <c r="J165" s="422">
        <f>SD7a!J165+SD7b!J165++SD7e!J165</f>
        <v>0</v>
      </c>
      <c r="K165" s="425">
        <f>SD7a!K165+SD7b!K165++SD7e!K165</f>
        <v>0</v>
      </c>
    </row>
    <row r="166" spans="1:23" ht="5.0999999999999996" customHeight="1" x14ac:dyDescent="0.25">
      <c r="A166" s="305"/>
      <c r="B166" s="302"/>
      <c r="C166" s="25"/>
      <c r="D166" s="25"/>
      <c r="E166" s="306"/>
      <c r="F166" s="307"/>
      <c r="G166" s="25"/>
      <c r="H166" s="24"/>
      <c r="I166" s="307"/>
      <c r="J166" s="25"/>
      <c r="K166" s="306"/>
    </row>
    <row r="167" spans="1:23" ht="12.75" customHeight="1" x14ac:dyDescent="0.25">
      <c r="A167" s="30" t="s">
        <v>830</v>
      </c>
      <c r="B167" s="455">
        <v>1</v>
      </c>
      <c r="C167" s="457">
        <f>C6+C74+C103+C110+C118+C136+C139+C149+C152+C155+C158+C161+C164</f>
        <v>222562922.25000003</v>
      </c>
      <c r="D167" s="458">
        <f t="shared" ref="D167:K167" si="29">D6+D74+D103+D110+D118+D136+D139+D149+D152+D155+D158+D161+D164</f>
        <v>118986262.99999999</v>
      </c>
      <c r="E167" s="459">
        <f t="shared" si="29"/>
        <v>178299145.59999996</v>
      </c>
      <c r="F167" s="457">
        <f t="shared" si="29"/>
        <v>145638821</v>
      </c>
      <c r="G167" s="458">
        <f t="shared" si="29"/>
        <v>119158821</v>
      </c>
      <c r="H167" s="459">
        <f t="shared" si="29"/>
        <v>119158821</v>
      </c>
      <c r="I167" s="457">
        <f t="shared" si="29"/>
        <v>169725000.458</v>
      </c>
      <c r="J167" s="458">
        <f t="shared" si="29"/>
        <v>124041374.831984</v>
      </c>
      <c r="K167" s="459">
        <f t="shared" si="29"/>
        <v>129048133.50332275</v>
      </c>
      <c r="M167" s="37"/>
      <c r="N167" s="37"/>
      <c r="O167" s="37"/>
      <c r="P167" s="37"/>
      <c r="Q167" s="37"/>
      <c r="R167" s="37"/>
      <c r="S167" s="37"/>
      <c r="T167" s="37"/>
      <c r="U167" s="37"/>
      <c r="V167" s="37"/>
      <c r="W167" s="37"/>
    </row>
    <row r="168" spans="1:23" ht="12.75" customHeight="1" x14ac:dyDescent="0.25">
      <c r="A168" s="36"/>
      <c r="B168" s="456"/>
      <c r="C168" s="291"/>
      <c r="D168" s="291"/>
      <c r="E168" s="291"/>
      <c r="F168" s="291"/>
      <c r="G168" s="291"/>
      <c r="H168" s="291"/>
      <c r="I168" s="291"/>
      <c r="J168" s="291"/>
      <c r="K168" s="291"/>
      <c r="M168" s="37"/>
      <c r="N168" s="37"/>
      <c r="O168" s="37"/>
      <c r="P168" s="37"/>
      <c r="Q168" s="37"/>
      <c r="R168" s="37"/>
      <c r="S168" s="37"/>
      <c r="T168" s="37"/>
      <c r="U168" s="37"/>
      <c r="V168" s="37"/>
      <c r="W168" s="37"/>
    </row>
    <row r="169" spans="1:23" ht="12.75" customHeight="1" x14ac:dyDescent="0.25">
      <c r="A169" s="311" t="s">
        <v>33</v>
      </c>
      <c r="B169" s="509"/>
      <c r="C169" s="510"/>
      <c r="D169" s="511"/>
      <c r="E169" s="512"/>
      <c r="F169" s="510"/>
      <c r="G169" s="511"/>
      <c r="H169" s="512"/>
      <c r="I169" s="510"/>
      <c r="J169" s="511"/>
      <c r="K169" s="512"/>
      <c r="L169" s="438"/>
      <c r="M169" s="438"/>
      <c r="N169" s="438"/>
    </row>
    <row r="170" spans="1:23" ht="12.75" customHeight="1" x14ac:dyDescent="0.25">
      <c r="A170" s="297" t="s">
        <v>17</v>
      </c>
      <c r="B170" s="102"/>
      <c r="C170" s="478">
        <v>7456140</v>
      </c>
      <c r="D170" s="475">
        <v>20159955</v>
      </c>
      <c r="E170" s="480">
        <v>13822418.949999999</v>
      </c>
      <c r="F170" s="481">
        <v>26000000</v>
      </c>
      <c r="G170" s="475">
        <v>61475301</v>
      </c>
      <c r="H170" s="482">
        <v>61475301</v>
      </c>
      <c r="I170" s="481">
        <v>57499976</v>
      </c>
      <c r="J170" s="475">
        <v>24868551</v>
      </c>
      <c r="K170" s="482">
        <v>27214151</v>
      </c>
    </row>
    <row r="171" spans="1:23" ht="12.75" customHeight="1" x14ac:dyDescent="0.25">
      <c r="A171" s="297" t="s">
        <v>126</v>
      </c>
      <c r="B171" s="102"/>
      <c r="C171" s="478"/>
      <c r="D171" s="475"/>
      <c r="E171" s="480"/>
      <c r="F171" s="481"/>
      <c r="G171" s="475"/>
      <c r="H171" s="482"/>
      <c r="I171" s="481"/>
      <c r="J171" s="475"/>
      <c r="K171" s="482"/>
    </row>
    <row r="172" spans="1:23" ht="12.75" customHeight="1" x14ac:dyDescent="0.25">
      <c r="A172" s="297" t="s">
        <v>279</v>
      </c>
      <c r="B172" s="102"/>
      <c r="C172" s="478">
        <v>12811431</v>
      </c>
      <c r="D172" s="475">
        <v>8858829</v>
      </c>
      <c r="E172" s="480">
        <v>9826393.5899999999</v>
      </c>
      <c r="F172" s="481">
        <v>11408079</v>
      </c>
      <c r="G172" s="475">
        <v>11408079</v>
      </c>
      <c r="H172" s="482">
        <v>11408079</v>
      </c>
      <c r="I172" s="481">
        <v>11932850.634</v>
      </c>
      <c r="J172" s="475">
        <v>12505627.464431999</v>
      </c>
      <c r="K172" s="482">
        <v>13105897.582724735</v>
      </c>
    </row>
    <row r="173" spans="1:23" ht="12.75" customHeight="1" x14ac:dyDescent="0.25">
      <c r="A173" s="297" t="s">
        <v>127</v>
      </c>
      <c r="B173" s="102"/>
      <c r="C173" s="478"/>
      <c r="D173" s="475"/>
      <c r="E173" s="480"/>
      <c r="F173" s="481"/>
      <c r="G173" s="475"/>
      <c r="H173" s="482"/>
      <c r="I173" s="481"/>
      <c r="J173" s="475"/>
      <c r="K173" s="482"/>
    </row>
    <row r="174" spans="1:23" ht="10.9" customHeight="1" x14ac:dyDescent="0.25">
      <c r="A174" s="268" t="s">
        <v>391</v>
      </c>
      <c r="B174" s="298"/>
      <c r="C174" s="439">
        <f>SUM(C170:C173)</f>
        <v>20267571</v>
      </c>
      <c r="D174" s="290">
        <f t="shared" ref="D174:K174" si="30">SUM(D170:D173)</f>
        <v>29018784</v>
      </c>
      <c r="E174" s="295">
        <f t="shared" si="30"/>
        <v>23648812.539999999</v>
      </c>
      <c r="F174" s="439">
        <f t="shared" si="30"/>
        <v>37408079</v>
      </c>
      <c r="G174" s="290">
        <f t="shared" si="30"/>
        <v>72883380</v>
      </c>
      <c r="H174" s="295">
        <f t="shared" si="30"/>
        <v>72883380</v>
      </c>
      <c r="I174" s="439">
        <f t="shared" si="30"/>
        <v>69432826.634000003</v>
      </c>
      <c r="J174" s="290">
        <f t="shared" si="30"/>
        <v>37374178.464432001</v>
      </c>
      <c r="K174" s="295">
        <f t="shared" si="30"/>
        <v>40320048.582724735</v>
      </c>
      <c r="L174" s="37"/>
      <c r="M174" s="37"/>
      <c r="N174" s="37"/>
      <c r="O174" s="37"/>
      <c r="P174" s="37"/>
      <c r="Q174" s="37"/>
      <c r="R174" s="37"/>
      <c r="S174" s="37"/>
      <c r="T174" s="37"/>
      <c r="U174" s="37"/>
      <c r="V174" s="37"/>
      <c r="W174" s="37"/>
    </row>
    <row r="175" spans="1:23" ht="10.9" hidden="1" customHeight="1" x14ac:dyDescent="0.25">
      <c r="A175" s="299"/>
      <c r="B175" s="102"/>
      <c r="C175" s="508"/>
      <c r="D175" s="422"/>
      <c r="E175" s="423"/>
      <c r="F175" s="424"/>
      <c r="G175" s="422"/>
      <c r="H175" s="425"/>
      <c r="I175" s="424"/>
      <c r="J175" s="422"/>
      <c r="K175" s="425"/>
    </row>
    <row r="176" spans="1:23" ht="10.9" customHeight="1" x14ac:dyDescent="0.25">
      <c r="A176" s="299" t="s">
        <v>270</v>
      </c>
      <c r="B176" s="102">
        <v>3</v>
      </c>
      <c r="C176" s="478"/>
      <c r="D176" s="475"/>
      <c r="E176" s="480"/>
      <c r="F176" s="481"/>
      <c r="G176" s="475"/>
      <c r="H176" s="482"/>
      <c r="I176" s="481"/>
      <c r="J176" s="475"/>
      <c r="K176" s="482"/>
    </row>
    <row r="177" spans="1:12" ht="12.75" customHeight="1" x14ac:dyDescent="0.25">
      <c r="A177" s="299" t="s">
        <v>34</v>
      </c>
      <c r="B177" s="102"/>
      <c r="C177" s="478">
        <v>202295351.25</v>
      </c>
      <c r="D177" s="475">
        <v>89967478.999999985</v>
      </c>
      <c r="E177" s="480">
        <v>154650333.05999997</v>
      </c>
      <c r="F177" s="481">
        <v>108230742</v>
      </c>
      <c r="G177" s="475">
        <v>46275441</v>
      </c>
      <c r="H177" s="482">
        <v>46275441</v>
      </c>
      <c r="I177" s="481">
        <v>100292172.794</v>
      </c>
      <c r="J177" s="475">
        <v>86667197.088111997</v>
      </c>
      <c r="K177" s="482">
        <v>88728084.548341379</v>
      </c>
    </row>
    <row r="178" spans="1:12" ht="12.75" customHeight="1" x14ac:dyDescent="0.25">
      <c r="A178" s="30" t="s">
        <v>335</v>
      </c>
      <c r="B178" s="121">
        <v>4</v>
      </c>
      <c r="C178" s="32">
        <f>+C174+C176+C177</f>
        <v>222562922.25</v>
      </c>
      <c r="D178" s="31">
        <f t="shared" ref="D178:K178" si="31">+D174+D176+D177</f>
        <v>118986262.99999999</v>
      </c>
      <c r="E178" s="120">
        <f t="shared" si="31"/>
        <v>178299145.59999996</v>
      </c>
      <c r="F178" s="32">
        <f t="shared" si="31"/>
        <v>145638821</v>
      </c>
      <c r="G178" s="31">
        <f t="shared" si="31"/>
        <v>119158821</v>
      </c>
      <c r="H178" s="120">
        <f t="shared" si="31"/>
        <v>119158821</v>
      </c>
      <c r="I178" s="32">
        <f t="shared" si="31"/>
        <v>169724999.428</v>
      </c>
      <c r="J178" s="31">
        <f t="shared" si="31"/>
        <v>124041375.552544</v>
      </c>
      <c r="K178" s="120">
        <f t="shared" si="31"/>
        <v>129048133.13106611</v>
      </c>
    </row>
    <row r="179" spans="1:12" ht="12.75" customHeight="1" x14ac:dyDescent="0.25">
      <c r="A179" s="33" t="s">
        <v>163</v>
      </c>
      <c r="B179" s="34"/>
      <c r="C179" s="37"/>
      <c r="D179" s="37"/>
      <c r="E179" s="37"/>
      <c r="F179" s="37"/>
      <c r="G179" s="37"/>
      <c r="H179" s="37"/>
      <c r="I179" s="37"/>
      <c r="J179" s="37"/>
      <c r="K179" s="37"/>
    </row>
    <row r="180" spans="1:12" ht="12.75" customHeight="1" x14ac:dyDescent="0.25">
      <c r="A180" s="396" t="s">
        <v>531</v>
      </c>
      <c r="B180" s="34"/>
      <c r="C180" s="36"/>
      <c r="D180" s="36"/>
      <c r="E180" s="37"/>
      <c r="F180" s="37"/>
      <c r="G180" s="37"/>
      <c r="H180" s="37"/>
      <c r="I180" s="37"/>
      <c r="J180" s="37"/>
      <c r="K180" s="37"/>
    </row>
    <row r="181" spans="1:12" ht="12.75" customHeight="1" x14ac:dyDescent="0.25">
      <c r="A181" s="696" t="s">
        <v>532</v>
      </c>
      <c r="B181" s="696"/>
      <c r="C181" s="696"/>
      <c r="D181" s="696"/>
      <c r="E181" s="696"/>
      <c r="F181" s="696"/>
      <c r="G181" s="696"/>
      <c r="H181" s="696"/>
      <c r="I181" s="696"/>
      <c r="J181" s="696"/>
      <c r="K181" s="696"/>
      <c r="L181" s="696"/>
    </row>
    <row r="182" spans="1:12" ht="12.75" customHeight="1" x14ac:dyDescent="0.25">
      <c r="A182" s="396" t="s">
        <v>533</v>
      </c>
      <c r="B182" s="107"/>
      <c r="C182" s="107"/>
      <c r="D182" s="107"/>
      <c r="E182" s="107"/>
      <c r="F182" s="107"/>
      <c r="G182" s="107"/>
      <c r="H182" s="107"/>
      <c r="I182" s="107"/>
      <c r="J182" s="107"/>
      <c r="K182" s="107"/>
    </row>
    <row r="183" spans="1:12" ht="12.75" customHeight="1" x14ac:dyDescent="0.25">
      <c r="A183" s="396" t="s">
        <v>534</v>
      </c>
      <c r="B183" s="107"/>
      <c r="C183" s="107"/>
      <c r="D183" s="107"/>
      <c r="E183" s="107"/>
      <c r="F183" s="107"/>
      <c r="G183" s="107"/>
      <c r="H183" s="107"/>
      <c r="I183" s="107"/>
      <c r="J183" s="107"/>
      <c r="K183" s="107"/>
    </row>
    <row r="184" spans="1:12" ht="12.75" customHeight="1" x14ac:dyDescent="0.25">
      <c r="A184" s="45"/>
      <c r="B184" s="34"/>
      <c r="C184" s="36"/>
      <c r="D184" s="36"/>
      <c r="E184" s="37"/>
      <c r="F184" s="37"/>
      <c r="G184" s="37"/>
      <c r="H184" s="37"/>
      <c r="I184" s="37"/>
      <c r="J184" s="37"/>
      <c r="K184" s="37"/>
    </row>
    <row r="185" spans="1:12" ht="12.75" customHeight="1" x14ac:dyDescent="0.25">
      <c r="B185" s="34"/>
      <c r="C185" s="36"/>
      <c r="D185" s="36"/>
      <c r="E185" s="37"/>
      <c r="F185" s="37"/>
      <c r="G185" s="37"/>
      <c r="H185" s="37"/>
      <c r="I185" s="37"/>
      <c r="J185" s="37"/>
      <c r="K185" s="37"/>
    </row>
    <row r="186" spans="1:12" ht="12.75" customHeight="1" x14ac:dyDescent="0.25">
      <c r="A186" s="45"/>
      <c r="B186" s="34"/>
      <c r="C186" s="36"/>
      <c r="D186" s="36"/>
      <c r="E186" s="37"/>
      <c r="F186" s="37"/>
      <c r="G186" s="37"/>
      <c r="H186" s="37"/>
      <c r="I186" s="37"/>
      <c r="J186" s="37"/>
      <c r="K186" s="37"/>
    </row>
    <row r="187" spans="1:12" ht="11.25" customHeight="1" x14ac:dyDescent="0.25">
      <c r="A187" s="39" t="s">
        <v>125</v>
      </c>
      <c r="B187" s="38"/>
      <c r="C187" s="47">
        <f>C167-(SD7a!C167+SD7b!C167++SD7e!C167)</f>
        <v>0</v>
      </c>
      <c r="D187" s="47">
        <f>D167-(SD7a!D167+SD7b!D167++SD7e!D167)</f>
        <v>0</v>
      </c>
      <c r="E187" s="47">
        <f>E167-(SD7a!E167+SD7b!E167++SD7e!E167)</f>
        <v>0</v>
      </c>
      <c r="F187" s="47">
        <f>F167-(SD7a!F167+SD7b!F167++SD7e!F167)</f>
        <v>0</v>
      </c>
      <c r="G187" s="47">
        <f>G167-(SD7a!G167+SD7b!G167++SD7e!G167)</f>
        <v>0</v>
      </c>
      <c r="H187" s="47">
        <f>H167-(SD7a!H167+SD7b!H167++SD7e!H167)</f>
        <v>0</v>
      </c>
      <c r="I187" s="47">
        <f>I167-(SD7a!I167+SD7b!I167++SD7e!I167)</f>
        <v>0</v>
      </c>
      <c r="J187" s="47">
        <f>J167-(SD7a!J167+SD7b!J167++SD7e!J167)</f>
        <v>0</v>
      </c>
      <c r="K187" s="47">
        <f>K167-(SD7a!K167+SD7b!K167++SD7e!K167)</f>
        <v>0</v>
      </c>
    </row>
    <row r="188" spans="1:12" ht="11.25" customHeight="1" x14ac:dyDescent="0.25">
      <c r="A188" s="40"/>
    </row>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3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8"/>
  <sheetViews>
    <sheetView showGridLines="0" zoomScaleNormal="100" workbookViewId="0">
      <pane xSplit="2" ySplit="3" topLeftCell="C36" activePane="bottomRight" state="frozen"/>
      <selection activeCell="M160" sqref="M158:P160"/>
      <selection pane="topRight" activeCell="M160" sqref="M158:P160"/>
      <selection pane="bottomLeft" activeCell="M160" sqref="M158:P160"/>
      <selection pane="bottomRight" sqref="A1:XFD1048576"/>
    </sheetView>
  </sheetViews>
  <sheetFormatPr defaultRowHeight="12.75" x14ac:dyDescent="0.25"/>
  <cols>
    <col min="1" max="1" width="30.7109375" style="19" customWidth="1"/>
    <col min="2" max="2" width="3.140625" style="41" customWidth="1"/>
    <col min="3" max="11" width="8.7109375" style="19" customWidth="1"/>
    <col min="12" max="12" width="10.42578125" style="19" bestFit="1" customWidth="1"/>
    <col min="13" max="13" width="9.5703125" style="19" customWidth="1"/>
    <col min="14" max="14" width="9.85546875" style="19" customWidth="1"/>
    <col min="15" max="17" width="9.5703125" style="19" customWidth="1"/>
    <col min="18" max="18" width="9.85546875" style="19" customWidth="1"/>
    <col min="19" max="21" width="9.5703125" style="19" customWidth="1"/>
    <col min="22" max="23" width="9.85546875" style="19" customWidth="1"/>
    <col min="24" max="16384" width="9.140625" style="19"/>
  </cols>
  <sheetData>
    <row r="1" spans="1:23" ht="13.5" x14ac:dyDescent="0.25">
      <c r="A1" s="100" t="str">
        <f>_MEB3</f>
        <v>Centlec - Table D4 Budgeted Financial Position</v>
      </c>
    </row>
    <row r="2" spans="1:23" s="397" customFormat="1" ht="27" customHeight="1" x14ac:dyDescent="0.25">
      <c r="A2" s="380" t="str">
        <f>desc</f>
        <v>Description</v>
      </c>
      <c r="B2" s="388" t="str">
        <f>head27</f>
        <v>Ref</v>
      </c>
      <c r="C2" s="97" t="str">
        <f>head1b</f>
        <v>2016/17</v>
      </c>
      <c r="D2" s="20" t="str">
        <f>head1A</f>
        <v>2017/18</v>
      </c>
      <c r="E2" s="92" t="str">
        <f>Head1</f>
        <v>2018/19</v>
      </c>
      <c r="F2" s="693" t="str">
        <f>Head2</f>
        <v>Current Year 2019/20</v>
      </c>
      <c r="G2" s="697"/>
      <c r="H2" s="698"/>
      <c r="I2" s="118" t="str">
        <f>Head3a</f>
        <v>Medium Term Revenue and Expenditure Framework</v>
      </c>
      <c r="J2" s="116"/>
      <c r="K2" s="117"/>
    </row>
    <row r="3" spans="1:23" s="397" customFormat="1" ht="27" customHeight="1" x14ac:dyDescent="0.25">
      <c r="A3" s="392" t="s">
        <v>184</v>
      </c>
      <c r="B3" s="389"/>
      <c r="C3" s="113" t="str">
        <f>Head5</f>
        <v>Audited Outcome</v>
      </c>
      <c r="D3" s="91" t="str">
        <f>Head5</f>
        <v>Audited Outcome</v>
      </c>
      <c r="E3" s="379" t="str">
        <f>Head5</f>
        <v>Audited Outcome</v>
      </c>
      <c r="F3" s="378" t="str">
        <f>Head6</f>
        <v>Original Budget</v>
      </c>
      <c r="G3" s="114" t="str">
        <f>Head7</f>
        <v>Adjusted Budget</v>
      </c>
      <c r="H3" s="379" t="str">
        <f>Head8</f>
        <v>Full Year Forecast</v>
      </c>
      <c r="I3" s="378" t="str">
        <f>Head9</f>
        <v>Budget Year 2020/21</v>
      </c>
      <c r="J3" s="114" t="str">
        <f>Head10</f>
        <v>Budget Year +1 2021/22</v>
      </c>
      <c r="K3" s="379" t="str">
        <f>Head11</f>
        <v>Budget Year +2 2022/23</v>
      </c>
    </row>
    <row r="4" spans="1:23" ht="12.75" customHeight="1" x14ac:dyDescent="0.25">
      <c r="A4" s="51" t="s">
        <v>80</v>
      </c>
      <c r="B4" s="102"/>
      <c r="C4" s="26"/>
      <c r="D4" s="25"/>
      <c r="E4" s="95"/>
      <c r="F4" s="26"/>
      <c r="G4" s="25"/>
      <c r="H4" s="95"/>
      <c r="I4" s="26"/>
      <c r="J4" s="25"/>
      <c r="K4" s="95"/>
    </row>
    <row r="5" spans="1:23" ht="12.75" customHeight="1" x14ac:dyDescent="0.25">
      <c r="A5" s="51" t="s">
        <v>81</v>
      </c>
      <c r="B5" s="102"/>
      <c r="C5" s="26"/>
      <c r="D5" s="25"/>
      <c r="E5" s="95"/>
      <c r="F5" s="26"/>
      <c r="G5" s="25"/>
      <c r="H5" s="95"/>
      <c r="I5" s="26"/>
      <c r="J5" s="25"/>
      <c r="K5" s="95"/>
    </row>
    <row r="6" spans="1:23" ht="12.75" customHeight="1" x14ac:dyDescent="0.25">
      <c r="A6" s="22" t="s">
        <v>274</v>
      </c>
      <c r="B6" s="102"/>
      <c r="C6" s="229">
        <v>44057822</v>
      </c>
      <c r="D6" s="227">
        <v>81467989</v>
      </c>
      <c r="E6" s="228">
        <v>13555909</v>
      </c>
      <c r="F6" s="229">
        <v>58507477</v>
      </c>
      <c r="G6" s="227">
        <v>58507477</v>
      </c>
      <c r="H6" s="228">
        <v>58507477</v>
      </c>
      <c r="I6" s="229">
        <v>61140313.464999996</v>
      </c>
      <c r="J6" s="227">
        <v>63952767.884389997</v>
      </c>
      <c r="K6" s="228">
        <v>66894595.207071938</v>
      </c>
    </row>
    <row r="7" spans="1:23" ht="12.75" customHeight="1" x14ac:dyDescent="0.25">
      <c r="A7" s="22" t="s">
        <v>124</v>
      </c>
      <c r="B7" s="102"/>
      <c r="C7" s="229">
        <v>163811376</v>
      </c>
      <c r="D7" s="227">
        <v>53265198</v>
      </c>
      <c r="E7" s="228">
        <v>0</v>
      </c>
      <c r="F7" s="229">
        <v>63360000</v>
      </c>
      <c r="G7" s="227">
        <v>63360000</v>
      </c>
      <c r="H7" s="228">
        <v>63360000</v>
      </c>
      <c r="I7" s="229">
        <v>66211199.999999993</v>
      </c>
      <c r="J7" s="227">
        <v>69256915.199999988</v>
      </c>
      <c r="K7" s="228">
        <v>72442733.299199983</v>
      </c>
    </row>
    <row r="8" spans="1:23" ht="12.75" customHeight="1" x14ac:dyDescent="0.25">
      <c r="A8" s="22" t="s">
        <v>122</v>
      </c>
      <c r="B8" s="102"/>
      <c r="C8" s="229">
        <v>569159076</v>
      </c>
      <c r="D8" s="227">
        <v>586442019</v>
      </c>
      <c r="E8" s="228">
        <v>768845276</v>
      </c>
      <c r="F8" s="229">
        <v>747005277</v>
      </c>
      <c r="G8" s="227">
        <v>747005277</v>
      </c>
      <c r="H8" s="228">
        <v>747005277</v>
      </c>
      <c r="I8" s="229">
        <v>780620514.46499991</v>
      </c>
      <c r="J8" s="227">
        <v>816529058.13038993</v>
      </c>
      <c r="K8" s="228">
        <v>854089394.80438793</v>
      </c>
    </row>
    <row r="9" spans="1:23" ht="12.75" customHeight="1" x14ac:dyDescent="0.25">
      <c r="A9" s="22" t="s">
        <v>123</v>
      </c>
      <c r="B9" s="102"/>
      <c r="C9" s="229">
        <v>275470</v>
      </c>
      <c r="D9" s="227">
        <v>275470</v>
      </c>
      <c r="E9" s="228"/>
      <c r="F9" s="229">
        <v>0</v>
      </c>
      <c r="G9" s="227">
        <v>0</v>
      </c>
      <c r="H9" s="228">
        <v>0</v>
      </c>
      <c r="I9" s="229">
        <v>0</v>
      </c>
      <c r="J9" s="227">
        <v>0</v>
      </c>
      <c r="K9" s="228">
        <v>0</v>
      </c>
    </row>
    <row r="10" spans="1:23" ht="12.75" customHeight="1" x14ac:dyDescent="0.25">
      <c r="A10" s="22" t="s">
        <v>275</v>
      </c>
      <c r="B10" s="102"/>
      <c r="C10" s="229">
        <v>57607581</v>
      </c>
      <c r="D10" s="227">
        <v>67030116</v>
      </c>
      <c r="E10" s="228">
        <v>67336576</v>
      </c>
      <c r="F10" s="229">
        <v>0</v>
      </c>
      <c r="G10" s="227">
        <v>0</v>
      </c>
      <c r="H10" s="228">
        <v>0</v>
      </c>
      <c r="I10" s="229">
        <v>0</v>
      </c>
      <c r="J10" s="227">
        <v>0</v>
      </c>
      <c r="K10" s="228">
        <v>0</v>
      </c>
    </row>
    <row r="11" spans="1:23" ht="12.75" customHeight="1" x14ac:dyDescent="0.25">
      <c r="A11" s="22" t="s">
        <v>121</v>
      </c>
      <c r="B11" s="102"/>
      <c r="C11" s="229">
        <v>74254691</v>
      </c>
      <c r="D11" s="227">
        <v>99748852</v>
      </c>
      <c r="E11" s="228">
        <v>87664166</v>
      </c>
      <c r="F11" s="229">
        <v>89760001</v>
      </c>
      <c r="G11" s="227">
        <v>89760001</v>
      </c>
      <c r="H11" s="228">
        <v>89760001</v>
      </c>
      <c r="I11" s="229">
        <v>93799201.044999987</v>
      </c>
      <c r="J11" s="227">
        <v>98113964.293069988</v>
      </c>
      <c r="K11" s="228">
        <v>102627206.65055121</v>
      </c>
    </row>
    <row r="12" spans="1:23" ht="12.75" customHeight="1" x14ac:dyDescent="0.25">
      <c r="A12" s="55" t="s">
        <v>151</v>
      </c>
      <c r="B12" s="119"/>
      <c r="C12" s="43">
        <f>SUM(C6:C11)</f>
        <v>909166016</v>
      </c>
      <c r="D12" s="42">
        <f>SUM(D6:D11)</f>
        <v>888229644</v>
      </c>
      <c r="E12" s="96">
        <f>SUM(E6:E11)</f>
        <v>937401927</v>
      </c>
      <c r="F12" s="43">
        <f t="shared" ref="F12:K12" si="0">SUM(F6:F11)</f>
        <v>958632755</v>
      </c>
      <c r="G12" s="42">
        <f t="shared" si="0"/>
        <v>958632755</v>
      </c>
      <c r="H12" s="96">
        <f t="shared" si="0"/>
        <v>958632755</v>
      </c>
      <c r="I12" s="43">
        <f t="shared" si="0"/>
        <v>1001771228.9749999</v>
      </c>
      <c r="J12" s="42">
        <f t="shared" si="0"/>
        <v>1047852705.5078498</v>
      </c>
      <c r="K12" s="96">
        <f t="shared" si="0"/>
        <v>1096053929.9612112</v>
      </c>
      <c r="L12" s="37"/>
      <c r="M12" s="37"/>
      <c r="N12" s="37"/>
      <c r="O12" s="37"/>
      <c r="P12" s="37"/>
      <c r="Q12" s="37"/>
      <c r="R12" s="37"/>
      <c r="S12" s="37"/>
      <c r="T12" s="37"/>
      <c r="U12" s="37"/>
      <c r="V12" s="37"/>
      <c r="W12" s="37"/>
    </row>
    <row r="13" spans="1:23" ht="5.0999999999999996" customHeight="1" x14ac:dyDescent="0.25">
      <c r="A13" s="23"/>
      <c r="B13" s="102"/>
      <c r="C13" s="26"/>
      <c r="D13" s="25"/>
      <c r="E13" s="95"/>
      <c r="F13" s="26"/>
      <c r="G13" s="25"/>
      <c r="H13" s="95"/>
      <c r="I13" s="26"/>
      <c r="J13" s="25"/>
      <c r="K13" s="95"/>
    </row>
    <row r="14" spans="1:23" ht="13.5" customHeight="1" x14ac:dyDescent="0.25">
      <c r="A14" s="51" t="s">
        <v>21</v>
      </c>
      <c r="B14" s="102"/>
      <c r="C14" s="26"/>
      <c r="D14" s="25"/>
      <c r="E14" s="95"/>
      <c r="F14" s="26"/>
      <c r="G14" s="25"/>
      <c r="H14" s="95"/>
      <c r="I14" s="26"/>
      <c r="J14" s="25"/>
      <c r="K14" s="95"/>
    </row>
    <row r="15" spans="1:23" ht="12.75" customHeight="1" x14ac:dyDescent="0.25">
      <c r="A15" s="22" t="s">
        <v>120</v>
      </c>
      <c r="B15" s="102">
        <v>3</v>
      </c>
      <c r="C15" s="229">
        <v>1990583</v>
      </c>
      <c r="D15" s="227">
        <v>4566241</v>
      </c>
      <c r="E15" s="228">
        <v>4190063</v>
      </c>
      <c r="F15" s="229"/>
      <c r="G15" s="227"/>
      <c r="H15" s="228"/>
      <c r="I15" s="229"/>
      <c r="J15" s="227"/>
      <c r="K15" s="228"/>
    </row>
    <row r="16" spans="1:23" ht="12.75" customHeight="1" x14ac:dyDescent="0.25">
      <c r="A16" s="22" t="s">
        <v>82</v>
      </c>
      <c r="B16" s="102"/>
      <c r="C16" s="229"/>
      <c r="D16" s="227">
        <v>0</v>
      </c>
      <c r="E16" s="228"/>
      <c r="F16" s="229"/>
      <c r="G16" s="227"/>
      <c r="H16" s="228"/>
      <c r="I16" s="229"/>
      <c r="J16" s="227"/>
      <c r="K16" s="228"/>
    </row>
    <row r="17" spans="1:23" ht="12.75" customHeight="1" x14ac:dyDescent="0.25">
      <c r="A17" s="22" t="s">
        <v>119</v>
      </c>
      <c r="B17" s="102"/>
      <c r="C17" s="229"/>
      <c r="D17" s="227">
        <v>0</v>
      </c>
      <c r="E17" s="228"/>
      <c r="F17" s="229"/>
      <c r="G17" s="227"/>
      <c r="H17" s="228"/>
      <c r="I17" s="229"/>
      <c r="J17" s="227"/>
      <c r="K17" s="228"/>
    </row>
    <row r="18" spans="1:23" s="438" customFormat="1" ht="12.75" customHeight="1" x14ac:dyDescent="0.25">
      <c r="A18" s="50" t="s">
        <v>827</v>
      </c>
      <c r="B18" s="103"/>
      <c r="C18" s="229"/>
      <c r="D18" s="227"/>
      <c r="E18" s="228"/>
      <c r="F18" s="229"/>
      <c r="G18" s="227"/>
      <c r="H18" s="228"/>
      <c r="I18" s="229"/>
      <c r="J18" s="227"/>
      <c r="K18" s="228"/>
    </row>
    <row r="19" spans="1:23" ht="12.75" customHeight="1" x14ac:dyDescent="0.25">
      <c r="A19" s="22" t="s">
        <v>118</v>
      </c>
      <c r="B19" s="102">
        <v>1</v>
      </c>
      <c r="C19" s="229">
        <v>3851354871</v>
      </c>
      <c r="D19" s="227">
        <v>3809366681</v>
      </c>
      <c r="E19" s="228">
        <v>3851456597</v>
      </c>
      <c r="F19" s="229">
        <v>4046571989</v>
      </c>
      <c r="G19" s="227">
        <v>4020091989</v>
      </c>
      <c r="H19" s="228">
        <v>4020091989</v>
      </c>
      <c r="I19" s="229">
        <v>4090781373.23</v>
      </c>
      <c r="J19" s="227">
        <v>4285867839.1500001</v>
      </c>
      <c r="K19" s="228">
        <v>4490318455.4200001</v>
      </c>
    </row>
    <row r="20" spans="1:23" s="438" customFormat="1" ht="0.95" customHeight="1" x14ac:dyDescent="0.25">
      <c r="A20" s="22"/>
      <c r="B20" s="103"/>
      <c r="C20" s="424"/>
      <c r="D20" s="422"/>
      <c r="E20" s="425"/>
      <c r="F20" s="424"/>
      <c r="G20" s="422"/>
      <c r="H20" s="425"/>
      <c r="I20" s="424"/>
      <c r="J20" s="422"/>
      <c r="K20" s="425"/>
    </row>
    <row r="21" spans="1:23" s="438" customFormat="1" ht="12.75" customHeight="1" x14ac:dyDescent="0.25">
      <c r="A21" s="22" t="s">
        <v>828</v>
      </c>
      <c r="B21" s="103"/>
      <c r="C21" s="229"/>
      <c r="D21" s="227"/>
      <c r="E21" s="228"/>
      <c r="F21" s="229"/>
      <c r="G21" s="227"/>
      <c r="H21" s="228"/>
      <c r="I21" s="229"/>
      <c r="J21" s="227"/>
      <c r="K21" s="228"/>
    </row>
    <row r="22" spans="1:23" s="438" customFormat="1" ht="12.75" customHeight="1" x14ac:dyDescent="0.25">
      <c r="A22" s="22" t="s">
        <v>829</v>
      </c>
      <c r="B22" s="103"/>
      <c r="C22" s="229">
        <v>103828005</v>
      </c>
      <c r="D22" s="227">
        <v>100820124</v>
      </c>
      <c r="E22" s="228">
        <v>96862893</v>
      </c>
      <c r="F22" s="229">
        <v>82523634</v>
      </c>
      <c r="G22" s="227">
        <v>82523634</v>
      </c>
      <c r="H22" s="228">
        <v>82523634</v>
      </c>
      <c r="I22" s="229">
        <v>86237197.530000001</v>
      </c>
      <c r="J22" s="227">
        <v>90204108.616380006</v>
      </c>
      <c r="K22" s="228">
        <v>94353497.612733483</v>
      </c>
    </row>
    <row r="23" spans="1:23" s="438" customFormat="1" ht="12.75" customHeight="1" x14ac:dyDescent="0.25">
      <c r="A23" s="50" t="s">
        <v>815</v>
      </c>
      <c r="B23" s="103"/>
      <c r="C23" s="229">
        <v>230245210</v>
      </c>
      <c r="D23" s="227">
        <v>300817107</v>
      </c>
      <c r="E23" s="228">
        <v>454432719</v>
      </c>
      <c r="F23" s="229">
        <v>243138942</v>
      </c>
      <c r="G23" s="227">
        <v>243138942</v>
      </c>
      <c r="H23" s="228">
        <v>243138942</v>
      </c>
      <c r="I23" s="229">
        <v>254080194.38999999</v>
      </c>
      <c r="J23" s="227">
        <v>265767883.33194</v>
      </c>
      <c r="K23" s="228">
        <v>277993205.96520925</v>
      </c>
    </row>
    <row r="24" spans="1:23" ht="12.75" customHeight="1" x14ac:dyDescent="0.25">
      <c r="A24" s="55" t="s">
        <v>150</v>
      </c>
      <c r="B24" s="119"/>
      <c r="C24" s="43">
        <f>SUM(C15:C19)+SUM(C21:C23)</f>
        <v>4187418669</v>
      </c>
      <c r="D24" s="42">
        <f t="shared" ref="D24:K24" si="1">SUM(D15:D19)+SUM(D21:D23)</f>
        <v>4215570153</v>
      </c>
      <c r="E24" s="96">
        <f t="shared" si="1"/>
        <v>4406942272</v>
      </c>
      <c r="F24" s="43">
        <f t="shared" si="1"/>
        <v>4372234565</v>
      </c>
      <c r="G24" s="42">
        <f t="shared" si="1"/>
        <v>4345754565</v>
      </c>
      <c r="H24" s="96">
        <f t="shared" si="1"/>
        <v>4345754565</v>
      </c>
      <c r="I24" s="43">
        <f t="shared" si="1"/>
        <v>4431098765.1499996</v>
      </c>
      <c r="J24" s="42">
        <f t="shared" si="1"/>
        <v>4641839831.09832</v>
      </c>
      <c r="K24" s="96">
        <f t="shared" si="1"/>
        <v>4862665158.9979429</v>
      </c>
      <c r="L24" s="37"/>
      <c r="M24" s="37"/>
      <c r="N24" s="37"/>
      <c r="O24" s="37"/>
      <c r="P24" s="37"/>
      <c r="Q24" s="37"/>
      <c r="R24" s="37"/>
      <c r="S24" s="37"/>
      <c r="T24" s="37"/>
      <c r="U24" s="37"/>
      <c r="V24" s="37"/>
      <c r="W24" s="37"/>
    </row>
    <row r="25" spans="1:23" ht="12.75" customHeight="1" x14ac:dyDescent="0.25">
      <c r="A25" s="55" t="s">
        <v>268</v>
      </c>
      <c r="B25" s="119"/>
      <c r="C25" s="43">
        <f>C12+C24</f>
        <v>5096584685</v>
      </c>
      <c r="D25" s="42">
        <f>D12+D24</f>
        <v>5103799797</v>
      </c>
      <c r="E25" s="96">
        <f>E12+E24</f>
        <v>5344344199</v>
      </c>
      <c r="F25" s="43">
        <f t="shared" ref="F25:K25" si="2">F12+F24</f>
        <v>5330867320</v>
      </c>
      <c r="G25" s="42">
        <f t="shared" si="2"/>
        <v>5304387320</v>
      </c>
      <c r="H25" s="96">
        <f t="shared" si="2"/>
        <v>5304387320</v>
      </c>
      <c r="I25" s="43">
        <f t="shared" si="2"/>
        <v>5432869994.125</v>
      </c>
      <c r="J25" s="42">
        <f t="shared" si="2"/>
        <v>5689692536.6061697</v>
      </c>
      <c r="K25" s="96">
        <f t="shared" si="2"/>
        <v>5958719088.9591541</v>
      </c>
      <c r="L25" s="37"/>
      <c r="M25" s="37"/>
      <c r="N25" s="37"/>
      <c r="O25" s="37"/>
      <c r="P25" s="37"/>
      <c r="Q25" s="37"/>
      <c r="R25" s="37"/>
      <c r="S25" s="37"/>
      <c r="T25" s="37"/>
      <c r="U25" s="37"/>
      <c r="V25" s="37"/>
      <c r="W25" s="37"/>
    </row>
    <row r="26" spans="1:23" ht="5.0999999999999996" customHeight="1" x14ac:dyDescent="0.25">
      <c r="A26" s="23"/>
      <c r="B26" s="102"/>
      <c r="C26" s="26"/>
      <c r="D26" s="25"/>
      <c r="E26" s="95"/>
      <c r="F26" s="26"/>
      <c r="G26" s="25"/>
      <c r="H26" s="95"/>
      <c r="I26" s="26"/>
      <c r="J26" s="25"/>
      <c r="K26" s="95"/>
    </row>
    <row r="27" spans="1:23" ht="12.75" customHeight="1" x14ac:dyDescent="0.25">
      <c r="A27" s="51" t="s">
        <v>22</v>
      </c>
      <c r="B27" s="102"/>
      <c r="C27" s="26"/>
      <c r="D27" s="25"/>
      <c r="E27" s="95"/>
      <c r="F27" s="26"/>
      <c r="G27" s="25"/>
      <c r="H27" s="95"/>
      <c r="I27" s="26"/>
      <c r="J27" s="25"/>
      <c r="K27" s="95"/>
    </row>
    <row r="28" spans="1:23" ht="12.75" customHeight="1" x14ac:dyDescent="0.25">
      <c r="A28" s="51" t="s">
        <v>83</v>
      </c>
      <c r="B28" s="106"/>
      <c r="C28" s="26"/>
      <c r="D28" s="25"/>
      <c r="E28" s="95"/>
      <c r="F28" s="26"/>
      <c r="G28" s="25"/>
      <c r="H28" s="95"/>
      <c r="I28" s="26"/>
      <c r="J28" s="25"/>
      <c r="K28" s="95"/>
    </row>
    <row r="29" spans="1:23" ht="12.75" customHeight="1" x14ac:dyDescent="0.25">
      <c r="A29" s="22" t="s">
        <v>241</v>
      </c>
      <c r="B29" s="102"/>
      <c r="C29" s="229"/>
      <c r="D29" s="227"/>
      <c r="E29" s="228"/>
      <c r="F29" s="229"/>
      <c r="G29" s="227"/>
      <c r="H29" s="228"/>
      <c r="I29" s="229"/>
      <c r="J29" s="227"/>
      <c r="K29" s="228"/>
    </row>
    <row r="30" spans="1:23" ht="12.75" customHeight="1" x14ac:dyDescent="0.25">
      <c r="A30" s="22" t="s">
        <v>270</v>
      </c>
      <c r="B30" s="102"/>
      <c r="C30" s="229"/>
      <c r="D30" s="227"/>
      <c r="E30" s="228">
        <v>20282000</v>
      </c>
      <c r="F30" s="229">
        <v>23212879</v>
      </c>
      <c r="G30" s="227">
        <v>23212879</v>
      </c>
      <c r="H30" s="228">
        <v>23212879</v>
      </c>
      <c r="I30" s="229">
        <v>24257458.555</v>
      </c>
      <c r="J30" s="227">
        <v>25373301.648529999</v>
      </c>
      <c r="K30" s="228">
        <v>26540473.524362382</v>
      </c>
    </row>
    <row r="31" spans="1:23" ht="12.75" customHeight="1" x14ac:dyDescent="0.25">
      <c r="A31" s="22" t="s">
        <v>117</v>
      </c>
      <c r="B31" s="102"/>
      <c r="C31" s="229">
        <v>115353089</v>
      </c>
      <c r="D31" s="227">
        <v>114471056</v>
      </c>
      <c r="E31" s="228">
        <v>115053108</v>
      </c>
      <c r="F31" s="229">
        <v>96293584</v>
      </c>
      <c r="G31" s="227">
        <v>96293584</v>
      </c>
      <c r="H31" s="228">
        <v>96293584</v>
      </c>
      <c r="I31" s="229">
        <v>100626795.27999999</v>
      </c>
      <c r="J31" s="227">
        <v>105255627.86287999</v>
      </c>
      <c r="K31" s="228">
        <v>110097386.74457248</v>
      </c>
    </row>
    <row r="32" spans="1:23" ht="12.75" customHeight="1" x14ac:dyDescent="0.25">
      <c r="A32" s="22" t="s">
        <v>276</v>
      </c>
      <c r="B32" s="102"/>
      <c r="C32" s="229">
        <v>498999891</v>
      </c>
      <c r="D32" s="227">
        <v>565612500</v>
      </c>
      <c r="E32" s="228">
        <v>855978393</v>
      </c>
      <c r="F32" s="229">
        <v>515621472</v>
      </c>
      <c r="G32" s="227">
        <v>515621472</v>
      </c>
      <c r="H32" s="228">
        <v>515621472</v>
      </c>
      <c r="I32" s="229">
        <v>538824438.24000001</v>
      </c>
      <c r="J32" s="227">
        <v>563610362.39903998</v>
      </c>
      <c r="K32" s="228">
        <v>589536439.0693959</v>
      </c>
    </row>
    <row r="33" spans="1:23" ht="12.75" customHeight="1" x14ac:dyDescent="0.25">
      <c r="A33" s="22" t="s">
        <v>84</v>
      </c>
      <c r="B33" s="102">
        <v>3</v>
      </c>
      <c r="C33" s="229"/>
      <c r="D33" s="227">
        <v>0</v>
      </c>
      <c r="E33" s="228">
        <v>31374286</v>
      </c>
      <c r="F33" s="229">
        <v>33362242</v>
      </c>
      <c r="G33" s="227">
        <v>33362242</v>
      </c>
      <c r="H33" s="228">
        <v>33362242</v>
      </c>
      <c r="I33" s="229">
        <v>34863542.890000001</v>
      </c>
      <c r="J33" s="227">
        <v>36467265.862939999</v>
      </c>
      <c r="K33" s="228">
        <v>38144760.092635237</v>
      </c>
    </row>
    <row r="34" spans="1:23" ht="12.75" customHeight="1" x14ac:dyDescent="0.25">
      <c r="A34" s="55" t="s">
        <v>25</v>
      </c>
      <c r="B34" s="119"/>
      <c r="C34" s="43">
        <f t="shared" ref="C34:K34" si="3">SUM(C29:C33)</f>
        <v>614352980</v>
      </c>
      <c r="D34" s="42">
        <f t="shared" si="3"/>
        <v>680083556</v>
      </c>
      <c r="E34" s="96">
        <f t="shared" si="3"/>
        <v>1022687787</v>
      </c>
      <c r="F34" s="43">
        <f t="shared" si="3"/>
        <v>668490177</v>
      </c>
      <c r="G34" s="42">
        <f t="shared" si="3"/>
        <v>668490177</v>
      </c>
      <c r="H34" s="96">
        <f t="shared" si="3"/>
        <v>668490177</v>
      </c>
      <c r="I34" s="43">
        <f t="shared" si="3"/>
        <v>698572234.96500003</v>
      </c>
      <c r="J34" s="42">
        <f t="shared" si="3"/>
        <v>730706557.77338994</v>
      </c>
      <c r="K34" s="96">
        <f t="shared" si="3"/>
        <v>764319059.43096602</v>
      </c>
      <c r="L34" s="37"/>
      <c r="M34" s="37"/>
      <c r="N34" s="37"/>
      <c r="O34" s="37"/>
      <c r="P34" s="37"/>
      <c r="Q34" s="37"/>
      <c r="R34" s="37"/>
      <c r="S34" s="37"/>
      <c r="T34" s="37"/>
      <c r="U34" s="37"/>
      <c r="V34" s="37"/>
      <c r="W34" s="37"/>
    </row>
    <row r="35" spans="1:23" ht="5.0999999999999996" customHeight="1" x14ac:dyDescent="0.25">
      <c r="A35" s="23"/>
      <c r="B35" s="102"/>
      <c r="C35" s="26"/>
      <c r="D35" s="25"/>
      <c r="E35" s="95"/>
      <c r="F35" s="26"/>
      <c r="G35" s="25"/>
      <c r="H35" s="95"/>
      <c r="I35" s="26"/>
      <c r="J35" s="25"/>
      <c r="K35" s="95"/>
    </row>
    <row r="36" spans="1:23" ht="12.75" customHeight="1" x14ac:dyDescent="0.25">
      <c r="A36" s="51" t="s">
        <v>23</v>
      </c>
      <c r="B36" s="102"/>
      <c r="C36" s="26"/>
      <c r="D36" s="25"/>
      <c r="E36" s="95"/>
      <c r="F36" s="26"/>
      <c r="G36" s="25"/>
      <c r="H36" s="95"/>
      <c r="I36" s="26"/>
      <c r="J36" s="25"/>
      <c r="K36" s="95"/>
    </row>
    <row r="37" spans="1:23" ht="12.75" customHeight="1" x14ac:dyDescent="0.25">
      <c r="A37" s="22" t="s">
        <v>270</v>
      </c>
      <c r="B37" s="102"/>
      <c r="C37" s="229"/>
      <c r="D37" s="227"/>
      <c r="E37" s="228"/>
      <c r="F37" s="229"/>
      <c r="G37" s="227"/>
      <c r="H37" s="228"/>
      <c r="I37" s="229"/>
      <c r="J37" s="227"/>
      <c r="K37" s="228"/>
    </row>
    <row r="38" spans="1:23" ht="12.75" customHeight="1" x14ac:dyDescent="0.25">
      <c r="A38" s="22" t="s">
        <v>84</v>
      </c>
      <c r="B38" s="102">
        <v>3</v>
      </c>
      <c r="C38" s="229">
        <v>2256245415</v>
      </c>
      <c r="D38" s="227">
        <v>594244899</v>
      </c>
      <c r="E38" s="228">
        <v>687953110.80999994</v>
      </c>
      <c r="F38" s="229">
        <v>623775810</v>
      </c>
      <c r="G38" s="227">
        <v>623775810</v>
      </c>
      <c r="H38" s="228">
        <v>623775810</v>
      </c>
      <c r="I38" s="229">
        <v>654340824.69000006</v>
      </c>
      <c r="J38" s="227">
        <v>685749184.27512014</v>
      </c>
      <c r="K38" s="228">
        <v>718665145.12032592</v>
      </c>
    </row>
    <row r="39" spans="1:23" ht="12.75" customHeight="1" x14ac:dyDescent="0.25">
      <c r="A39" s="55" t="s">
        <v>24</v>
      </c>
      <c r="B39" s="119"/>
      <c r="C39" s="122">
        <f>SUM(C37:C38)</f>
        <v>2256245415</v>
      </c>
      <c r="D39" s="125">
        <f>SUM(D37:D38)</f>
        <v>594244899</v>
      </c>
      <c r="E39" s="96">
        <f>SUM(E37:E38)</f>
        <v>687953110.80999994</v>
      </c>
      <c r="F39" s="43">
        <f t="shared" ref="F39:K39" si="4">SUM(F37:F38)</f>
        <v>623775810</v>
      </c>
      <c r="G39" s="42">
        <f t="shared" si="4"/>
        <v>623775810</v>
      </c>
      <c r="H39" s="96">
        <f t="shared" si="4"/>
        <v>623775810</v>
      </c>
      <c r="I39" s="43">
        <f t="shared" si="4"/>
        <v>654340824.69000006</v>
      </c>
      <c r="J39" s="42">
        <f t="shared" si="4"/>
        <v>685749184.27512014</v>
      </c>
      <c r="K39" s="96">
        <f t="shared" si="4"/>
        <v>718665145.12032592</v>
      </c>
      <c r="L39" s="37"/>
      <c r="M39" s="37"/>
      <c r="N39" s="37"/>
      <c r="O39" s="37"/>
      <c r="P39" s="37"/>
      <c r="Q39" s="37"/>
      <c r="R39" s="37"/>
      <c r="S39" s="37"/>
      <c r="T39" s="37"/>
      <c r="U39" s="37"/>
      <c r="V39" s="37"/>
      <c r="W39" s="37"/>
    </row>
    <row r="40" spans="1:23" ht="12.75" customHeight="1" x14ac:dyDescent="0.25">
      <c r="A40" s="55" t="s">
        <v>412</v>
      </c>
      <c r="B40" s="119"/>
      <c r="C40" s="43">
        <f>C34+C39</f>
        <v>2870598395</v>
      </c>
      <c r="D40" s="42">
        <f>D34+D39</f>
        <v>1274328455</v>
      </c>
      <c r="E40" s="96">
        <f>E34+E39</f>
        <v>1710640897.8099999</v>
      </c>
      <c r="F40" s="43">
        <f t="shared" ref="F40:K40" si="5">F34+F39</f>
        <v>1292265987</v>
      </c>
      <c r="G40" s="42">
        <f t="shared" si="5"/>
        <v>1292265987</v>
      </c>
      <c r="H40" s="96">
        <f t="shared" si="5"/>
        <v>1292265987</v>
      </c>
      <c r="I40" s="43">
        <f t="shared" si="5"/>
        <v>1352913059.6550002</v>
      </c>
      <c r="J40" s="42">
        <f t="shared" si="5"/>
        <v>1416455742.0485101</v>
      </c>
      <c r="K40" s="96">
        <f t="shared" si="5"/>
        <v>1482984204.5512919</v>
      </c>
      <c r="L40" s="37"/>
      <c r="M40" s="37"/>
      <c r="N40" s="37"/>
      <c r="O40" s="37"/>
      <c r="P40" s="37"/>
      <c r="Q40" s="37"/>
      <c r="R40" s="37"/>
      <c r="S40" s="37"/>
      <c r="T40" s="37"/>
      <c r="U40" s="37"/>
      <c r="V40" s="37"/>
      <c r="W40" s="37"/>
    </row>
    <row r="41" spans="1:23" s="40" customFormat="1" ht="5.0999999999999996" customHeight="1" x14ac:dyDescent="0.25">
      <c r="A41" s="23"/>
      <c r="B41" s="102"/>
      <c r="C41" s="26"/>
      <c r="D41" s="25"/>
      <c r="E41" s="95"/>
      <c r="F41" s="26"/>
      <c r="G41" s="25"/>
      <c r="H41" s="95"/>
      <c r="I41" s="26"/>
      <c r="J41" s="25"/>
      <c r="K41" s="95"/>
    </row>
    <row r="42" spans="1:23" ht="12.75" customHeight="1" x14ac:dyDescent="0.25">
      <c r="A42" s="300" t="s">
        <v>267</v>
      </c>
      <c r="B42" s="123">
        <v>2</v>
      </c>
      <c r="C42" s="398">
        <f t="shared" ref="C42:K42" si="6">C25-C40</f>
        <v>2225986290</v>
      </c>
      <c r="D42" s="399">
        <f t="shared" si="6"/>
        <v>3829471342</v>
      </c>
      <c r="E42" s="400">
        <f t="shared" si="6"/>
        <v>3633703301.1900001</v>
      </c>
      <c r="F42" s="398">
        <f t="shared" si="6"/>
        <v>4038601333</v>
      </c>
      <c r="G42" s="399">
        <f t="shared" si="6"/>
        <v>4012121333</v>
      </c>
      <c r="H42" s="400">
        <f t="shared" si="6"/>
        <v>4012121333</v>
      </c>
      <c r="I42" s="398">
        <f t="shared" si="6"/>
        <v>4079956934.4699998</v>
      </c>
      <c r="J42" s="399">
        <f t="shared" si="6"/>
        <v>4273236794.5576596</v>
      </c>
      <c r="K42" s="400">
        <f t="shared" si="6"/>
        <v>4475734884.4078617</v>
      </c>
      <c r="L42" s="37"/>
      <c r="M42" s="37"/>
      <c r="N42" s="37"/>
      <c r="O42" s="37"/>
      <c r="P42" s="37"/>
      <c r="Q42" s="37"/>
      <c r="R42" s="37"/>
      <c r="S42" s="37"/>
      <c r="T42" s="37"/>
      <c r="U42" s="37"/>
      <c r="V42" s="37"/>
      <c r="W42" s="37"/>
    </row>
    <row r="43" spans="1:23" ht="5.0999999999999996" customHeight="1" x14ac:dyDescent="0.25">
      <c r="A43" s="23"/>
      <c r="B43" s="102"/>
      <c r="C43" s="26"/>
      <c r="D43" s="25"/>
      <c r="E43" s="95"/>
      <c r="F43" s="26"/>
      <c r="G43" s="25"/>
      <c r="H43" s="95"/>
      <c r="I43" s="26"/>
      <c r="J43" s="25"/>
      <c r="K43" s="95"/>
    </row>
    <row r="44" spans="1:23" ht="12.75" customHeight="1" x14ac:dyDescent="0.25">
      <c r="A44" s="51" t="s">
        <v>152</v>
      </c>
      <c r="B44" s="102"/>
      <c r="C44" s="26"/>
      <c r="D44" s="25"/>
      <c r="E44" s="95"/>
      <c r="F44" s="26"/>
      <c r="G44" s="25"/>
      <c r="H44" s="95"/>
      <c r="I44" s="26"/>
      <c r="J44" s="25"/>
      <c r="K44" s="95"/>
    </row>
    <row r="45" spans="1:23" ht="12.75" customHeight="1" x14ac:dyDescent="0.25">
      <c r="A45" s="22" t="s">
        <v>101</v>
      </c>
      <c r="B45" s="102"/>
      <c r="C45" s="229">
        <v>1114509788</v>
      </c>
      <c r="D45" s="227">
        <v>2369340937</v>
      </c>
      <c r="E45" s="228">
        <v>755147312</v>
      </c>
      <c r="F45" s="229">
        <v>1255042663</v>
      </c>
      <c r="G45" s="227">
        <v>1228562663</v>
      </c>
      <c r="H45" s="228">
        <v>1228562663</v>
      </c>
      <c r="I45" s="229">
        <v>1424153507.8599999</v>
      </c>
      <c r="J45" s="227">
        <v>1741138556.7191801</v>
      </c>
      <c r="K45" s="228">
        <v>2061845171.3652401</v>
      </c>
    </row>
    <row r="46" spans="1:23" ht="12.75" customHeight="1" x14ac:dyDescent="0.25">
      <c r="A46" s="22" t="s">
        <v>342</v>
      </c>
      <c r="B46" s="102"/>
      <c r="C46" s="229">
        <v>1111476502</v>
      </c>
      <c r="D46" s="227">
        <v>1460130405</v>
      </c>
      <c r="E46" s="228">
        <v>2878555989.1900001</v>
      </c>
      <c r="F46" s="229">
        <v>2783558670</v>
      </c>
      <c r="G46" s="227">
        <v>2783558670</v>
      </c>
      <c r="H46" s="228">
        <v>2783558670</v>
      </c>
      <c r="I46" s="229">
        <v>2655803426.6099997</v>
      </c>
      <c r="J46" s="227">
        <v>2532098237.8384795</v>
      </c>
      <c r="K46" s="228">
        <v>2413889713.0426216</v>
      </c>
    </row>
    <row r="47" spans="1:23" s="438" customFormat="1" ht="0.95" customHeight="1" x14ac:dyDescent="0.25">
      <c r="A47" s="50"/>
      <c r="B47" s="103"/>
      <c r="C47" s="424"/>
      <c r="D47" s="422"/>
      <c r="E47" s="425"/>
      <c r="F47" s="424"/>
      <c r="G47" s="422"/>
      <c r="H47" s="425"/>
      <c r="I47" s="424"/>
      <c r="J47" s="422"/>
      <c r="K47" s="425"/>
    </row>
    <row r="48" spans="1:23" ht="12.75" customHeight="1" x14ac:dyDescent="0.25">
      <c r="A48" s="30" t="s">
        <v>145</v>
      </c>
      <c r="B48" s="121">
        <v>2</v>
      </c>
      <c r="C48" s="32">
        <f>SUM(C45:C46)</f>
        <v>2225986290</v>
      </c>
      <c r="D48" s="31">
        <f t="shared" ref="D48:K48" si="7">SUM(D45:D46)</f>
        <v>3829471342</v>
      </c>
      <c r="E48" s="120">
        <f t="shared" si="7"/>
        <v>3633703301.1900001</v>
      </c>
      <c r="F48" s="32">
        <f t="shared" si="7"/>
        <v>4038601333</v>
      </c>
      <c r="G48" s="31">
        <f t="shared" si="7"/>
        <v>4012121333</v>
      </c>
      <c r="H48" s="120">
        <f t="shared" si="7"/>
        <v>4012121333</v>
      </c>
      <c r="I48" s="32">
        <f t="shared" si="7"/>
        <v>4079956934.4699993</v>
      </c>
      <c r="J48" s="31">
        <f t="shared" si="7"/>
        <v>4273236794.5576596</v>
      </c>
      <c r="K48" s="120">
        <f t="shared" si="7"/>
        <v>4475734884.4078617</v>
      </c>
      <c r="L48" s="37"/>
      <c r="M48" s="37"/>
      <c r="N48" s="37"/>
      <c r="O48" s="37"/>
      <c r="P48" s="37"/>
      <c r="Q48" s="37"/>
      <c r="R48" s="37"/>
      <c r="S48" s="37"/>
      <c r="T48" s="37"/>
      <c r="U48" s="37"/>
      <c r="V48" s="37"/>
      <c r="W48" s="37"/>
    </row>
    <row r="49" spans="1:11" ht="12.75" customHeight="1" x14ac:dyDescent="0.25">
      <c r="A49" s="33" t="s">
        <v>163</v>
      </c>
      <c r="B49" s="34"/>
      <c r="C49" s="37"/>
      <c r="D49" s="37"/>
      <c r="E49" s="37"/>
      <c r="F49" s="37"/>
      <c r="G49" s="37"/>
      <c r="H49" s="37"/>
      <c r="I49" s="37"/>
      <c r="J49" s="37"/>
      <c r="K49" s="37"/>
    </row>
    <row r="50" spans="1:11" ht="12.75" customHeight="1" x14ac:dyDescent="0.25">
      <c r="A50" s="396" t="s">
        <v>535</v>
      </c>
      <c r="B50" s="45"/>
      <c r="C50" s="45"/>
      <c r="D50" s="45"/>
      <c r="E50" s="45"/>
      <c r="F50" s="45"/>
      <c r="G50" s="45"/>
      <c r="H50" s="45"/>
      <c r="I50" s="45"/>
      <c r="J50" s="45"/>
      <c r="K50" s="45"/>
    </row>
    <row r="51" spans="1:11" ht="12.75" customHeight="1" x14ac:dyDescent="0.25">
      <c r="A51" s="396" t="s">
        <v>536</v>
      </c>
      <c r="B51" s="38"/>
      <c r="C51" s="46"/>
      <c r="D51" s="46"/>
      <c r="E51" s="44"/>
      <c r="F51" s="44"/>
      <c r="G51" s="44"/>
      <c r="H51" s="44"/>
      <c r="I51" s="44"/>
      <c r="J51" s="44"/>
      <c r="K51" s="44"/>
    </row>
    <row r="52" spans="1:11" ht="12.75" customHeight="1" x14ac:dyDescent="0.25">
      <c r="A52" s="35" t="s">
        <v>325</v>
      </c>
      <c r="B52" s="38"/>
      <c r="C52" s="46"/>
      <c r="D52" s="46"/>
      <c r="E52" s="44"/>
      <c r="F52" s="44"/>
      <c r="G52" s="44"/>
      <c r="H52" s="44"/>
      <c r="I52" s="44"/>
      <c r="J52" s="44"/>
      <c r="K52" s="44"/>
    </row>
    <row r="53" spans="1:11" ht="11.25" customHeight="1" x14ac:dyDescent="0.25">
      <c r="A53" s="39" t="s">
        <v>230</v>
      </c>
      <c r="B53" s="38"/>
      <c r="C53" s="460">
        <f>IF((C42-C48)=0,0,"Unbalanced")</f>
        <v>0</v>
      </c>
      <c r="D53" s="66">
        <f t="shared" ref="D53:K53" si="8">IF((D42-D48)=0,0,"Unbalanced")</f>
        <v>0</v>
      </c>
      <c r="E53" s="66">
        <f t="shared" si="8"/>
        <v>0</v>
      </c>
      <c r="F53" s="66">
        <f t="shared" si="8"/>
        <v>0</v>
      </c>
      <c r="G53" s="109">
        <f t="shared" si="8"/>
        <v>0</v>
      </c>
      <c r="H53" s="66">
        <f t="shared" si="8"/>
        <v>0</v>
      </c>
      <c r="I53" s="66" t="str">
        <f t="shared" si="8"/>
        <v>Unbalanced</v>
      </c>
      <c r="J53" s="66">
        <f t="shared" si="8"/>
        <v>0</v>
      </c>
      <c r="K53" s="66">
        <f t="shared" si="8"/>
        <v>0</v>
      </c>
    </row>
    <row r="54" spans="1:11" ht="11.25" customHeight="1" x14ac:dyDescent="0.25">
      <c r="B54" s="19"/>
    </row>
    <row r="55" spans="1:11" ht="11.25" customHeight="1" x14ac:dyDescent="0.25">
      <c r="B55" s="19"/>
    </row>
    <row r="56" spans="1:11" ht="11.25" customHeight="1" x14ac:dyDescent="0.25">
      <c r="B56" s="19"/>
    </row>
    <row r="57" spans="1:11" ht="11.25" customHeight="1" x14ac:dyDescent="0.25">
      <c r="B57" s="19"/>
    </row>
    <row r="58" spans="1:11" ht="11.25" customHeight="1" x14ac:dyDescent="0.25">
      <c r="B58" s="19"/>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144</vt:i4>
      </vt:variant>
    </vt:vector>
  </HeadingPairs>
  <TitlesOfParts>
    <vt:vector size="165"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_MEB1</vt:lpstr>
      <vt:lpstr>_MEB10</vt:lpstr>
      <vt:lpstr>_MEB11</vt:lpstr>
      <vt:lpstr>_MEB12</vt:lpstr>
      <vt:lpstr>_MEB13</vt:lpstr>
      <vt:lpstr>_MEB2</vt:lpstr>
      <vt:lpstr>_MEB3</vt:lpstr>
      <vt:lpstr>_MEB4</vt:lpstr>
      <vt:lpstr>_MEB5</vt:lpstr>
      <vt:lpstr>_MEB6</vt:lpstr>
      <vt:lpstr>_MEB7</vt:lpstr>
      <vt:lpstr>_MEB8</vt:lpstr>
      <vt:lpstr>_MEB9</vt:lpstr>
      <vt:lpstr>Asset_Class</vt:lpstr>
      <vt:lpstr>asset_class1</vt:lpstr>
      <vt:lpstr>Asset_sub_class</vt:lpstr>
      <vt:lpstr>asset_subclass1</vt:lpstr>
      <vt:lpstr>basedesc</vt:lpstr>
      <vt:lpstr>Cash1</vt:lpstr>
      <vt:lpstr>Cash2</vt:lpstr>
      <vt:lpstr>desc</vt:lpstr>
      <vt:lpstr>entity</vt:lpstr>
      <vt:lpstr>entityshort</vt:lpstr>
      <vt:lpstr>fdil</vt:lpstr>
      <vt:lpstr>Instructions!FinYear</vt:lpstr>
      <vt:lpstr>GrantNatCapex</vt:lpstr>
      <vt:lpstr>GrantNatOpex</vt:lpstr>
      <vt:lpstr>GrantProvCapex</vt:lpstr>
      <vt:lpstr>GrantProvOpex</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IUDF</vt:lpstr>
      <vt:lpstr>List1</vt:lpstr>
      <vt:lpstr>List2</vt:lpstr>
      <vt:lpstr>List3</vt:lpstr>
      <vt:lpstr>List4</vt:lpstr>
      <vt:lpstr>List5</vt:lpstr>
      <vt:lpstr>List6</vt:lpstr>
      <vt:lpstr>List7</vt:lpstr>
      <vt:lpstr>List8</vt:lpstr>
      <vt:lpstr>MEB1A</vt:lpstr>
      <vt:lpstr>MEB5a</vt:lpstr>
      <vt:lpstr>MEB5b</vt:lpstr>
      <vt:lpstr>MEB9a</vt:lpstr>
      <vt:lpstr>MEB9b</vt:lpstr>
      <vt:lpstr>MEB9c</vt:lpstr>
      <vt:lpstr>MEB9d</vt:lpstr>
      <vt:lpstr>MEB9e</vt:lpstr>
      <vt:lpstr>MEBsum</vt:lpstr>
      <vt:lpstr>Instructions!MTREF</vt:lpstr>
      <vt:lpstr>MTREF</vt:lpstr>
      <vt:lpstr>MTSF</vt:lpstr>
      <vt:lpstr>muni</vt:lpstr>
      <vt:lpstr>'D1-Sum'!Print_Area</vt:lpstr>
      <vt:lpstr>'D2-FinPerf'!Print_Area</vt:lpstr>
      <vt:lpstr>'D4-FinPos'!Print_Area</vt:lpstr>
      <vt:lpstr>'D5-CFlow'!Print_Area</vt:lpstr>
      <vt:lpstr>Instructions!Print_Area</vt:lpstr>
      <vt:lpstr>'SD1'!Print_Area</vt:lpstr>
      <vt:lpstr>'SD10'!Print_Area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Zoe Williams</cp:lastModifiedBy>
  <cp:lastPrinted>2015-03-02T13:45:05Z</cp:lastPrinted>
  <dcterms:created xsi:type="dcterms:W3CDTF">2004-04-07T16:19:08Z</dcterms:created>
  <dcterms:modified xsi:type="dcterms:W3CDTF">2020-06-27T17:36:50Z</dcterms:modified>
</cp:coreProperties>
</file>