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MMM\2019\UIF\Submission to Risk Management\"/>
    </mc:Choice>
  </mc:AlternateContent>
  <xr:revisionPtr revIDLastSave="0" documentId="13_ncr:1_{71FD69BD-8F36-4A29-8643-2D7D7AE69036}" xr6:coauthVersionLast="44" xr6:coauthVersionMax="44" xr10:uidLastSave="{00000000-0000-0000-0000-000000000000}"/>
  <bookViews>
    <workbookView xWindow="-108" yWindow="-108" windowWidth="23256" windowHeight="12576" tabRatio="757" firstSheet="3" activeTab="3" xr2:uid="{00000000-000D-0000-FFFF-FFFF00000000}"/>
  </bookViews>
  <sheets>
    <sheet name="C.5.11" sheetId="20" r:id="rId1"/>
    <sheet name="C.5.11.1 F&amp;W Register" sheetId="30" r:id="rId2"/>
    <sheet name="C.5.11.2(Policies)" sheetId="29" r:id="rId3"/>
    <sheet name="C.5.11.3 Disclosure" sheetId="19" r:id="rId4"/>
    <sheet name="CALGRO M3 HOLDINGS" sheetId="146" r:id="rId5"/>
    <sheet name="PHUMI TRADING" sheetId="147" r:id="rId6"/>
    <sheet name="LISTING OF OVERPAYMENTS" sheetId="136" r:id="rId7"/>
    <sheet name="ESKOM SOC" sheetId="124" r:id="rId8"/>
    <sheet name="COUZYN HERTZ &amp; HORAK ATTORNEYS" sheetId="133" r:id="rId9"/>
    <sheet name="SABC TV Licences" sheetId="139" r:id="rId10"/>
    <sheet name="FSPG Police" sheetId="140" r:id="rId11"/>
    <sheet name="VARYMIX NINETEEN (PTY)" sheetId="126" r:id="rId12"/>
    <sheet name="BLAIR ATTORNEYS" sheetId="127" r:id="rId13"/>
    <sheet name="SARS - PAYE" sheetId="132" r:id="rId14"/>
    <sheet name="MODDERRIVIER" sheetId="137" r:id="rId15"/>
    <sheet name="CMP BEE ENGINEER" sheetId="138" r:id="rId16"/>
    <sheet name="NICS" sheetId="128" r:id="rId17"/>
    <sheet name="SAMWU" sheetId="129" r:id="rId18"/>
    <sheet name="DOWN TOUCH" sheetId="130" r:id="rId19"/>
    <sheet name="PEYPER ATTORNEYS" sheetId="131" r:id="rId20"/>
    <sheet name="HONEY ATTORNEYS" sheetId="134" r:id="rId21"/>
    <sheet name="TELKOM SA" sheetId="125" r:id="rId22"/>
    <sheet name="Kgato Projects " sheetId="118" r:id="rId23"/>
    <sheet name="Wasserman " sheetId="121" r:id="rId24"/>
    <sheet name="Panzacode" sheetId="120" r:id="rId25"/>
    <sheet name="Refilwe Civils" sheetId="119" r:id="rId26"/>
    <sheet name="TELKOM" sheetId="98" r:id="rId27"/>
    <sheet name="REDER CONSTRUCTION" sheetId="110" r:id="rId28"/>
    <sheet name="L &amp; V Attorneys" sheetId="107" r:id="rId29"/>
    <sheet name="ESKOM. " sheetId="99" r:id="rId30"/>
    <sheet name="FUJITSU" sheetId="108" r:id="rId31"/>
    <sheet name="FDC" sheetId="100" r:id="rId32"/>
    <sheet name=" UMFA" sheetId="101" r:id="rId33"/>
    <sheet name="HI-TECH ENGINEERING" sheetId="102" r:id="rId34"/>
    <sheet name="SYMINGTON &amp; DE KOK" sheetId="109" r:id="rId35"/>
    <sheet name="ROAD MAC SURFACING" sheetId="104" r:id="rId36"/>
    <sheet name="TAU PELE " sheetId="105" r:id="rId37"/>
    <sheet name="SPANGENBERG ZIETSMAN" sheetId="106" r:id="rId38"/>
    <sheet name="AUDITOR GENERAL" sheetId="103" r:id="rId39"/>
    <sheet name="Friday Management Solutions" sheetId="113" r:id="rId40"/>
    <sheet name="Councillors Salaries" sheetId="115" r:id="rId41"/>
    <sheet name="Ruwacon" sheetId="116" r:id="rId42"/>
    <sheet name="RUWACON (AC 247)" sheetId="141" r:id="rId43"/>
    <sheet name="Q-Civils" sheetId="122" r:id="rId44"/>
    <sheet name="LTE " sheetId="123" r:id="rId45"/>
    <sheet name="Oramok" sheetId="117" r:id="rId46"/>
    <sheet name="Calculation" sheetId="112" r:id="rId47"/>
    <sheet name="Councillors (2)" sheetId="135" r:id="rId48"/>
    <sheet name="Councillors." sheetId="96" r:id="rId49"/>
    <sheet name="Auditor General." sheetId="97" r:id="rId50"/>
    <sheet name="Altimax" sheetId="87" r:id="rId51"/>
    <sheet name="Maluti Plant Hire" sheetId="94" r:id="rId52"/>
    <sheet name="Panzacode CC" sheetId="90" r:id="rId53"/>
    <sheet name="L M Meyer" sheetId="84" r:id="rId54"/>
    <sheet name="Joyce Nel" sheetId="85" r:id="rId55"/>
    <sheet name="Telkom SA Ltd" sheetId="74" r:id="rId56"/>
    <sheet name="Modderrivier Kalkveld" sheetId="82" r:id="rId57"/>
    <sheet name="Railway Safety Regulator" sheetId="75" r:id="rId58"/>
    <sheet name="Free State Municipal Pension" sheetId="76" r:id="rId59"/>
    <sheet name="Wasserman Teerwerke" sheetId="86" r:id="rId60"/>
    <sheet name="SARS PAYE" sheetId="77" r:id="rId61"/>
    <sheet name="Q Civils" sheetId="78" r:id="rId62"/>
    <sheet name="FDC." sheetId="79" r:id="rId63"/>
    <sheet name="ESKOM." sheetId="80" r:id="rId64"/>
    <sheet name="UMFA." sheetId="81" r:id="rId65"/>
    <sheet name="Councillors" sheetId="73" r:id="rId66"/>
    <sheet name="Eskom" sheetId="65" r:id="rId67"/>
    <sheet name="Razzmatazz" sheetId="66" r:id="rId68"/>
    <sheet name="FDC,," sheetId="67" r:id="rId69"/>
    <sheet name="PEC Metering" sheetId="68" r:id="rId70"/>
    <sheet name="UMFA,," sheetId="69" r:id="rId71"/>
    <sheet name="Telkom SA Limited" sheetId="70" r:id="rId72"/>
    <sheet name="Kramer Weihmann Joubert" sheetId="71" r:id="rId73"/>
    <sheet name="SARS" sheetId="72" r:id="rId74"/>
    <sheet name="Sche 1-Eskom" sheetId="54" r:id="rId75"/>
    <sheet name="Sche 2-Lawyers" sheetId="55" r:id="rId76"/>
    <sheet name="Sche 3-FDC" sheetId="56" r:id="rId77"/>
    <sheet name="Sche 4-PEC Metering" sheetId="57" r:id="rId78"/>
    <sheet name="Sche 5-SARS" sheetId="59" r:id="rId79"/>
    <sheet name="Sche 6-Telkom" sheetId="60" r:id="rId80"/>
    <sheet name="Sche- 7Pheth. Consul. CC " sheetId="61" r:id="rId81"/>
    <sheet name="Sche 8-UMFA" sheetId="62" r:id="rId82"/>
    <sheet name="Sche 9-Merch. West " sheetId="63" r:id="rId83"/>
  </sheets>
  <externalReferences>
    <externalReference r:id="rId84"/>
    <externalReference r:id="rId85"/>
    <externalReference r:id="rId86"/>
  </externalReferences>
  <definedNames>
    <definedName name="_xlnm._FilterDatabase" localSheetId="63" hidden="1">ESKOM.!$A$6:$H$21</definedName>
    <definedName name="_xlnm._FilterDatabase" localSheetId="29" hidden="1">'ESKOM. '!$A$6:$H$6</definedName>
    <definedName name="_xlnm._FilterDatabase" localSheetId="31" hidden="1">FDC!$A$6:$H$6</definedName>
    <definedName name="_xlnm._FilterDatabase" localSheetId="62" hidden="1">FDC.!$A$6:$H$6</definedName>
    <definedName name="_xlnm._FilterDatabase" localSheetId="22" hidden="1">'Kgato Projects '!$A$6:$H$6</definedName>
    <definedName name="_xlnm._FilterDatabase" localSheetId="69" hidden="1">'PEC Metering'!$A$6:$H$6</definedName>
    <definedName name="_xlnm._FilterDatabase" localSheetId="74" hidden="1">'Sche 1-Eskom'!$A$6:$H$6</definedName>
    <definedName name="_xlnm._FilterDatabase" localSheetId="21" hidden="1">'TELKOM SA'!$A$6:$H$6</definedName>
    <definedName name="_xlnm._FilterDatabase" localSheetId="55" hidden="1">'Telkom SA Ltd'!$A$6:$H$6</definedName>
    <definedName name="_xlnm._FilterDatabase" localSheetId="64" hidden="1">UMFA.!$A$6:$H$6</definedName>
    <definedName name="_xlnm.Print_Area" localSheetId="1">'C.5.11.1 F&amp;W Register'!$A$1:$F$170</definedName>
    <definedName name="_xlnm.Print_Area" localSheetId="2">'C.5.11.2(Policies)'!$A$1:$F$23</definedName>
    <definedName name="_xlnm.Print_Area" localSheetId="3">'C.5.11.3 Disclosure'!$B$1:$F$158</definedName>
    <definedName name="_xlnm.Print_Area" localSheetId="40">'Councillors Salaries'!$B$1:$U$192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147" l="1"/>
  <c r="C163" i="30" s="1"/>
  <c r="E42" i="19" s="1"/>
  <c r="F9" i="146"/>
  <c r="C162" i="30" s="1"/>
  <c r="E41" i="19" s="1"/>
  <c r="F8" i="141" l="1"/>
  <c r="C142" i="30" s="1"/>
  <c r="F68" i="19" s="1"/>
  <c r="F78" i="124" l="1"/>
  <c r="F57" i="124"/>
  <c r="F9" i="140" l="1"/>
  <c r="C161" i="30" s="1"/>
  <c r="E40" i="19" s="1"/>
  <c r="F9" i="139"/>
  <c r="C160" i="30" s="1"/>
  <c r="E39" i="19" s="1"/>
  <c r="C34" i="30" l="1"/>
  <c r="C44" i="30" l="1"/>
  <c r="F9" i="138" l="1"/>
  <c r="C159" i="30" s="1"/>
  <c r="E38" i="19" s="1"/>
  <c r="F9" i="137"/>
  <c r="C158" i="30" s="1"/>
  <c r="E37" i="19" s="1"/>
  <c r="D35" i="136"/>
  <c r="D34" i="136"/>
  <c r="D33" i="136"/>
  <c r="D32" i="136"/>
  <c r="D31" i="136"/>
  <c r="D30" i="136"/>
  <c r="D29" i="136"/>
  <c r="D28" i="136"/>
  <c r="D27" i="136"/>
  <c r="D26" i="136"/>
  <c r="D25" i="136"/>
  <c r="D24" i="136"/>
  <c r="D23" i="136"/>
  <c r="D22" i="136"/>
  <c r="D21" i="136"/>
  <c r="D20" i="136"/>
  <c r="D19" i="136"/>
  <c r="D18" i="136"/>
  <c r="D17" i="136"/>
  <c r="D16" i="136"/>
  <c r="D15" i="136"/>
  <c r="D14" i="136"/>
  <c r="D13" i="136"/>
  <c r="D12" i="136"/>
  <c r="D11" i="136"/>
  <c r="D10" i="136"/>
  <c r="D9" i="136"/>
  <c r="D8" i="136"/>
  <c r="D7" i="136"/>
  <c r="D6" i="136"/>
  <c r="D5" i="136"/>
  <c r="A5" i="136"/>
  <c r="A6" i="136" s="1"/>
  <c r="A7" i="136" s="1"/>
  <c r="A8" i="136" s="1"/>
  <c r="A9" i="136" s="1"/>
  <c r="A10" i="136" s="1"/>
  <c r="A11" i="136" s="1"/>
  <c r="A12" i="136" s="1"/>
  <c r="A13" i="136" s="1"/>
  <c r="A14" i="136" s="1"/>
  <c r="A15" i="136" s="1"/>
  <c r="A16" i="136" s="1"/>
  <c r="A17" i="136" s="1"/>
  <c r="A18" i="136" s="1"/>
  <c r="A19" i="136" s="1"/>
  <c r="A20" i="136" s="1"/>
  <c r="A21" i="136" s="1"/>
  <c r="A22" i="136" s="1"/>
  <c r="A23" i="136" s="1"/>
  <c r="A24" i="136" s="1"/>
  <c r="A25" i="136" s="1"/>
  <c r="A26" i="136" s="1"/>
  <c r="A27" i="136" s="1"/>
  <c r="A28" i="136" s="1"/>
  <c r="A29" i="136" s="1"/>
  <c r="A30" i="136" s="1"/>
  <c r="A31" i="136" s="1"/>
  <c r="A32" i="136" s="1"/>
  <c r="A33" i="136" s="1"/>
  <c r="A34" i="136" s="1"/>
  <c r="A35" i="136" s="1"/>
  <c r="D4" i="136"/>
  <c r="D36" i="136" l="1"/>
  <c r="C157" i="30" s="1"/>
  <c r="E36" i="19" s="1"/>
  <c r="C71" i="30"/>
  <c r="C59" i="30"/>
  <c r="C30" i="30"/>
  <c r="C22" i="30"/>
  <c r="F97" i="135"/>
  <c r="C114" i="30" s="1"/>
  <c r="H46" i="135"/>
  <c r="E46" i="135"/>
  <c r="D46" i="135"/>
  <c r="H45" i="135"/>
  <c r="E45" i="135"/>
  <c r="D45" i="135"/>
  <c r="H44" i="135"/>
  <c r="B44" i="135"/>
  <c r="E44" i="135" s="1"/>
  <c r="H43" i="135"/>
  <c r="E43" i="135"/>
  <c r="D43" i="135"/>
  <c r="H42" i="135"/>
  <c r="B42" i="135"/>
  <c r="D42" i="135" s="1"/>
  <c r="H41" i="135"/>
  <c r="B41" i="135"/>
  <c r="D41" i="135" s="1"/>
  <c r="H40" i="135"/>
  <c r="E40" i="135"/>
  <c r="D40" i="135"/>
  <c r="H39" i="135"/>
  <c r="E39" i="135"/>
  <c r="D39" i="135"/>
  <c r="N31" i="135"/>
  <c r="I31" i="135"/>
  <c r="D31" i="135"/>
  <c r="O30" i="135"/>
  <c r="J30" i="135"/>
  <c r="C30" i="135"/>
  <c r="E30" i="135" s="1"/>
  <c r="L30" i="135" s="1"/>
  <c r="B30" i="135"/>
  <c r="O29" i="135"/>
  <c r="J29" i="135"/>
  <c r="C29" i="135"/>
  <c r="E29" i="135" s="1"/>
  <c r="O28" i="135"/>
  <c r="J28" i="135"/>
  <c r="C28" i="135"/>
  <c r="E28" i="135" s="1"/>
  <c r="O27" i="135"/>
  <c r="J27" i="135"/>
  <c r="C27" i="135"/>
  <c r="E27" i="135" s="1"/>
  <c r="O26" i="135"/>
  <c r="J26" i="135"/>
  <c r="C26" i="135"/>
  <c r="E26" i="135" s="1"/>
  <c r="O25" i="135"/>
  <c r="J25" i="135"/>
  <c r="C25" i="135"/>
  <c r="E25" i="135" s="1"/>
  <c r="O24" i="135"/>
  <c r="J24" i="135"/>
  <c r="E24" i="135"/>
  <c r="L24" i="135" s="1"/>
  <c r="O23" i="135"/>
  <c r="J23" i="135"/>
  <c r="C23" i="135"/>
  <c r="E23" i="135" s="1"/>
  <c r="L23" i="135" s="1"/>
  <c r="O22" i="135"/>
  <c r="J22" i="135"/>
  <c r="C22" i="135"/>
  <c r="O21" i="135"/>
  <c r="J21" i="135"/>
  <c r="E21" i="135"/>
  <c r="L21" i="135" s="1"/>
  <c r="O20" i="135"/>
  <c r="J20" i="135"/>
  <c r="E20" i="135"/>
  <c r="F20" i="135" s="1"/>
  <c r="L20" i="135" l="1"/>
  <c r="F30" i="135"/>
  <c r="C31" i="135"/>
  <c r="E22" i="135"/>
  <c r="L22" i="135" s="1"/>
  <c r="L31" i="135" s="1"/>
  <c r="F24" i="135"/>
  <c r="O31" i="135"/>
  <c r="J31" i="135"/>
  <c r="L26" i="135"/>
  <c r="F26" i="135"/>
  <c r="L28" i="135"/>
  <c r="F28" i="135"/>
  <c r="L25" i="135"/>
  <c r="F25" i="135"/>
  <c r="L27" i="135"/>
  <c r="F27" i="135"/>
  <c r="L29" i="135"/>
  <c r="F29" i="135"/>
  <c r="D44" i="135"/>
  <c r="E41" i="135"/>
  <c r="E42" i="135"/>
  <c r="F21" i="135"/>
  <c r="F22" i="135"/>
  <c r="F23" i="135"/>
  <c r="E31" i="135" l="1"/>
  <c r="F31" i="135"/>
  <c r="F15" i="125"/>
  <c r="F85" i="124"/>
  <c r="F81" i="124"/>
  <c r="F9" i="134" l="1"/>
  <c r="C156" i="30" s="1"/>
  <c r="E35" i="19" s="1"/>
  <c r="F9" i="133" l="1"/>
  <c r="C155" i="30" s="1"/>
  <c r="E34" i="19" s="1"/>
  <c r="F14" i="125" l="1"/>
  <c r="F9" i="132" l="1"/>
  <c r="E33" i="19" s="1"/>
  <c r="C154" i="30" l="1"/>
  <c r="F9" i="131"/>
  <c r="C153" i="30" s="1"/>
  <c r="E29" i="19" s="1"/>
  <c r="F9" i="130" l="1"/>
  <c r="C152" i="30" s="1"/>
  <c r="E32" i="19" s="1"/>
  <c r="F9" i="129"/>
  <c r="C151" i="30" s="1"/>
  <c r="E31" i="19" s="1"/>
  <c r="F9" i="128"/>
  <c r="C150" i="30" s="1"/>
  <c r="E30" i="19" s="1"/>
  <c r="F9" i="127" l="1"/>
  <c r="C149" i="30" s="1"/>
  <c r="E28" i="19" s="1"/>
  <c r="F72" i="124"/>
  <c r="F67" i="124" l="1"/>
  <c r="F11" i="125" l="1"/>
  <c r="F10" i="125"/>
  <c r="F9" i="125"/>
  <c r="F65" i="124"/>
  <c r="F64" i="124"/>
  <c r="F53" i="124"/>
  <c r="F51" i="124"/>
  <c r="F18" i="125" l="1"/>
  <c r="C147" i="30" s="1"/>
  <c r="E26" i="19" s="1"/>
  <c r="F45" i="124"/>
  <c r="F44" i="124"/>
  <c r="F40" i="124" l="1"/>
  <c r="F9" i="126"/>
  <c r="C148" i="30" s="1"/>
  <c r="E27" i="19" s="1"/>
  <c r="F30" i="124"/>
  <c r="F20" i="124"/>
  <c r="F19" i="124"/>
  <c r="F16" i="124"/>
  <c r="F88" i="124" s="1"/>
  <c r="F9" i="123" l="1"/>
  <c r="C141" i="30" s="1"/>
  <c r="F67" i="19" s="1"/>
  <c r="F9" i="122"/>
  <c r="C140" i="30" s="1"/>
  <c r="F66" i="19" s="1"/>
  <c r="F9" i="121"/>
  <c r="C139" i="30" s="1"/>
  <c r="C146" i="30" l="1"/>
  <c r="C165" i="30" s="1"/>
  <c r="F9" i="120"/>
  <c r="C138" i="30" s="1"/>
  <c r="F64" i="19" s="1"/>
  <c r="F9" i="119"/>
  <c r="C137" i="30" s="1"/>
  <c r="F9" i="118"/>
  <c r="C136" i="30" s="1"/>
  <c r="F62" i="19" s="1"/>
  <c r="F9" i="117"/>
  <c r="C134" i="30" s="1"/>
  <c r="F60" i="19" s="1"/>
  <c r="F10" i="116"/>
  <c r="C135" i="30" s="1"/>
  <c r="F61" i="19" s="1"/>
  <c r="E19" i="19" l="1"/>
  <c r="E25" i="19"/>
  <c r="E153" i="19" s="1"/>
  <c r="F63" i="19"/>
  <c r="E152" i="115"/>
  <c r="D120" i="115"/>
  <c r="E120" i="115" s="1"/>
  <c r="D119" i="115"/>
  <c r="E118" i="115"/>
  <c r="D116" i="115"/>
  <c r="K111" i="115"/>
  <c r="J111" i="115"/>
  <c r="I111" i="115"/>
  <c r="H111" i="115"/>
  <c r="K110" i="115"/>
  <c r="J110" i="115"/>
  <c r="J107" i="115" s="1"/>
  <c r="K106" i="115" s="1"/>
  <c r="I110" i="115"/>
  <c r="I107" i="115" s="1"/>
  <c r="I106" i="115" s="1"/>
  <c r="H110" i="115"/>
  <c r="H107" i="115" s="1"/>
  <c r="H106" i="115" s="1"/>
  <c r="G110" i="115"/>
  <c r="L109" i="115"/>
  <c r="L108" i="115"/>
  <c r="G108" i="115"/>
  <c r="J106" i="115"/>
  <c r="E100" i="115"/>
  <c r="E99" i="115"/>
  <c r="E93" i="115"/>
  <c r="E92" i="115"/>
  <c r="E87" i="115"/>
  <c r="E86" i="115"/>
  <c r="E80" i="115"/>
  <c r="E79" i="115"/>
  <c r="E74" i="115"/>
  <c r="E73" i="115"/>
  <c r="E72" i="115"/>
  <c r="E67" i="115"/>
  <c r="E68" i="115" s="1"/>
  <c r="C53" i="115"/>
  <c r="F53" i="115" s="1"/>
  <c r="C52" i="115"/>
  <c r="F52" i="115" s="1"/>
  <c r="C51" i="115"/>
  <c r="C116" i="115" s="1"/>
  <c r="C50" i="115"/>
  <c r="F50" i="115" s="1"/>
  <c r="C49" i="115"/>
  <c r="E106" i="115" s="1"/>
  <c r="C48" i="115"/>
  <c r="C47" i="115"/>
  <c r="F47" i="115" s="1"/>
  <c r="I40" i="115"/>
  <c r="D53" i="115" s="1"/>
  <c r="D40" i="115"/>
  <c r="C40" i="115"/>
  <c r="F40" i="115" s="1"/>
  <c r="I39" i="115"/>
  <c r="D52" i="115" s="1"/>
  <c r="D39" i="115"/>
  <c r="C39" i="115"/>
  <c r="F39" i="115" s="1"/>
  <c r="D92" i="115" s="1"/>
  <c r="I38" i="115"/>
  <c r="D51" i="115" s="1"/>
  <c r="D38" i="115"/>
  <c r="C38" i="115"/>
  <c r="F38" i="115" s="1"/>
  <c r="D79" i="115" s="1"/>
  <c r="I37" i="115"/>
  <c r="D50" i="115" s="1"/>
  <c r="I36" i="115"/>
  <c r="D49" i="115" s="1"/>
  <c r="I35" i="115"/>
  <c r="D48" i="115" s="1"/>
  <c r="I34" i="115"/>
  <c r="D47" i="115" s="1"/>
  <c r="Q26" i="115"/>
  <c r="L26" i="115"/>
  <c r="J26" i="115"/>
  <c r="I26" i="115"/>
  <c r="E26" i="115"/>
  <c r="D26" i="115"/>
  <c r="C26" i="115"/>
  <c r="P26" i="115" s="1"/>
  <c r="Q25" i="115"/>
  <c r="L25" i="115"/>
  <c r="J25" i="115"/>
  <c r="I25" i="115"/>
  <c r="E25" i="115"/>
  <c r="D25" i="115"/>
  <c r="C25" i="115"/>
  <c r="Q24" i="115"/>
  <c r="L24" i="115"/>
  <c r="J24" i="115"/>
  <c r="I24" i="115"/>
  <c r="E24" i="115"/>
  <c r="D24" i="115"/>
  <c r="C24" i="115"/>
  <c r="Q23" i="115"/>
  <c r="L23" i="115"/>
  <c r="J23" i="115"/>
  <c r="I23" i="115"/>
  <c r="E23" i="115"/>
  <c r="D23" i="115"/>
  <c r="C23" i="115"/>
  <c r="C37" i="115" s="1"/>
  <c r="Q22" i="115"/>
  <c r="L22" i="115"/>
  <c r="J22" i="115"/>
  <c r="I22" i="115"/>
  <c r="E22" i="115"/>
  <c r="D22" i="115"/>
  <c r="C22" i="115"/>
  <c r="C36" i="115" s="1"/>
  <c r="Q21" i="115"/>
  <c r="L21" i="115"/>
  <c r="J21" i="115"/>
  <c r="I21" i="115"/>
  <c r="E21" i="115"/>
  <c r="D21" i="115"/>
  <c r="C21" i="115"/>
  <c r="C35" i="115" s="1"/>
  <c r="L20" i="115"/>
  <c r="J20" i="115"/>
  <c r="I20" i="115"/>
  <c r="E20" i="115"/>
  <c r="D20" i="115"/>
  <c r="C20" i="115"/>
  <c r="C34" i="115" s="1"/>
  <c r="R26" i="115" l="1"/>
  <c r="F51" i="115"/>
  <c r="C119" i="115" s="1"/>
  <c r="F21" i="115"/>
  <c r="O21" i="115" s="1"/>
  <c r="F23" i="115"/>
  <c r="O23" i="115" s="1"/>
  <c r="F25" i="115"/>
  <c r="O25" i="115" s="1"/>
  <c r="L106" i="115"/>
  <c r="E81" i="115"/>
  <c r="E94" i="115"/>
  <c r="E101" i="115"/>
  <c r="E27" i="115"/>
  <c r="Q27" i="115"/>
  <c r="F22" i="115"/>
  <c r="O22" i="115" s="1"/>
  <c r="F24" i="115"/>
  <c r="O24" i="115" s="1"/>
  <c r="F26" i="115"/>
  <c r="O26" i="115" s="1"/>
  <c r="D117" i="115"/>
  <c r="D121" i="115" s="1"/>
  <c r="E48" i="115"/>
  <c r="J27" i="115"/>
  <c r="P21" i="115"/>
  <c r="R21" i="115" s="1"/>
  <c r="P22" i="115"/>
  <c r="R22" i="115" s="1"/>
  <c r="P23" i="115"/>
  <c r="R23" i="115" s="1"/>
  <c r="P24" i="115"/>
  <c r="R24" i="115" s="1"/>
  <c r="P25" i="115"/>
  <c r="R25" i="115" s="1"/>
  <c r="F49" i="115"/>
  <c r="E109" i="115" s="1"/>
  <c r="E107" i="115" s="1"/>
  <c r="E111" i="115" s="1"/>
  <c r="E75" i="115"/>
  <c r="D93" i="115"/>
  <c r="F93" i="115" s="1"/>
  <c r="D141" i="115" s="1"/>
  <c r="D106" i="115"/>
  <c r="E52" i="115"/>
  <c r="L27" i="115"/>
  <c r="K21" i="115"/>
  <c r="D35" i="115" s="1"/>
  <c r="E35" i="115" s="1"/>
  <c r="K22" i="115"/>
  <c r="M22" i="115" s="1"/>
  <c r="K23" i="115"/>
  <c r="D37" i="115" s="1"/>
  <c r="E37" i="115" s="1"/>
  <c r="K24" i="115"/>
  <c r="M24" i="115" s="1"/>
  <c r="K25" i="115"/>
  <c r="M25" i="115" s="1"/>
  <c r="K26" i="115"/>
  <c r="M26" i="115" s="1"/>
  <c r="F48" i="115"/>
  <c r="E50" i="115"/>
  <c r="E88" i="115"/>
  <c r="F106" i="115"/>
  <c r="F34" i="115"/>
  <c r="F36" i="115"/>
  <c r="E119" i="115"/>
  <c r="C117" i="115"/>
  <c r="E117" i="115" s="1"/>
  <c r="C27" i="115"/>
  <c r="D27" i="115"/>
  <c r="F20" i="115"/>
  <c r="G20" i="115" s="1"/>
  <c r="I27" i="115"/>
  <c r="K20" i="115"/>
  <c r="P20" i="115"/>
  <c r="G23" i="115"/>
  <c r="E153" i="115" s="1"/>
  <c r="D160" i="115" s="1"/>
  <c r="F35" i="115"/>
  <c r="F37" i="115"/>
  <c r="F79" i="115"/>
  <c r="E38" i="115"/>
  <c r="E39" i="115"/>
  <c r="F92" i="115"/>
  <c r="E40" i="115"/>
  <c r="E47" i="115"/>
  <c r="E116" i="115"/>
  <c r="E53" i="115"/>
  <c r="D80" i="115"/>
  <c r="F80" i="115" s="1"/>
  <c r="D139" i="115" s="1"/>
  <c r="K107" i="115"/>
  <c r="L107" i="115" s="1"/>
  <c r="M108" i="115"/>
  <c r="L110" i="115"/>
  <c r="M110" i="115" s="1"/>
  <c r="L111" i="115"/>
  <c r="E49" i="115"/>
  <c r="E51" i="115"/>
  <c r="C106" i="115"/>
  <c r="C109" i="115" l="1"/>
  <c r="D36" i="115"/>
  <c r="E36" i="115" s="1"/>
  <c r="D67" i="115" s="1"/>
  <c r="F67" i="115" s="1"/>
  <c r="F68" i="115" s="1"/>
  <c r="G22" i="115"/>
  <c r="F109" i="115"/>
  <c r="F107" i="115" s="1"/>
  <c r="F111" i="115" s="1"/>
  <c r="G21" i="115"/>
  <c r="G25" i="115"/>
  <c r="D109" i="115"/>
  <c r="D107" i="115" s="1"/>
  <c r="D111" i="115" s="1"/>
  <c r="G26" i="115"/>
  <c r="M23" i="115"/>
  <c r="G24" i="115"/>
  <c r="D142" i="115"/>
  <c r="M21" i="115"/>
  <c r="D94" i="115"/>
  <c r="E121" i="115"/>
  <c r="D162" i="115" s="1"/>
  <c r="G106" i="115"/>
  <c r="M106" i="115" s="1"/>
  <c r="C107" i="115"/>
  <c r="G107" i="115" s="1"/>
  <c r="M107" i="115" s="1"/>
  <c r="F94" i="115"/>
  <c r="C141" i="115"/>
  <c r="E141" i="115" s="1"/>
  <c r="D87" i="115"/>
  <c r="F87" i="115" s="1"/>
  <c r="D133" i="115" s="1"/>
  <c r="D86" i="115"/>
  <c r="C139" i="115"/>
  <c r="F81" i="115"/>
  <c r="P27" i="115"/>
  <c r="R20" i="115"/>
  <c r="R27" i="115" s="1"/>
  <c r="D68" i="115"/>
  <c r="C121" i="115"/>
  <c r="D100" i="115"/>
  <c r="F100" i="115" s="1"/>
  <c r="D99" i="115"/>
  <c r="D74" i="115"/>
  <c r="F74" i="115" s="1"/>
  <c r="D72" i="115"/>
  <c r="D73" i="115"/>
  <c r="F73" i="115" s="1"/>
  <c r="D131" i="115" s="1"/>
  <c r="D134" i="115" s="1"/>
  <c r="D81" i="115"/>
  <c r="D34" i="115"/>
  <c r="E34" i="115" s="1"/>
  <c r="K27" i="115"/>
  <c r="M20" i="115"/>
  <c r="F27" i="115"/>
  <c r="O20" i="115"/>
  <c r="O27" i="115" s="1"/>
  <c r="E154" i="115"/>
  <c r="G27" i="115" l="1"/>
  <c r="M27" i="115"/>
  <c r="G109" i="115"/>
  <c r="M109" i="115" s="1"/>
  <c r="F72" i="115"/>
  <c r="D75" i="115"/>
  <c r="D101" i="115"/>
  <c r="F99" i="115"/>
  <c r="F101" i="115" s="1"/>
  <c r="D88" i="115"/>
  <c r="F86" i="115"/>
  <c r="C111" i="115"/>
  <c r="G111" i="115" s="1"/>
  <c r="M111" i="115" s="1"/>
  <c r="D159" i="115" s="1"/>
  <c r="C142" i="115"/>
  <c r="E139" i="115"/>
  <c r="E142" i="115" s="1"/>
  <c r="C133" i="115" l="1"/>
  <c r="E133" i="115" s="1"/>
  <c r="F88" i="115"/>
  <c r="C131" i="115"/>
  <c r="F75" i="115"/>
  <c r="C134" i="115" l="1"/>
  <c r="E131" i="115"/>
  <c r="E134" i="115" s="1"/>
  <c r="D161" i="115" l="1"/>
  <c r="D163" i="115" s="1"/>
  <c r="C133" i="30" s="1"/>
  <c r="F59" i="19" s="1"/>
  <c r="F9" i="113"/>
  <c r="C132" i="30" s="1"/>
  <c r="F58" i="19" s="1"/>
  <c r="D31" i="112" l="1"/>
  <c r="B29" i="112"/>
  <c r="C32" i="112" l="1"/>
  <c r="D19" i="112"/>
  <c r="D6" i="112"/>
  <c r="C8" i="112" s="1"/>
  <c r="C9" i="112" l="1"/>
  <c r="C11" i="112" s="1"/>
  <c r="F9" i="110"/>
  <c r="C131" i="30" s="1"/>
  <c r="F57" i="19" s="1"/>
  <c r="F22" i="98"/>
  <c r="C13" i="112" l="1"/>
  <c r="F9" i="109"/>
  <c r="C130" i="30" s="1"/>
  <c r="F56" i="19" s="1"/>
  <c r="F27" i="98"/>
  <c r="F9" i="108"/>
  <c r="C129" i="30" s="1"/>
  <c r="F55" i="19" s="1"/>
  <c r="F27" i="99"/>
  <c r="F53" i="99" s="1"/>
  <c r="F9" i="107"/>
  <c r="C128" i="30" s="1"/>
  <c r="F54" i="19" s="1"/>
  <c r="C14" i="112" l="1"/>
  <c r="C16" i="112" s="1"/>
  <c r="C20" i="112" s="1"/>
  <c r="D22" i="112" s="1"/>
  <c r="F13" i="103" l="1"/>
  <c r="F9" i="106"/>
  <c r="C127" i="30" s="1"/>
  <c r="F53" i="19" s="1"/>
  <c r="F9" i="105"/>
  <c r="C126" i="30" s="1"/>
  <c r="F52" i="19" s="1"/>
  <c r="F10" i="101"/>
  <c r="F9" i="104" l="1"/>
  <c r="C125" i="30" s="1"/>
  <c r="F51" i="19" s="1"/>
  <c r="C124" i="30" l="1"/>
  <c r="F50" i="19" s="1"/>
  <c r="F9" i="102"/>
  <c r="C123" i="30" s="1"/>
  <c r="F49" i="19" s="1"/>
  <c r="C122" i="30" l="1"/>
  <c r="F48" i="19" s="1"/>
  <c r="F9" i="100"/>
  <c r="C121" i="30" s="1"/>
  <c r="F47" i="19" s="1"/>
  <c r="C120" i="30"/>
  <c r="C119" i="30"/>
  <c r="C143" i="30" s="1"/>
  <c r="F19" i="19" l="1"/>
  <c r="F21" i="19" s="1"/>
  <c r="F46" i="19"/>
  <c r="F45" i="19"/>
  <c r="F25" i="80"/>
  <c r="F13" i="81" l="1"/>
  <c r="F12" i="96" l="1"/>
  <c r="F13" i="74" l="1"/>
  <c r="F8" i="79"/>
  <c r="F89" i="19" l="1"/>
  <c r="F10" i="97" l="1"/>
  <c r="C111" i="30" s="1"/>
  <c r="F88" i="19" s="1"/>
  <c r="F8" i="82" l="1"/>
  <c r="C106" i="30" s="1"/>
  <c r="F13" i="69"/>
  <c r="C90" i="30" s="1"/>
  <c r="F18" i="68"/>
  <c r="C89" i="30" s="1"/>
  <c r="F87" i="19" l="1"/>
  <c r="F30" i="67" l="1"/>
  <c r="F8" i="85" l="1"/>
  <c r="C108" i="30" s="1"/>
  <c r="F82" i="19" s="1"/>
  <c r="F8" i="94" l="1"/>
  <c r="C113" i="30" s="1"/>
  <c r="F86" i="19" s="1"/>
  <c r="F9" i="90" l="1"/>
  <c r="C112" i="30" s="1"/>
  <c r="F85" i="19" s="1"/>
  <c r="F9" i="87"/>
  <c r="C110" i="30" s="1"/>
  <c r="F84" i="19" s="1"/>
  <c r="F9" i="86" l="1"/>
  <c r="C109" i="30" s="1"/>
  <c r="F83" i="19" s="1"/>
  <c r="F9" i="84" l="1"/>
  <c r="C107" i="30" s="1"/>
  <c r="F81" i="19" s="1"/>
  <c r="F14" i="70" l="1"/>
  <c r="C105" i="30" l="1"/>
  <c r="F80" i="19" s="1"/>
  <c r="C103" i="30"/>
  <c r="F78" i="19" s="1"/>
  <c r="C104" i="30"/>
  <c r="F79" i="19" l="1"/>
  <c r="F9" i="78"/>
  <c r="C102" i="30" s="1"/>
  <c r="F77" i="19" l="1"/>
  <c r="F9" i="77"/>
  <c r="C101" i="30" s="1"/>
  <c r="F76" i="19" l="1"/>
  <c r="F9" i="76"/>
  <c r="C100" i="30" s="1"/>
  <c r="F75" i="19" s="1"/>
  <c r="F8" i="75" l="1"/>
  <c r="C99" i="30" s="1"/>
  <c r="C98" i="30"/>
  <c r="F4" i="19"/>
  <c r="C116" i="30" l="1"/>
  <c r="F74" i="19"/>
  <c r="F73" i="19"/>
  <c r="F13" i="73"/>
  <c r="F100" i="19" s="1"/>
  <c r="F11" i="72" l="1"/>
  <c r="F99" i="19" s="1"/>
  <c r="C93" i="30" l="1"/>
  <c r="F11" i="71"/>
  <c r="F98" i="19" s="1"/>
  <c r="F17" i="65"/>
  <c r="F46" i="65" s="1"/>
  <c r="C92" i="30" l="1"/>
  <c r="C91" i="30"/>
  <c r="F97" i="19" s="1"/>
  <c r="F96" i="19"/>
  <c r="F95" i="19"/>
  <c r="C88" i="30" l="1"/>
  <c r="F94" i="19" s="1"/>
  <c r="F11" i="66"/>
  <c r="C87" i="30" s="1"/>
  <c r="F93" i="19" s="1"/>
  <c r="C86" i="30" l="1"/>
  <c r="C95" i="30" s="1"/>
  <c r="F92" i="19" l="1"/>
  <c r="H3" i="20"/>
  <c r="F11" i="59" l="1"/>
  <c r="F11" i="62"/>
  <c r="F11" i="63" l="1"/>
  <c r="C82" i="30" s="1"/>
  <c r="F111" i="19" s="1"/>
  <c r="F14" i="57" l="1"/>
  <c r="F32" i="54" l="1"/>
  <c r="C81" i="30"/>
  <c r="F11" i="60"/>
  <c r="F110" i="19" l="1"/>
  <c r="F14" i="56"/>
  <c r="F7" i="61"/>
  <c r="F11" i="61" s="1"/>
  <c r="C80" i="30" s="1"/>
  <c r="F109" i="19" s="1"/>
  <c r="F3" i="30" l="1"/>
  <c r="F4" i="29" s="1"/>
  <c r="F8" i="54" l="1"/>
  <c r="F17" i="54" l="1"/>
  <c r="F35" i="54" s="1"/>
  <c r="C79" i="30" l="1"/>
  <c r="F108" i="19" l="1"/>
  <c r="C75" i="30"/>
  <c r="F104" i="19" s="1"/>
  <c r="F11" i="55"/>
  <c r="C76" i="30" s="1"/>
  <c r="F105" i="19" s="1"/>
  <c r="C74" i="30" l="1"/>
  <c r="F103" i="19" l="1"/>
  <c r="C77" i="30" l="1"/>
  <c r="F106" i="19" l="1"/>
  <c r="C78" i="30"/>
  <c r="C83" i="30" s="1"/>
  <c r="F107" i="19" l="1"/>
  <c r="F153" i="19" s="1"/>
  <c r="E17" i="19" l="1"/>
  <c r="E21" i="19" s="1"/>
</calcChain>
</file>

<file path=xl/sharedStrings.xml><?xml version="1.0" encoding="utf-8"?>
<sst xmlns="http://schemas.openxmlformats.org/spreadsheetml/2006/main" count="4660" uniqueCount="884">
  <si>
    <t>Total</t>
  </si>
  <si>
    <t>Opening balance</t>
  </si>
  <si>
    <t>Ref nr:</t>
  </si>
  <si>
    <t>Prepared by:</t>
  </si>
  <si>
    <t>Date:</t>
  </si>
  <si>
    <t>Reviewed by:</t>
  </si>
  <si>
    <t>Year end:</t>
  </si>
  <si>
    <t>Subject:</t>
  </si>
  <si>
    <r>
      <t>Objective:</t>
    </r>
    <r>
      <rPr>
        <b/>
        <sz val="10"/>
        <rFont val="Arial"/>
        <family val="2"/>
      </rPr>
      <t xml:space="preserve"> </t>
    </r>
  </si>
  <si>
    <t>Activities Performed:</t>
  </si>
  <si>
    <t>Agree the accounting policy of the municipality to the accounting policy in Financial Statements.</t>
  </si>
  <si>
    <t>Mangaung Local Municipality contract person:</t>
  </si>
  <si>
    <t>Name</t>
  </si>
  <si>
    <t>Position</t>
  </si>
  <si>
    <t>Results:</t>
  </si>
  <si>
    <t>Conclusion:</t>
  </si>
  <si>
    <t>Bloemwater</t>
  </si>
  <si>
    <t>SARS</t>
  </si>
  <si>
    <t>1.22 Fruitless and wasteful expenditure</t>
  </si>
  <si>
    <t>Fruitless expenditure means expenditure which was made in vain and would have been avoided had reasonable care been</t>
  </si>
  <si>
    <t>exercised.</t>
  </si>
  <si>
    <t>All expenditure relating to fruitless and wasteful expenditure is recognised as an expense in the statement of financial</t>
  </si>
  <si>
    <t>performance in the year that the expenditure was incurred. The expenditure is classified in accordance with the nature of</t>
  </si>
  <si>
    <t>the expense, and where recovered, it is subsequently accounted for as revenue in the statement of financial performance.</t>
  </si>
  <si>
    <t>Detailed disclosures were made in the notes to the financial statements as required by the MFMA.</t>
  </si>
  <si>
    <t>Refer to the comparison performed above.</t>
  </si>
  <si>
    <t>R</t>
  </si>
  <si>
    <t>Print fruitless and wasteful expenditure registers.</t>
  </si>
  <si>
    <t>Agree the total fruitless and wasteful expenditure to AFS.</t>
  </si>
  <si>
    <t>Prepare a note for fruitless and wasteful expenditure.</t>
  </si>
  <si>
    <t>Accounting Policies - Fruitless and wasteful expenditure</t>
  </si>
  <si>
    <t xml:space="preserve">REPORT ON FRUITLESS &amp; WASTEFUL EXPENDITURE IN ACCORDANCE WITH THE                 </t>
  </si>
  <si>
    <t>MUNICIPAL FINANCE MANAGEMENT ACT, NO 56, 2003 SECTION 32</t>
  </si>
  <si>
    <t>Description (Beneficiary &amp; Nature e.g. Accommodation)</t>
  </si>
  <si>
    <t>Financial year</t>
  </si>
  <si>
    <t>Amount recorded in register</t>
  </si>
  <si>
    <t>Ref</t>
  </si>
  <si>
    <t>Investigation completed (Yes/No)</t>
  </si>
  <si>
    <t>2008/9</t>
  </si>
  <si>
    <t>SARS - Penalties for late payment</t>
  </si>
  <si>
    <t>Yes -  During 2008 an amount of R41,490.00 were identified as fruitless and wasteful expenditure that was paid as penalties and interest to SARS on late payment of UIF for Councilors.The municipality ceased payment of UIF for councilors according to a directive received from SALGA during 2003.During 2006/7 it was determined that UIF was payable to SARS, which resulted in penalties and interest on late payments of UIF.This amount is not recoverable, as no official of the municipality is liable for the non-payment of the UIF contribution.</t>
  </si>
  <si>
    <t>No</t>
  </si>
  <si>
    <t>Eskom - Interest</t>
  </si>
  <si>
    <t>Yes - These invoices were found to be in the name of the municipality. After further investigation it was found that the invoices were first send to Centlec and then send to MLM.  No one knew who the responsible person for the Eskom account was and the invoices were handed over late.</t>
  </si>
  <si>
    <t>Sandton Southern Hotel - Accommodation</t>
  </si>
  <si>
    <t>Yes - Excessive accommodation payment were identified by the AG. Executive Mayor limit R1500.00, Accomodation cost was R1805 = 305 overspent for 2 nights. Two other officials' limit is R1000,cost R1350 = 350 overspent for 2 nights</t>
  </si>
  <si>
    <t>Hamba Nathi Travel - Accommodation, Commission and service fee</t>
  </si>
  <si>
    <t>Yes - supporting documentation could not be obtained to confirm that the service was received.</t>
  </si>
  <si>
    <t>Azar&amp; Havenga - Legal costs</t>
  </si>
  <si>
    <t>Yes - The Supreme court of South Africa reviewed and set aside the decision of MLM to award the tender to Moeletsi - Peter JV. The SCM policy was not followed correctly when awarding the tender to Moeletsi - Peter JV and the court ordered MLM to review the selection. Despite the fact that there was a court order to review the selection process, MLM appointed Moeletsi - Peter JV again as per the recommendations of the meeting of the Bid Adjudication Committee on 04/05/2009. This forced the developer to bring a new application againsts MLM, resulting in the payment of settlement claim to Lohan Civil (Pty) Ltd and the legal costs of the court case.</t>
  </si>
  <si>
    <t>EG Cooper &amp; Sons Inc -Legal costs</t>
  </si>
  <si>
    <t xml:space="preserve">Lohan Civil (Pty) Ltd - settlement </t>
  </si>
  <si>
    <t>2009/10</t>
  </si>
  <si>
    <t>Batho Establishment Operation Hlasela</t>
  </si>
  <si>
    <t>Yes - Advance payment was made to supplier while it is unsure whether the site has been established.</t>
  </si>
  <si>
    <t>FS State Development RMIP joint venture</t>
  </si>
  <si>
    <t>Yes -  Interest paid on late payment as a result of payment kept back as penalties charged to the supplier for breach of contact.  Court ordered the penalties not to be charged to the supplier.  After the payment was made by the municipality, the municipality lodged an appeal.</t>
  </si>
  <si>
    <t>ABSA - Fuel</t>
  </si>
  <si>
    <t>No. Expenditure incurred on fuel cards while the use of the fuel cards has been stopped.</t>
  </si>
  <si>
    <t>Eskom-Interest</t>
  </si>
  <si>
    <t>Yes - Interest was incurred as a result of late payment of Eskom account.</t>
  </si>
  <si>
    <t>ABSA Credit card</t>
  </si>
  <si>
    <t>Yes. Executive mayor exceeded the limits on overnight accomodation expenses, also some of his toll gates fees were not supported by slips.</t>
  </si>
  <si>
    <t>MNK - interest &amp; penalties payable to SARS</t>
  </si>
  <si>
    <t>No. Interest and penalties payable to SARS due to additional VAT for previous years.</t>
  </si>
  <si>
    <t>Interest and penalties paid to SARS due to late submission of a VAT return</t>
  </si>
  <si>
    <t>2011/12</t>
  </si>
  <si>
    <t>Schedule 2</t>
  </si>
  <si>
    <t>Penalties and interest on VAT account.</t>
  </si>
  <si>
    <t>Total 2011/12</t>
  </si>
  <si>
    <t xml:space="preserve">I HEREBY CERTIFY THAT ALL FRUITLESS &amp; WASTEFUL  EXPENDITURE FOR THE MENTIONED PERIODS HAVE BEEN REPORTED TO ME AS PRESCRIBED IN THE MUNICIPAL FINANCE MANAGEMENT ACT, NO 56, 2003 SECTION 32 AND THE NECESSARY STEPS HAVE BEEN TAKEN TO RECORD AND RECOVER THE EXPENDITURE. </t>
  </si>
  <si>
    <t>_______________________________________________</t>
  </si>
  <si>
    <t>_________________________________</t>
  </si>
  <si>
    <t>CHIEF FINANCIAL OFFICER</t>
  </si>
  <si>
    <t>DATE</t>
  </si>
  <si>
    <t>Controlling entity</t>
  </si>
  <si>
    <t>Fruitless and Wasteful expenditure</t>
  </si>
  <si>
    <t>Reconciliation of fruitless and wasteful expenditure:</t>
  </si>
  <si>
    <t>Desciplinary steps taken/criminal proceedings</t>
  </si>
  <si>
    <t>Interest and penalties paid to SARS due to late submission of a UIF,SDL,PAYE</t>
  </si>
  <si>
    <t>Condoned</t>
  </si>
  <si>
    <t xml:space="preserve"> </t>
  </si>
  <si>
    <t>Interest paid to FDC due to late payment</t>
  </si>
  <si>
    <t>Interest paid to Ruwacon (Pty) Ltd due to late payment</t>
  </si>
  <si>
    <t>Interest paid to Eskom due to late payment</t>
  </si>
  <si>
    <t>Interest paid to Rossouws Attorneys due to late payment</t>
  </si>
  <si>
    <t>Interest paid to Rural Maintenance (Pty) Ltd due to late payment</t>
  </si>
  <si>
    <t xml:space="preserve">No Show penalty for 7 Councillors at 29/01/2013 accomodation Protea Hotal or Tambo Protea  </t>
  </si>
  <si>
    <t>Interest paid to UMFA/FS Business Trust due to late payment</t>
  </si>
  <si>
    <t>2012/13</t>
  </si>
  <si>
    <t>Ruwacom (Pty) Ltd</t>
  </si>
  <si>
    <t>Eskom</t>
  </si>
  <si>
    <t>Rossouws Attorneys</t>
  </si>
  <si>
    <t>Free State Travel</t>
  </si>
  <si>
    <t>Rural Maintencance(Pty)Ltd</t>
  </si>
  <si>
    <t>UMFA/ FS BUSINESS TRUST</t>
  </si>
  <si>
    <t>FDC</t>
  </si>
  <si>
    <t>Total 2012/13</t>
  </si>
  <si>
    <t>Interest paid to UMFA/Business Trust due to late payment</t>
  </si>
  <si>
    <t>Interest paid to Bloemwater due to late payment</t>
  </si>
  <si>
    <t>Interest paid to Merchant West (Pty) Ltd due to late payment</t>
  </si>
  <si>
    <t>Interest paid to Telkom SA limited due to late payment</t>
  </si>
  <si>
    <t xml:space="preserve">Bloemwater   </t>
  </si>
  <si>
    <t>Telkom SA Limited</t>
  </si>
  <si>
    <t xml:space="preserve">Merchant West (Pty) Ltd </t>
  </si>
  <si>
    <t>Interest paid to Telkom SA Limited due to late payment</t>
  </si>
  <si>
    <t>A letter was written to SARS, requesting to waive the panelties and interestcharged due to late submission.The penalties were waived but not the interest</t>
  </si>
  <si>
    <t>None</t>
  </si>
  <si>
    <t>Details of fruitless and wasteful expenditure incidents 2009/10</t>
  </si>
  <si>
    <t>Details of fruitless and wasteful expenditure incidents 2010/11</t>
  </si>
  <si>
    <t>Details of fruitless and wasteful expenditure incidents 2011/12</t>
  </si>
  <si>
    <t>Interest and penalties paid to SARS due to late submission of a VAT return prior years</t>
  </si>
  <si>
    <t>Interest paid on overdue account</t>
  </si>
  <si>
    <t>Interest paid on overdue account- Telkom</t>
  </si>
  <si>
    <t>Details of Fruitless and wasteful expenditure 2012/13</t>
  </si>
  <si>
    <t>Interest paid to Lawyers due to late payment</t>
  </si>
  <si>
    <t>Lawyers( Rossouw Attorneys(TRUST) ;Spangenberg Zietsman&amp; Bloem;Graham Attorneys;Alberts Attorneys; Rossouws Attorneys; Balju BLOEMFONTEIN - WES and Symington and De Kok)</t>
  </si>
  <si>
    <t xml:space="preserve"> Councillor's Salary</t>
  </si>
  <si>
    <t>Councillor T.J Makae annual salary was paid but was no longer a councillor in 2012/13 financial year</t>
  </si>
  <si>
    <t>Councillor T.J Makae annual salary was paid to him but was however no longer a councillor in 2012/13 financial year</t>
  </si>
  <si>
    <t>Schedule1</t>
  </si>
  <si>
    <t>Schedule3</t>
  </si>
  <si>
    <t>Schedule4</t>
  </si>
  <si>
    <t>Schedule5</t>
  </si>
  <si>
    <t>Schedule6</t>
  </si>
  <si>
    <t>Schedule7</t>
  </si>
  <si>
    <t>Schedule8</t>
  </si>
  <si>
    <t>Schedule9</t>
  </si>
  <si>
    <t>Schedule10</t>
  </si>
  <si>
    <t>Schedule11</t>
  </si>
  <si>
    <t>Councillor T.J Makae annual salary was paid to him but was however no longer a councillor in 2011/12 financial year</t>
  </si>
  <si>
    <t>No Show penalty for 7 Councillors at 29/01/2013 accomodation at Protea Hotel</t>
  </si>
  <si>
    <t>Municipality:</t>
  </si>
  <si>
    <t>Mangaung Metropolitan Municipality</t>
  </si>
  <si>
    <t>Metropolitan:</t>
  </si>
  <si>
    <t>Schedule12</t>
  </si>
  <si>
    <t>Fruitless and Wasteful Expenditure</t>
  </si>
  <si>
    <t>MANGAUNG METRO MUNICIPALITY</t>
  </si>
  <si>
    <t>Order No.</t>
  </si>
  <si>
    <t>Date</t>
  </si>
  <si>
    <t>Name of Supplier</t>
  </si>
  <si>
    <t>Cheque No.</t>
  </si>
  <si>
    <t>Exception Details</t>
  </si>
  <si>
    <t xml:space="preserve"> Amount</t>
  </si>
  <si>
    <t>User Directorate</t>
  </si>
  <si>
    <t>N/A</t>
  </si>
  <si>
    <t>ESKOM</t>
  </si>
  <si>
    <t>Interest on overdue account</t>
  </si>
  <si>
    <t>Finance</t>
  </si>
  <si>
    <t>PEC MARKETING</t>
  </si>
  <si>
    <t>2013/14</t>
  </si>
  <si>
    <t>Broll</t>
  </si>
  <si>
    <t>Lawyers</t>
  </si>
  <si>
    <t>Details of Fruitless and wasteful expenditure 2013/14</t>
  </si>
  <si>
    <t>Interest paid to Broll due to late payment</t>
  </si>
  <si>
    <t>Interest paid to Pec Marketing due to late payment</t>
  </si>
  <si>
    <t>Total 2013/14</t>
  </si>
  <si>
    <t>Accounting and Compliance assessment</t>
  </si>
  <si>
    <t>YES</t>
  </si>
  <si>
    <t>Dlamini and associates</t>
  </si>
  <si>
    <t>Standard Bank of SouthAfrica</t>
  </si>
  <si>
    <t>Interest paid to Standard Bank of South Africa due to late payment</t>
  </si>
  <si>
    <t>Interest paid to Dlamini and Associates due to late payment</t>
  </si>
  <si>
    <t xml:space="preserve">Fruitless &amp; Wasteful Expenditure </t>
  </si>
  <si>
    <t>Dierehospitaal</t>
  </si>
  <si>
    <t>Interest paid to Dierehospitaal due to late payment</t>
  </si>
  <si>
    <t>Wright Rose Innes INC</t>
  </si>
  <si>
    <t>Interest paid to Wright Rose Innes INC  due to late payment</t>
  </si>
  <si>
    <t>Interest paid to Wright Rose Innes INC due to late payment</t>
  </si>
  <si>
    <t>2014/15</t>
  </si>
  <si>
    <t>31/07/2014</t>
  </si>
  <si>
    <t>PEC METERING</t>
  </si>
  <si>
    <t>30/07/2014</t>
  </si>
  <si>
    <t>HILL MC HARDY &amp; HEBRST INC</t>
  </si>
  <si>
    <t>00095022</t>
  </si>
  <si>
    <t>PEC Metering</t>
  </si>
  <si>
    <t>20/08/2014</t>
  </si>
  <si>
    <t>19/09/2014</t>
  </si>
  <si>
    <t>19/11/2014</t>
  </si>
  <si>
    <t>17/12/2014</t>
  </si>
  <si>
    <t>Details of Fruitless and wasteful expenditure 2014/15</t>
  </si>
  <si>
    <t>Telkom</t>
  </si>
  <si>
    <t>30/12/2014</t>
  </si>
  <si>
    <t>Interest paid to Telkom due to late payment</t>
  </si>
  <si>
    <t>Interest paid to SARS due to late payment</t>
  </si>
  <si>
    <t>23/10/2014</t>
  </si>
  <si>
    <t>29/10/2014</t>
  </si>
  <si>
    <t>28/11/2014</t>
  </si>
  <si>
    <t>06.11.2014</t>
  </si>
  <si>
    <t>27/11/2014</t>
  </si>
  <si>
    <t>,</t>
  </si>
  <si>
    <t>28.01.2015</t>
  </si>
  <si>
    <t>Phethogo Consulting CC</t>
  </si>
  <si>
    <t>14/01/2015</t>
  </si>
  <si>
    <t>21/01/2015</t>
  </si>
  <si>
    <t>28/01/2015</t>
  </si>
  <si>
    <t>16.01.2015</t>
  </si>
  <si>
    <t>25/02/2015</t>
  </si>
  <si>
    <t>Interest paid to Phethogo Consulting CC due to late payment</t>
  </si>
  <si>
    <t>28/02/2015</t>
  </si>
  <si>
    <t>UMFA</t>
  </si>
  <si>
    <t>Interest paid to UMFA due to late payment</t>
  </si>
  <si>
    <t>29/05/2015</t>
  </si>
  <si>
    <t>95761</t>
  </si>
  <si>
    <t>95759</t>
  </si>
  <si>
    <t>13.05.2015</t>
  </si>
  <si>
    <t>Merchant West (PTY) LTD</t>
  </si>
  <si>
    <t>Interest paid to Merchant West (Pty)Ltd due to late payment</t>
  </si>
  <si>
    <t>Merchant West Pty Ltd</t>
  </si>
  <si>
    <t>Jnl 20652</t>
  </si>
  <si>
    <t>Jnl 20187</t>
  </si>
  <si>
    <t>Jnl 20612</t>
  </si>
  <si>
    <t>Total 2014/15</t>
  </si>
  <si>
    <t>Interest paid to PEC Metering due to late payment</t>
  </si>
  <si>
    <t>Schedule 1-Eskom</t>
  </si>
  <si>
    <t>Schedule 2-FDC</t>
  </si>
  <si>
    <t>Schedule 4-PEC Metering</t>
  </si>
  <si>
    <t>Schedule 2-Lawyers</t>
  </si>
  <si>
    <t>Schedule 6-Telkom</t>
  </si>
  <si>
    <t>Schedule 5-SARS</t>
  </si>
  <si>
    <t>Schedule 8-UMFA</t>
  </si>
  <si>
    <t xml:space="preserve">Schedule- 7 Phethogo Consulting CC </t>
  </si>
  <si>
    <t xml:space="preserve">Schedule 9-Merchant West </t>
  </si>
  <si>
    <t>Back to MFMA-7.1 F&amp;W Register</t>
  </si>
  <si>
    <t>2015/16</t>
  </si>
  <si>
    <t>Details of Fruitless and wasteful expenditure 2015/16</t>
  </si>
  <si>
    <t>22/7/2015</t>
  </si>
  <si>
    <t>Razzmatazz (Pty) Ltd</t>
  </si>
  <si>
    <t>PEC Marketing</t>
  </si>
  <si>
    <t>Razzmatazz (Pty)Ltd</t>
  </si>
  <si>
    <t>Interest paid to Razzmatazz (PTY) Ltd due to late payment</t>
  </si>
  <si>
    <t>Kramer; Wehmann and Joubert</t>
  </si>
  <si>
    <t>Kramer, Weihmann and Joubert</t>
  </si>
  <si>
    <t>Interest paid to Kramer, Weihmann and Joubert due to late payment</t>
  </si>
  <si>
    <t>yes</t>
  </si>
  <si>
    <t xml:space="preserve"> JNL 30605</t>
  </si>
  <si>
    <t>JNL 30603</t>
  </si>
  <si>
    <t>JNL 030489</t>
  </si>
  <si>
    <t>Interest paid to Kramer Weihmann Joubert due to late payment</t>
  </si>
  <si>
    <t>Total 2015/16</t>
  </si>
  <si>
    <t>JNL 30481</t>
  </si>
  <si>
    <t>Interest paid to Razzmatazz due to late payment</t>
  </si>
  <si>
    <t>Non compliance of public office Bearer's Act</t>
  </si>
  <si>
    <t>Schedule-2 Razzmatazz</t>
  </si>
  <si>
    <t>Schedule- 3 FDC</t>
  </si>
  <si>
    <t>Schedule-4 PEC Metering</t>
  </si>
  <si>
    <t>Schedule-5 UMFA</t>
  </si>
  <si>
    <t>Schedule- 6 Telkom SA Limited</t>
  </si>
  <si>
    <t>Schedule-7 Kramer Weihmann Joubert</t>
  </si>
  <si>
    <t>Schedule-9 SARS</t>
  </si>
  <si>
    <t>Schedule- 10 Councillors</t>
  </si>
  <si>
    <t>Interest paid to Pec Metering due to late payment</t>
  </si>
  <si>
    <t>Councillors who had their membership terminated were paid contrary to the requirements of the Remuneration of Public Office Bearers Act 20 of 1998</t>
  </si>
  <si>
    <t>Penalties for under-declaring of VAT and Interest paid to SARS due to late payment</t>
  </si>
  <si>
    <t>Councillors</t>
  </si>
  <si>
    <t>Calvin Moleme</t>
  </si>
  <si>
    <t>30/09/2016</t>
  </si>
  <si>
    <t>12/12/2016</t>
  </si>
  <si>
    <t>15/12/2016</t>
  </si>
  <si>
    <t>Railway Safety Regulator</t>
  </si>
  <si>
    <t>08/12/2016</t>
  </si>
  <si>
    <t>Free State Municipal Pension Fund</t>
  </si>
  <si>
    <t>2016/17</t>
  </si>
  <si>
    <t>Telkom SA Ltd</t>
  </si>
  <si>
    <t>Interest paid to Railway Safety Regulator due to late payment</t>
  </si>
  <si>
    <t>Interest paid to Free State Municipal Pension Fund due to late payment</t>
  </si>
  <si>
    <t>Free State Municipal Pension</t>
  </si>
  <si>
    <t>Total 2016/17</t>
  </si>
  <si>
    <t>Details of Fruitless and wasteful expenditure 2016/17</t>
  </si>
  <si>
    <t>Finance Intern</t>
  </si>
  <si>
    <t>SARS PAYE</t>
  </si>
  <si>
    <t>22/08/2016</t>
  </si>
  <si>
    <t xml:space="preserve">SARS </t>
  </si>
  <si>
    <t>Q Civils</t>
  </si>
  <si>
    <t>03/11/2016</t>
  </si>
  <si>
    <t>Case no. 3275</t>
  </si>
  <si>
    <t>27/01/2017</t>
  </si>
  <si>
    <t>02/02/2017</t>
  </si>
  <si>
    <t>08/02/2017</t>
  </si>
  <si>
    <t>07/03/2017</t>
  </si>
  <si>
    <t>10/03/2017</t>
  </si>
  <si>
    <t>Interest paid to UMFA</t>
  </si>
  <si>
    <t>Interest paid to FDC</t>
  </si>
  <si>
    <t>Interest paid to Eskom</t>
  </si>
  <si>
    <t>Interest paid to Q Civils</t>
  </si>
  <si>
    <t>Interest paid to SARS</t>
  </si>
  <si>
    <t>Interest paid to Free State Municipal Pension Fund</t>
  </si>
  <si>
    <t>11/07/2016</t>
  </si>
  <si>
    <t>08/10/2015</t>
  </si>
  <si>
    <t>25/07/2016</t>
  </si>
  <si>
    <t>10/02/2016</t>
  </si>
  <si>
    <t>Modderrivier Kalkveld</t>
  </si>
  <si>
    <t>Modderrivier kalkveld</t>
  </si>
  <si>
    <t>12/08/2015</t>
  </si>
  <si>
    <t>16/03/2017</t>
  </si>
  <si>
    <t>31/03/2017</t>
  </si>
  <si>
    <t>28/03/2017</t>
  </si>
  <si>
    <t>11/04/2017</t>
  </si>
  <si>
    <t>05/05/2017</t>
  </si>
  <si>
    <t>28/04/2017</t>
  </si>
  <si>
    <t>04/04/2017</t>
  </si>
  <si>
    <t>Case no. 284314</t>
  </si>
  <si>
    <t>LM Meyer</t>
  </si>
  <si>
    <t>Joyce Nel</t>
  </si>
  <si>
    <t>Case no. 40602016</t>
  </si>
  <si>
    <t>L M Meyer</t>
  </si>
  <si>
    <t>Interest paid to LM Meyer due to case no. 2843 14</t>
  </si>
  <si>
    <t>Interest paid to Joyce Nel due to case no. 40602016</t>
  </si>
  <si>
    <t>03/04/2017</t>
  </si>
  <si>
    <t>Wasserman Teerwrke</t>
  </si>
  <si>
    <t>Wasserman Teerwerke</t>
  </si>
  <si>
    <t>Interest paid to Wasserman Teerwerke due to late payment</t>
  </si>
  <si>
    <t>Interest paid to LM Meyer due to Court Order (case no. 2843 14)</t>
  </si>
  <si>
    <t>Interest paid to Joyce Nel due to Court Order (case no. 40602016)</t>
  </si>
  <si>
    <t>Interest paid to Q Civils due to Court Order (case no. 3275)</t>
  </si>
  <si>
    <t>Altimax</t>
  </si>
  <si>
    <t>05/06/2017</t>
  </si>
  <si>
    <t>Case no. 832/17</t>
  </si>
  <si>
    <t>Interest paid due to Court Order</t>
  </si>
  <si>
    <t>Panzacode CC</t>
  </si>
  <si>
    <t>Case no. 5926/2016</t>
  </si>
  <si>
    <t>Interest paid to Altimax due to Court Order (case no. 832/17)</t>
  </si>
  <si>
    <t>Interest paid to Panzacode CC due to Court Order (case no. 5926/2016)</t>
  </si>
  <si>
    <t>06/07/2017</t>
  </si>
  <si>
    <t>Maluti Plant Hire</t>
  </si>
  <si>
    <t>Case no. 4357</t>
  </si>
  <si>
    <t>Interest paid to Maluti Plant Hire due to Court Order (case no. 4357 and case no. 1765)</t>
  </si>
  <si>
    <t>02/06/2017</t>
  </si>
  <si>
    <t>08/06/2017</t>
  </si>
  <si>
    <t>15/06/2017</t>
  </si>
  <si>
    <t>AATHDIRA097648</t>
  </si>
  <si>
    <t>JNL 30826</t>
  </si>
  <si>
    <t>30/06/2016</t>
  </si>
  <si>
    <t>Interest paid to Modderrivier Kalkveld due to late payment</t>
  </si>
  <si>
    <t>20/07/2017</t>
  </si>
  <si>
    <t>Auditor General</t>
  </si>
  <si>
    <t>Interest paid to Auditor General due to late payment</t>
  </si>
  <si>
    <t>30/06/2017</t>
  </si>
  <si>
    <t>JNL 40515</t>
  </si>
  <si>
    <t>JNL 40517</t>
  </si>
  <si>
    <t>JNL 40485</t>
  </si>
  <si>
    <t>JNL 40516</t>
  </si>
  <si>
    <t>Councillors.</t>
  </si>
  <si>
    <t>17/07/2017</t>
  </si>
  <si>
    <t>JNL 40563</t>
  </si>
  <si>
    <t>087188   </t>
  </si>
  <si>
    <t xml:space="preserve">MR T A MOSIUOA </t>
  </si>
  <si>
    <t> 087777   </t>
  </si>
  <si>
    <t xml:space="preserve">MR M C MALEBO </t>
  </si>
  <si>
    <t> 087366   </t>
  </si>
  <si>
    <t xml:space="preserve">MR E C TOBIE </t>
  </si>
  <si>
    <t> 085708  </t>
  </si>
  <si>
    <t xml:space="preserve">MS N M ZOPHE </t>
  </si>
  <si>
    <t> 026673   </t>
  </si>
  <si>
    <t xml:space="preserve">MR H MINNIE </t>
  </si>
  <si>
    <t>JNL 40639</t>
  </si>
  <si>
    <t>JNL 40638</t>
  </si>
  <si>
    <t>JNL 40637</t>
  </si>
  <si>
    <t>JNL 40636</t>
  </si>
  <si>
    <t>JNL 40587</t>
  </si>
  <si>
    <t>3275/16</t>
  </si>
  <si>
    <t>C.5.11.1</t>
  </si>
  <si>
    <t>C.5.11</t>
  </si>
  <si>
    <r>
      <t>Refer to</t>
    </r>
    <r>
      <rPr>
        <sz val="10"/>
        <color rgb="FFFF0000"/>
        <rFont val="Arial"/>
        <family val="2"/>
      </rPr>
      <t xml:space="preserve"> </t>
    </r>
    <r>
      <rPr>
        <b/>
        <sz val="10"/>
        <color rgb="FFFF0000"/>
        <rFont val="Arial"/>
        <family val="2"/>
      </rPr>
      <t>C.5.11.1</t>
    </r>
    <r>
      <rPr>
        <sz val="10"/>
        <color rgb="FFFF0000"/>
        <rFont val="Arial"/>
        <family val="2"/>
      </rPr>
      <t xml:space="preserve"> </t>
    </r>
    <r>
      <rPr>
        <sz val="10"/>
        <rFont val="Arial"/>
        <family val="2"/>
      </rPr>
      <t>for the register as prepared by Calvin Moleme and included in the AFS:</t>
    </r>
  </si>
  <si>
    <t>C.5.11.3</t>
  </si>
  <si>
    <t>C.5.11.2</t>
  </si>
  <si>
    <t>2017/18</t>
  </si>
  <si>
    <t>Details of Fruitless and wasteful expenditure 2017/18</t>
  </si>
  <si>
    <t>18/07/2017</t>
  </si>
  <si>
    <t>17/08/2017</t>
  </si>
  <si>
    <t>24/07/2017</t>
  </si>
  <si>
    <t>11/08/2017</t>
  </si>
  <si>
    <t>30/08/2017</t>
  </si>
  <si>
    <t>Total 2017/18</t>
  </si>
  <si>
    <t>TELKOM</t>
  </si>
  <si>
    <t>13/09/2017</t>
  </si>
  <si>
    <t>22/09/2017</t>
  </si>
  <si>
    <t>10/10/2017</t>
  </si>
  <si>
    <t>19/10/2017</t>
  </si>
  <si>
    <t>20/10/2017</t>
  </si>
  <si>
    <t>08/11/2017</t>
  </si>
  <si>
    <t>24/11/2017</t>
  </si>
  <si>
    <t>26/10/2017</t>
  </si>
  <si>
    <t>20/09/2017</t>
  </si>
  <si>
    <t>27/09/2017</t>
  </si>
  <si>
    <t>23/08/2017</t>
  </si>
  <si>
    <t>23/01/2018</t>
  </si>
  <si>
    <t>11/10/2017</t>
  </si>
  <si>
    <t>29/01/2018</t>
  </si>
  <si>
    <t>31/01/2018</t>
  </si>
  <si>
    <t>19/07/2017</t>
  </si>
  <si>
    <t>02/02/2018</t>
  </si>
  <si>
    <t>24/01/2018</t>
  </si>
  <si>
    <t>HI-TECH ENGINEERING</t>
  </si>
  <si>
    <t>01/02/2018</t>
  </si>
  <si>
    <t>18/01/2018</t>
  </si>
  <si>
    <t>Hi-Tech Engineering</t>
  </si>
  <si>
    <t>Interest paid to Hi-Tech Engineering due to late payment</t>
  </si>
  <si>
    <t>22/02/2018</t>
  </si>
  <si>
    <t xml:space="preserve">Road Mac Surfacing </t>
  </si>
  <si>
    <t>Road Mac Surfacing</t>
  </si>
  <si>
    <t>ROAD MAC SURFACING</t>
  </si>
  <si>
    <t>Interest paid to Road Mac Surfacing due to late payment</t>
  </si>
  <si>
    <t>19/02/2018</t>
  </si>
  <si>
    <t>01/03/2018</t>
  </si>
  <si>
    <t>02/03/2018</t>
  </si>
  <si>
    <t>12/03/2018</t>
  </si>
  <si>
    <t>TAU PELE Constructon</t>
  </si>
  <si>
    <t>SPANGENBERG ZIETSMAN &amp; BLOEM</t>
  </si>
  <si>
    <t>16/03/2018</t>
  </si>
  <si>
    <t>20/03/2018</t>
  </si>
  <si>
    <t>09/03/2018</t>
  </si>
  <si>
    <t>Tau Pele Construction</t>
  </si>
  <si>
    <t>Spangenberg Zietsman</t>
  </si>
  <si>
    <t>TAU PELE</t>
  </si>
  <si>
    <t>SPANGENBERG ZIETSMAN</t>
  </si>
  <si>
    <t>Interest paid to Tau Pele Construction due to late payment</t>
  </si>
  <si>
    <t>Interest paid to Spangenberg Zietsman due to late payment</t>
  </si>
  <si>
    <t>06/04/2018</t>
  </si>
  <si>
    <t>L &amp; V Attorneys</t>
  </si>
  <si>
    <t>Interest paid to L &amp; V Attorneys due to late payment</t>
  </si>
  <si>
    <t>19/01/2018</t>
  </si>
  <si>
    <t>11/04/2018</t>
  </si>
  <si>
    <t>18/04/2018</t>
  </si>
  <si>
    <t>Fujitsu</t>
  </si>
  <si>
    <t>FUJITSU</t>
  </si>
  <si>
    <t>Interest paid to Fujitsu due to late payment</t>
  </si>
  <si>
    <t>25/04/2018</t>
  </si>
  <si>
    <t>17/05/2018</t>
  </si>
  <si>
    <t>18/05/2018</t>
  </si>
  <si>
    <t>30/05/2018</t>
  </si>
  <si>
    <t>13/04/2018</t>
  </si>
  <si>
    <t>28/05/2018</t>
  </si>
  <si>
    <t>06/06/2018</t>
  </si>
  <si>
    <t>Not filed yet</t>
  </si>
  <si>
    <t>11/09/2017</t>
  </si>
  <si>
    <t>Symington &amp; De Kok</t>
  </si>
  <si>
    <t>SYMINGTON &amp; DE KOK</t>
  </si>
  <si>
    <t>Interest paid to Symington &amp; De Kok due to late payment</t>
  </si>
  <si>
    <t>29/06/2018</t>
  </si>
  <si>
    <t>06/08/2018</t>
  </si>
  <si>
    <t>17/08/2018</t>
  </si>
  <si>
    <t>Reder Construction</t>
  </si>
  <si>
    <t>Reder Construction CC</t>
  </si>
  <si>
    <t>REDER CONSTRUCTION</t>
  </si>
  <si>
    <t>Interest paid to Reder Constructiondue to late payment</t>
  </si>
  <si>
    <t>22/08/2018</t>
  </si>
  <si>
    <t>04/08/2018</t>
  </si>
  <si>
    <t xml:space="preserve">Jacorene Botes </t>
  </si>
  <si>
    <t>full year</t>
  </si>
  <si>
    <t>Interest</t>
  </si>
  <si>
    <t>14/08/2018</t>
  </si>
  <si>
    <t>Kgato Projects</t>
  </si>
  <si>
    <t>13/08/2018</t>
  </si>
  <si>
    <t>Friday Management Solutions</t>
  </si>
  <si>
    <t>Interest paid to Friday Management Solutions due to late payment</t>
  </si>
  <si>
    <t>028163</t>
  </si>
  <si>
    <t>MR M A SIYONZANA</t>
  </si>
  <si>
    <t>087434</t>
  </si>
  <si>
    <t>035729</t>
  </si>
  <si>
    <t>MS G THIPENYANE</t>
  </si>
  <si>
    <t>MR M NKHABU</t>
  </si>
  <si>
    <t>MS N A RATSIU</t>
  </si>
  <si>
    <t>084961</t>
  </si>
  <si>
    <t>116091</t>
  </si>
  <si>
    <t>MS J H RANTAI</t>
  </si>
  <si>
    <t>116554</t>
  </si>
  <si>
    <t>MR L E RASOEU</t>
  </si>
  <si>
    <t>Councillors Overpayment</t>
  </si>
  <si>
    <t>Councillors whose salaries were over paid contrary to the requirements of the Remuneration of Public Office Bearers Act 20 of 1998</t>
  </si>
  <si>
    <t>087447</t>
  </si>
  <si>
    <t>MR Z E MANGCOTYWA</t>
  </si>
  <si>
    <t>2.10.7</t>
  </si>
  <si>
    <t>D. Jonas</t>
  </si>
  <si>
    <t>11/07/2018</t>
  </si>
  <si>
    <t>J Mtombeni</t>
  </si>
  <si>
    <t>Client:</t>
  </si>
  <si>
    <t xml:space="preserve">Mangaung  Metro Municipality </t>
  </si>
  <si>
    <t>30 June 2018</t>
  </si>
  <si>
    <t>Councillors remunarations</t>
  </si>
  <si>
    <t>Procedures Performed:</t>
  </si>
  <si>
    <t>&gt; Compared the councillors remunaration paid as per the payday reports to the Gazzetted amount using Gazette No. 41335 of the 15th of December 2017.</t>
  </si>
  <si>
    <t>&gt; Followed up material differences.</t>
  </si>
  <si>
    <t>Travelling allowance</t>
  </si>
  <si>
    <t>Councillors allowances - as per the Gazette</t>
  </si>
  <si>
    <t>Payday</t>
  </si>
  <si>
    <t>Difference</t>
  </si>
  <si>
    <t>Tickmark</t>
  </si>
  <si>
    <t>Cellphone allowance as per the Gazette</t>
  </si>
  <si>
    <t>Total paid as per payday</t>
  </si>
  <si>
    <t>AMOUNT PER THE DISCLOSURE</t>
  </si>
  <si>
    <t xml:space="preserve"> as per Gazette - 25% of TRP</t>
  </si>
  <si>
    <t>Earnings</t>
  </si>
  <si>
    <t>Company contributions</t>
  </si>
  <si>
    <t>Total remunaraction paid</t>
  </si>
  <si>
    <t>Cellphone allowance</t>
  </si>
  <si>
    <t>Mobile data cards</t>
  </si>
  <si>
    <t>Total allowance p.a</t>
  </si>
  <si>
    <t>Executive Mayor - Mlameli</t>
  </si>
  <si>
    <t>Deputy Executive Mayor</t>
  </si>
  <si>
    <t>Speaker</t>
  </si>
  <si>
    <t>A</t>
  </si>
  <si>
    <t>Chief Whip</t>
  </si>
  <si>
    <t>D</t>
  </si>
  <si>
    <t>Mayoral Committee</t>
  </si>
  <si>
    <t>A + B</t>
  </si>
  <si>
    <t>Chairperson of Section 79 Committee</t>
  </si>
  <si>
    <t>B</t>
  </si>
  <si>
    <t>Part-Time Councillors</t>
  </si>
  <si>
    <t>C</t>
  </si>
  <si>
    <t>ALLOWABLE LIMITS AS PER GAZETTEE</t>
  </si>
  <si>
    <t>Councillor catagory</t>
  </si>
  <si>
    <t>CTC p.a for 1 councillor as per Gazette</t>
  </si>
  <si>
    <t>Cellphone allowance p.a for 1 councillor as per Gazette</t>
  </si>
  <si>
    <t>Total remunaration for 1 councillor as per Gazette</t>
  </si>
  <si>
    <t>Allowable max travel allowance for 1 coucillor as per Gazette</t>
  </si>
  <si>
    <t>CELLPHONE ALLOWANCES</t>
  </si>
  <si>
    <t>Cellphone allowance per month</t>
  </si>
  <si>
    <t>Mobile data per month</t>
  </si>
  <si>
    <t>Total allowance per month</t>
  </si>
  <si>
    <t>Executive Mayor</t>
  </si>
  <si>
    <t>Chairperson of Section 79 Committee - Full-time</t>
  </si>
  <si>
    <t>The Above government Gozette was introduced on the 15 Dec 2017 but applicable from 01 July 2017 all the councillors employed from that date were backpaid in January 2018 as a result of this government gazette.</t>
  </si>
  <si>
    <t>ALLOWABLE LIMITS AS PER GAZETTEE: BREAKDOWN OF GROSS EARNINGS</t>
  </si>
  <si>
    <t>TOTAL ALLOWABLE MONTHLY REMUNERATION PACKAGE PER COUNCILLOR</t>
  </si>
  <si>
    <t>ALLOWABLE MONTHLY TRAVELLING ALLOWANCE PER COUNCILLOR</t>
  </si>
  <si>
    <t>Additional notes:</t>
  </si>
  <si>
    <t>A Councillor's allowance(net remuneration) paid to him or her at the end of each month is net of the gross earnings after the benefits (exluding cellphone allowance, computed as follows:</t>
  </si>
  <si>
    <t>Gross earnings (CTC )</t>
  </si>
  <si>
    <t>xxxx</t>
  </si>
  <si>
    <t xml:space="preserve">less housing allowance </t>
  </si>
  <si>
    <t>(xxx)</t>
  </si>
  <si>
    <t>Less travelling allowance</t>
  </si>
  <si>
    <t>Less medical aid contributions</t>
  </si>
  <si>
    <t>Less Pension fund contributions</t>
  </si>
  <si>
    <t>Councillor allowance paid</t>
  </si>
  <si>
    <t>INVESTIGATION OF THE DIFFERENCES REFLECTED ABOVE: SUMMARY OF MATERIAL DIFFERENCES</t>
  </si>
  <si>
    <t>GROSS EARNINGS: SPEAKER</t>
  </si>
  <si>
    <t>EMP_CODE</t>
  </si>
  <si>
    <t>EMPLOYEE</t>
  </si>
  <si>
    <t>GAZETTE</t>
  </si>
  <si>
    <t>PAYDAY</t>
  </si>
  <si>
    <t>DIFFERENCE</t>
  </si>
  <si>
    <t>LEGENDS</t>
  </si>
  <si>
    <t>GROSS EARNINGS: MAYORAL COMMITTEE</t>
  </si>
  <si>
    <t>A1</t>
  </si>
  <si>
    <t>TRAVELLING ALLOWANCE: MAYORAL COMMITTEE</t>
  </si>
  <si>
    <t>GROSS EARNINGS: SECTION 79</t>
  </si>
  <si>
    <t>TRAVELLING ALLOWANCE: SECTION 79</t>
  </si>
  <si>
    <t>GROSS EARNINGS: PART-TIME COUNCILLORS</t>
  </si>
  <si>
    <t>The overpayment of gross earnings in the speaker's package is due to that he was overpayed for the three months, January 2018 to April 2018. There was an error in the calculation of the net allowance payable to him i.e The amount paid to him was a gross amount. A manager for payroll has set up a meeting with the speaker to discuss on how the money overpaid to him is going be recovered. A further illustration of the differences these four months is as follows:</t>
  </si>
  <si>
    <t>Allowance as per Gazette</t>
  </si>
  <si>
    <t>Paid as per Payday reports</t>
  </si>
  <si>
    <t>January 2018</t>
  </si>
  <si>
    <t>February 2018</t>
  </si>
  <si>
    <t>March 2018</t>
  </si>
  <si>
    <t>April 2018</t>
  </si>
  <si>
    <t>Gross earnings</t>
  </si>
  <si>
    <t>Total Benefits</t>
  </si>
  <si>
    <t>Housing Subsidy</t>
  </si>
  <si>
    <t>Medical Aid</t>
  </si>
  <si>
    <t>Councillor allowance (net remuneration)</t>
  </si>
  <si>
    <t>Should be recovered</t>
  </si>
  <si>
    <t>Councillor Nkhabu's Medical aid deduction for March 2018 not deducted against his package, hence the difference and overpayment of gross earnings.</t>
  </si>
  <si>
    <t>Differences</t>
  </si>
  <si>
    <t>The difference is due to changes in Section 79 and Section 80 commitees in November 2017.</t>
  </si>
  <si>
    <t>Councillor Ratsiu moved from Section 80 to Section 79 Committee</t>
  </si>
  <si>
    <t>Councillor Thipenyane moved from Section 79 to Section 80</t>
  </si>
  <si>
    <t>Their packages were not adjusted as per the change, hence the differences, and to be corrected.</t>
  </si>
  <si>
    <t>Ratsiu</t>
  </si>
  <si>
    <t>Thipenyane</t>
  </si>
  <si>
    <t>As Mayoral Committee</t>
  </si>
  <si>
    <t>As Section 79</t>
  </si>
  <si>
    <t>Totals</t>
  </si>
  <si>
    <t>Travel Allowances</t>
  </si>
  <si>
    <t>the differences are as the result of overpayments in gross earnings. The councillors backpays were overstated.</t>
  </si>
  <si>
    <t xml:space="preserve">Other differences betwwen the governmrnt gazette and Payday are acceptable as they are below the allowable limits as </t>
  </si>
  <si>
    <t>per the government gazette.</t>
  </si>
  <si>
    <t>The councillor was started on medical aid from May to June 2018 and the total earnings were not reduced to take into accoun the medical contriution (by the municipality):</t>
  </si>
  <si>
    <t>Medical Aid (Contributions by Municipality)</t>
  </si>
  <si>
    <t>Variance:</t>
  </si>
  <si>
    <t>Total amounts to be recovered</t>
  </si>
  <si>
    <t>Amount</t>
  </si>
  <si>
    <t>Councillors Salaries</t>
  </si>
  <si>
    <t>Ruwacon</t>
  </si>
  <si>
    <t>Oramok</t>
  </si>
  <si>
    <t>15/11/2017</t>
  </si>
  <si>
    <t>Overpayments made to Ruwacon</t>
  </si>
  <si>
    <t>Kgato Project</t>
  </si>
  <si>
    <t>JNL 051143</t>
  </si>
  <si>
    <t>Case not defended</t>
  </si>
  <si>
    <t>Refilwe Civils</t>
  </si>
  <si>
    <t>JNL 050861</t>
  </si>
  <si>
    <t>Case no.5430/16</t>
  </si>
  <si>
    <t>Panzocode CC</t>
  </si>
  <si>
    <t>Case no.5926/2016</t>
  </si>
  <si>
    <t>Overpayment of services</t>
  </si>
  <si>
    <t>Overpayment of service provider Oramok</t>
  </si>
  <si>
    <t>Overpayment of service provider Ruwacon</t>
  </si>
  <si>
    <t>Overpayment of service provider Refilwe Civils</t>
  </si>
  <si>
    <t>121652
122631</t>
  </si>
  <si>
    <t>19/09/2016
28/10/2016</t>
  </si>
  <si>
    <t>Panzacode</t>
  </si>
  <si>
    <t>Wasserman</t>
  </si>
  <si>
    <t>Overpayment of service provider Wasserman Teerwerke</t>
  </si>
  <si>
    <t>23/03/2016</t>
  </si>
  <si>
    <t>22/02/2017</t>
  </si>
  <si>
    <t>Q-Civils</t>
  </si>
  <si>
    <t>Overpayment of service provider Q-Civils</t>
  </si>
  <si>
    <t>Overpayments made to Oramok (Pty) Ltd</t>
  </si>
  <si>
    <t>Overpayments made to Q-Civils</t>
  </si>
  <si>
    <t>LTE Consulting</t>
  </si>
  <si>
    <t>JNL 50962</t>
  </si>
  <si>
    <t xml:space="preserve">LTE </t>
  </si>
  <si>
    <t>Overpayment of service provider LTE Consulting</t>
  </si>
  <si>
    <t>Overpayment of service provider Panzacode CC</t>
  </si>
  <si>
    <t>Overpayment of service provider Kgato Project</t>
  </si>
  <si>
    <t>T1327B</t>
  </si>
  <si>
    <t>Value of work certified decreased, asphalt failures, contractor liquidated</t>
  </si>
  <si>
    <t>123208
136402</t>
  </si>
  <si>
    <t>Fruitless and wasteful expenditure</t>
  </si>
  <si>
    <t>30 June 2018/19</t>
  </si>
  <si>
    <r>
      <t xml:space="preserve">Refer to </t>
    </r>
    <r>
      <rPr>
        <b/>
        <sz val="10"/>
        <color rgb="FFFF0000"/>
        <rFont val="Arial"/>
        <family val="2"/>
      </rPr>
      <t>C.5.11.3</t>
    </r>
    <r>
      <rPr>
        <sz val="10"/>
        <color rgb="FFFF0000"/>
        <rFont val="Arial"/>
        <family val="2"/>
      </rPr>
      <t xml:space="preserve"> </t>
    </r>
    <r>
      <rPr>
        <sz val="10"/>
        <rFont val="Arial"/>
        <family val="2"/>
      </rPr>
      <t>for the disclosure prepared for preparation of the 2018-19 AFS.</t>
    </r>
  </si>
  <si>
    <t>15/08/2018</t>
  </si>
  <si>
    <t>24/08/2018</t>
  </si>
  <si>
    <t>28/08/2018</t>
  </si>
  <si>
    <t>31/08/2018</t>
  </si>
  <si>
    <t>05/09/2018</t>
  </si>
  <si>
    <t>20/09/2018</t>
  </si>
  <si>
    <t>27/09/2018</t>
  </si>
  <si>
    <t>03/10/2018</t>
  </si>
  <si>
    <t>16/10/2018</t>
  </si>
  <si>
    <t>01/11/2018</t>
  </si>
  <si>
    <t>28/11/2018</t>
  </si>
  <si>
    <t>30/11/2018</t>
  </si>
  <si>
    <t>29/11/2018</t>
  </si>
  <si>
    <t>Varymix nineteen (Pty)</t>
  </si>
  <si>
    <t>05/12/2018</t>
  </si>
  <si>
    <t>06/12/2018</t>
  </si>
  <si>
    <t>12/12/2018</t>
  </si>
  <si>
    <t>07/01/2019</t>
  </si>
  <si>
    <t>01/02/2019</t>
  </si>
  <si>
    <t>05/02/2019</t>
  </si>
  <si>
    <t>13/02/2019</t>
  </si>
  <si>
    <t>20/02/2019</t>
  </si>
  <si>
    <t>27/02/2019</t>
  </si>
  <si>
    <t>17/01/2019</t>
  </si>
  <si>
    <t>07/03/2019</t>
  </si>
  <si>
    <t>22/01/2019</t>
  </si>
  <si>
    <t>06/02/2019</t>
  </si>
  <si>
    <t>Details of Fruitless and wasteful expenditure 2018/19</t>
  </si>
  <si>
    <t>2018/19</t>
  </si>
  <si>
    <t>ESKOM SOC</t>
  </si>
  <si>
    <t>Interest paid to Eskom SOC due to late payment</t>
  </si>
  <si>
    <t>TELKOM SA</t>
  </si>
  <si>
    <t>Varymix Nineteen (PTY)</t>
  </si>
  <si>
    <t>VARYMIX NINETEEN (PTY)</t>
  </si>
  <si>
    <t>Interest paid to Varymix Nineteen (Pty) Limited due to late payment</t>
  </si>
  <si>
    <t>04/04/2019</t>
  </si>
  <si>
    <t>01/04/2019</t>
  </si>
  <si>
    <t>26/04/2019</t>
  </si>
  <si>
    <t>10/04/2019</t>
  </si>
  <si>
    <t>17/04/2019</t>
  </si>
  <si>
    <t>Blair Attorneys</t>
  </si>
  <si>
    <t>BLAIR ATTORNEYS</t>
  </si>
  <si>
    <t>Interest paid to Blair Attorneys due to late payment</t>
  </si>
  <si>
    <t>New integrated credit solution</t>
  </si>
  <si>
    <t>Case No.</t>
  </si>
  <si>
    <t>2321/14</t>
  </si>
  <si>
    <t>13/07/2018</t>
  </si>
  <si>
    <t>11/12/2018</t>
  </si>
  <si>
    <t>Samwu obo MW Mongale</t>
  </si>
  <si>
    <t>JR488/13</t>
  </si>
  <si>
    <t>22/02/2019</t>
  </si>
  <si>
    <t>Down Touch Investments</t>
  </si>
  <si>
    <t>5540/18</t>
  </si>
  <si>
    <t>NICS</t>
  </si>
  <si>
    <t>Interest paid to New Integrated Credit Solutions due to court case no 2321/2014</t>
  </si>
  <si>
    <t>SAMWU</t>
  </si>
  <si>
    <t>Interest paid to Samwu obo MW Mogale due to court case no. JR488/13</t>
  </si>
  <si>
    <t>DOWN TOUCH</t>
  </si>
  <si>
    <t>Interest paid to Down Touch Investments due to court case no. 5540/2018</t>
  </si>
  <si>
    <t>Peyper Majaphage Attorneys</t>
  </si>
  <si>
    <t>Peyper Attorneys</t>
  </si>
  <si>
    <t>PEYPER ATTORNEYS</t>
  </si>
  <si>
    <t>Interest paid to Peyper Attorneys due to late payment</t>
  </si>
  <si>
    <t>Interest paid to NICS due to late payment</t>
  </si>
  <si>
    <t>Interest paid to SAMWU due to late payment</t>
  </si>
  <si>
    <t>Interest paid to Down Touch due to late payment</t>
  </si>
  <si>
    <t>Transaction No.</t>
  </si>
  <si>
    <t>Sars</t>
  </si>
  <si>
    <t>SARS - PAYE</t>
  </si>
  <si>
    <t>06/06/2019</t>
  </si>
  <si>
    <t>29/05/2019</t>
  </si>
  <si>
    <t>Couzyn Hertzog &amp; Horak</t>
  </si>
  <si>
    <t>Couzyn Hertz &amp; Horak Attorneys</t>
  </si>
  <si>
    <t>COUZYN HERTZ &amp; HORAK ATTORNEYS</t>
  </si>
  <si>
    <t>Interest paid to Couzyn Hertz &amp; Horak Attorneys due to late payment</t>
  </si>
  <si>
    <t>Honey Attorneys</t>
  </si>
  <si>
    <t>HONEY ATTORNEYS</t>
  </si>
  <si>
    <t>Interest paid to Honey Attorneys due to court case no: 1064/2017</t>
  </si>
  <si>
    <t>13/06/2019</t>
  </si>
  <si>
    <t>18/07/2019</t>
  </si>
  <si>
    <t>19/07/2019</t>
  </si>
  <si>
    <t>The total Fruitless and Wasteful Expenditure incurred for 2018-19 financial year amouts to R4 950 830</t>
  </si>
  <si>
    <t>Councillors amount used to be R230 878,93 due to the addition of deductions added to the amount</t>
  </si>
  <si>
    <t>C.5.11.1 F&amp;W Register</t>
  </si>
  <si>
    <t>31/07/2017</t>
  </si>
  <si>
    <t>30 June 2017</t>
  </si>
  <si>
    <t>Councillors remunerations</t>
  </si>
  <si>
    <t>&gt; Compared the councillors remuneration paid as per the payday reports to the Gazetted amount using Gazette No. 40519 of the 21st of December 2016.</t>
  </si>
  <si>
    <t>Councillors allowances - as per the Gazette - Pro-rata</t>
  </si>
  <si>
    <t>Tick mark</t>
  </si>
  <si>
    <t xml:space="preserve"> as per Gazette - 25% of TRP
(Pro rata)</t>
  </si>
  <si>
    <t>Company Contributions</t>
  </si>
  <si>
    <t>Total remuneration paid</t>
  </si>
  <si>
    <t>Cell phone and data allowance as per the Gazette
(Pro rata)</t>
  </si>
  <si>
    <t>Executive Mayor - Mlamleli</t>
  </si>
  <si>
    <t>Executive Mayor - Manyoni</t>
  </si>
  <si>
    <t>N1/N3</t>
  </si>
  <si>
    <t>N3</t>
  </si>
  <si>
    <t>Mayoral Committee - August 2016-2017</t>
  </si>
  <si>
    <t>Mayoral Committee - 2016 - August 2016</t>
  </si>
  <si>
    <t>Rounding</t>
  </si>
  <si>
    <t>Chairperson of Section 79 Committee - August 2016 - 2017</t>
  </si>
  <si>
    <t>Chairperson of Section 79 Committee - 2016 - August 2016</t>
  </si>
  <si>
    <t>Part-Time Councillors - 2016 - August 2016</t>
  </si>
  <si>
    <t>N2/N3</t>
  </si>
  <si>
    <t>Part-Time Councillors - August 2016 - 2017</t>
  </si>
  <si>
    <t>Councillor category</t>
  </si>
  <si>
    <t>Cell phone allowance p.a for 1 councillor as per Gazette</t>
  </si>
  <si>
    <t>Total remuneration for 1 councillor as per Gazette</t>
  </si>
  <si>
    <t>Allowable max travel allowance for 1 councillor as per Gazette</t>
  </si>
  <si>
    <t>(12 Months)</t>
  </si>
  <si>
    <t>Cell phone allowance per month</t>
  </si>
  <si>
    <t>Chairperson of Section 79 Committee - Part-time</t>
  </si>
  <si>
    <t>The Above government Gazette was introduced on the 21 Dec 2016 but applicable from 01 July 2016 all the councillors employed from that date were back paid in February 2017 as a result of this government gazette.</t>
  </si>
  <si>
    <t>N1</t>
  </si>
  <si>
    <t>The deputy Executive Mayor was employed as a top 4 official as well as part of the Mayoral Committee for the financial period.</t>
  </si>
  <si>
    <t>Refer to workbook &lt;Top 4 -201617 FY&gt;</t>
  </si>
  <si>
    <t>Therefore the other part of the year is included under Mayoral committee calculations.</t>
  </si>
  <si>
    <t>N2</t>
  </si>
  <si>
    <t>4 employees received back pay for June 2016.</t>
  </si>
  <si>
    <t>These employees are:</t>
  </si>
  <si>
    <t>Employee no</t>
  </si>
  <si>
    <t>Surname &amp; Initials</t>
  </si>
  <si>
    <t>G G Lebitsa</t>
  </si>
  <si>
    <t>Z J Thwala</t>
  </si>
  <si>
    <t>J H Rantai</t>
  </si>
  <si>
    <t>T D Measou</t>
  </si>
  <si>
    <t>During the year overpayment of Councillors remuneration and cell phone allowance was made and led to a subsequent overpayment on fixed motor car allowance.</t>
  </si>
  <si>
    <t>Details of the overpayments to Councillors are set out below:</t>
  </si>
  <si>
    <t>The overpayments constitute irregular expenditure and was reported as such.</t>
  </si>
  <si>
    <t>Proportional Allowance</t>
  </si>
  <si>
    <t>087049</t>
  </si>
  <si>
    <t>MR L A MASOETSA</t>
  </si>
  <si>
    <t>CLLR ALL</t>
  </si>
  <si>
    <t>028338</t>
  </si>
  <si>
    <t>MS J E PETERSEN</t>
  </si>
  <si>
    <t>116075</t>
  </si>
  <si>
    <t>MR G G LEBITSA</t>
  </si>
  <si>
    <t>116088</t>
  </si>
  <si>
    <t>MR Z J THWALA</t>
  </si>
  <si>
    <t>116101</t>
  </si>
  <si>
    <t>MR T D MASOEU</t>
  </si>
  <si>
    <t>CLLR CELL</t>
  </si>
  <si>
    <t>CAR FIXED</t>
  </si>
  <si>
    <t>Non compliance of public office Bearer's Act (council amount used to be R176 830,50 initially)</t>
  </si>
  <si>
    <t>COUNCILLORS OVERPAYMENT LIST</t>
  </si>
  <si>
    <t>NO.</t>
  </si>
  <si>
    <t>PAY NUMBER</t>
  </si>
  <si>
    <t>EMPLOYEE NAMES</t>
  </si>
  <si>
    <t xml:space="preserve">AMOUNT TO BE RECOVERED </t>
  </si>
  <si>
    <t>028370</t>
  </si>
  <si>
    <t>MR X D PONGOLO</t>
  </si>
  <si>
    <t>082565</t>
  </si>
  <si>
    <t>MS M M SHOUNYANA</t>
  </si>
  <si>
    <t>087476</t>
  </si>
  <si>
    <t>MR M J NKOE</t>
  </si>
  <si>
    <t>002406</t>
  </si>
  <si>
    <t>MR M B MONONYANE</t>
  </si>
  <si>
    <t>010854</t>
  </si>
  <si>
    <t>MR R VAN DER MERWE</t>
  </si>
  <si>
    <t>030850</t>
  </si>
  <si>
    <t>MR T K LITABE</t>
  </si>
  <si>
    <t>031024</t>
  </si>
  <si>
    <t>MR A P TERBLANCHE</t>
  </si>
  <si>
    <t>031040</t>
  </si>
  <si>
    <t>MS M E DENNIS</t>
  </si>
  <si>
    <t>031354</t>
  </si>
  <si>
    <t>MS E SNYMAN-VAN DEVENTER</t>
  </si>
  <si>
    <t>034335</t>
  </si>
  <si>
    <t>MR S DYOSIBA</t>
  </si>
  <si>
    <t>051305</t>
  </si>
  <si>
    <t>MR D M SEKAKANYO</t>
  </si>
  <si>
    <t>053808</t>
  </si>
  <si>
    <t>MR T S MPAKATHE</t>
  </si>
  <si>
    <t>054658</t>
  </si>
  <si>
    <t>MR F R BOTES</t>
  </si>
  <si>
    <t>056274</t>
  </si>
  <si>
    <t>MR J C PRETORIUS</t>
  </si>
  <si>
    <t>059569</t>
  </si>
  <si>
    <t>MS M B QWENA</t>
  </si>
  <si>
    <t>084411</t>
  </si>
  <si>
    <t>MR M M MORURI</t>
  </si>
  <si>
    <t>084712</t>
  </si>
  <si>
    <t>MR T J NAILE</t>
  </si>
  <si>
    <t>087230</t>
  </si>
  <si>
    <t>MR M J MOFOKENG</t>
  </si>
  <si>
    <t>092694</t>
  </si>
  <si>
    <t>MR M L MOTHUPI</t>
  </si>
  <si>
    <t>095086</t>
  </si>
  <si>
    <t>MR M G SELEBELI</t>
  </si>
  <si>
    <t>095316</t>
  </si>
  <si>
    <t>MR T D RAMAINOANE</t>
  </si>
  <si>
    <t>116389</t>
  </si>
  <si>
    <t>MRS P MARAIS</t>
  </si>
  <si>
    <t>116473</t>
  </si>
  <si>
    <t>MR C F RAMPAI</t>
  </si>
  <si>
    <t>116512</t>
  </si>
  <si>
    <t>MRS D S MVALA-MAJOLA</t>
  </si>
  <si>
    <t>117554</t>
  </si>
  <si>
    <t>138066</t>
  </si>
  <si>
    <t>ME N KGANAKGA</t>
  </si>
  <si>
    <t>TOTAL OVERPAYMENTS</t>
  </si>
  <si>
    <t>01/08/2019</t>
  </si>
  <si>
    <t>Modder river</t>
  </si>
  <si>
    <t>19/09/2018</t>
  </si>
  <si>
    <t>CMP BEE Engineering</t>
  </si>
  <si>
    <t>5559/16</t>
  </si>
  <si>
    <t>CMP BEE Engineer</t>
  </si>
  <si>
    <t>Overpament of Councillors salaries</t>
  </si>
  <si>
    <t>Interest paid to Modderrivier due to late payment</t>
  </si>
  <si>
    <t>Interest paid to CMP BEE Engineering due to court case no: 5559/16</t>
  </si>
  <si>
    <t>List of Overpayments (Councillors)</t>
  </si>
  <si>
    <t>LISTING OF OVERPAYMENTS</t>
  </si>
  <si>
    <t>MODDERRIVIER</t>
  </si>
  <si>
    <t>CMP BEE ENGINEER</t>
  </si>
  <si>
    <t>2010/11</t>
  </si>
  <si>
    <t>Total 2010/11</t>
  </si>
  <si>
    <t>Total 2009/10</t>
  </si>
  <si>
    <t>Total 2008/09</t>
  </si>
  <si>
    <t>Note:  The opening balance of R43 261 014 for 2017/18 is adjusted to R40 832 289 mainly due to cases for 2008/2009 that were not correctly disclosed in the audited annual financial statements for the 2017/2018 financial year.</t>
  </si>
  <si>
    <t>08/08/2019</t>
  </si>
  <si>
    <t>SABC TV Licences</t>
  </si>
  <si>
    <t>jnl 061307</t>
  </si>
  <si>
    <t>20190630</t>
  </si>
  <si>
    <t>FSPG Police</t>
  </si>
  <si>
    <t>jnl 061313</t>
  </si>
  <si>
    <t>Interest paid to SABC TV Licences due to late payment</t>
  </si>
  <si>
    <t>Interest paid to FSPG Police Roads and Transport due to late payment</t>
  </si>
  <si>
    <t>30/06/2019</t>
  </si>
  <si>
    <t>jnl 61155</t>
  </si>
  <si>
    <t>24/05/2019</t>
  </si>
  <si>
    <t>JNL61450</t>
  </si>
  <si>
    <t>JNL61449</t>
  </si>
  <si>
    <t>JNL 61475</t>
  </si>
  <si>
    <t>JNL 61476</t>
  </si>
  <si>
    <t>jnl 61454</t>
  </si>
  <si>
    <t>jnl 61455</t>
  </si>
  <si>
    <t>jnl 61456</t>
  </si>
  <si>
    <t>jnl 61457</t>
  </si>
  <si>
    <t>jnl 61458</t>
  </si>
  <si>
    <t>Correction of Prior period error</t>
  </si>
  <si>
    <t>Less Amounts recovered - Current</t>
  </si>
  <si>
    <t>Fruitless and wasteful expenditure closing balance</t>
  </si>
  <si>
    <t>Fruitless and wasteful expenditure - Current year</t>
  </si>
  <si>
    <t>Overpayment made to Ruwacon (AC 247)</t>
  </si>
  <si>
    <t>Ruwacon (AC 247)</t>
  </si>
  <si>
    <t>09/12/2016</t>
  </si>
  <si>
    <t>RUWACON (AC 247)</t>
  </si>
  <si>
    <t>Contract No.</t>
  </si>
  <si>
    <t>Calgro M3 Holdings</t>
  </si>
  <si>
    <t>C063/C1</t>
  </si>
  <si>
    <t>AC 264</t>
  </si>
  <si>
    <t>Phumi Trading</t>
  </si>
  <si>
    <t>C293</t>
  </si>
  <si>
    <t>AC 263</t>
  </si>
  <si>
    <t>Calgro M3 Holding</t>
  </si>
  <si>
    <t>CALGRO M3 HOLDINGS</t>
  </si>
  <si>
    <t>PHUMI TRADING</t>
  </si>
  <si>
    <t>AC263</t>
  </si>
  <si>
    <t>Phumi Trading (AC 263)</t>
  </si>
  <si>
    <t>Calgro M3 Holdings (Pennyville Zamimphilo Relocations (PTY) Ltd ) (AC 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</si>
</sst>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quot;R&quot;\ * #,##0.00_ ;_ &quot;R&quot;\ * \-#,##0.00_ ;_ &quot;R&quot;\ * &quot;-&quot;??_ ;_ @_ "/>
    <numFmt numFmtId="165" formatCode="_ * #,##0.00_ ;_ * \-#,##0.00_ ;_ * &quot;-&quot;??_ ;_ @_ "/>
    <numFmt numFmtId="166" formatCode="_(* #,##0_);_(* \(#,##0\);_(* &quot;-&quot;_);_(@_)"/>
    <numFmt numFmtId="167" formatCode="_(* #,##0.00_);_(* \(#,##0.00\);_(* &quot;-&quot;??_);_(@_)"/>
    <numFmt numFmtId="168" formatCode="[$-F800]dddd\,\ mmmm\ dd\,\ yyyy"/>
    <numFmt numFmtId="169" formatCode="_(* #,##0_);_(* \(#,##0\);_(* &quot;-&quot;??_);_(@_)"/>
    <numFmt numFmtId="170" formatCode="[$-409]d\-mmm\-yyyy;@"/>
    <numFmt numFmtId="171" formatCode="dd/mm/yyyy;@"/>
    <numFmt numFmtId="172" formatCode="_(* #,##0.00_);_(* \(#,##0.00\);_(* &quot;-&quot;_);_(@_)"/>
    <numFmt numFmtId="173" formatCode="dd\.mm\.yyyy;@"/>
    <numFmt numFmtId="174" formatCode="[$-1C09]dd\ mmmm\ yyyy;@"/>
  </numFmts>
  <fonts count="64" x14ac:knownFonts="1">
    <font>
      <sz val="11"/>
      <color theme="1"/>
      <name val="Calibri"/>
      <family val="2"/>
      <scheme val="minor"/>
    </font>
    <font>
      <sz val="11"/>
      <color theme="1"/>
      <name val="Calibri"/>
      <family val="2"/>
      <scheme val="minor"/>
    </font>
    <font>
      <sz val="8"/>
      <color rgb="FF000000"/>
      <name val="Arial Bold"/>
    </font>
    <font>
      <sz val="8"/>
      <color rgb="FF000000"/>
      <name val="Arial"/>
      <family val="2"/>
    </font>
    <font>
      <sz val="10"/>
      <name val="Arial"/>
      <family val="2"/>
    </font>
    <font>
      <b/>
      <sz val="10"/>
      <name val="Arial"/>
      <family val="2"/>
    </font>
    <font>
      <b/>
      <sz val="10"/>
      <color rgb="FF0070C0"/>
      <name val="Arial"/>
      <family val="2"/>
    </font>
    <font>
      <b/>
      <sz val="10"/>
      <color indexed="10"/>
      <name val="Arial"/>
      <family val="2"/>
    </font>
    <font>
      <b/>
      <sz val="16"/>
      <name val="Arial"/>
      <family val="2"/>
    </font>
    <font>
      <i/>
      <sz val="10"/>
      <name val="Arial"/>
      <family val="2"/>
    </font>
    <font>
      <u/>
      <sz val="10"/>
      <color theme="10"/>
      <name val="Arial"/>
      <family val="2"/>
    </font>
    <font>
      <b/>
      <i/>
      <sz val="10"/>
      <name val="Arial"/>
      <family val="2"/>
    </font>
    <font>
      <sz val="10"/>
      <color rgb="FFFF0000"/>
      <name val="Arial"/>
      <family val="2"/>
    </font>
    <font>
      <b/>
      <sz val="10"/>
      <color rgb="FFFF0000"/>
      <name val="Arial"/>
      <family val="2"/>
    </font>
    <font>
      <b/>
      <sz val="9"/>
      <color theme="1"/>
      <name val="Century Gothic"/>
      <family val="2"/>
    </font>
    <font>
      <sz val="9"/>
      <color theme="1"/>
      <name val="Century Gothic"/>
      <family val="2"/>
    </font>
    <font>
      <sz val="10"/>
      <color indexed="8"/>
      <name val="Arial"/>
      <family val="2"/>
    </font>
    <font>
      <b/>
      <sz val="10"/>
      <color indexed="8"/>
      <name val="Arial"/>
      <family val="2"/>
    </font>
    <font>
      <sz val="10"/>
      <color indexed="10"/>
      <name val="Arial"/>
      <family val="2"/>
    </font>
    <font>
      <b/>
      <sz val="11"/>
      <color theme="1"/>
      <name val="Calibri"/>
      <family val="2"/>
      <scheme val="minor"/>
    </font>
    <font>
      <b/>
      <i/>
      <sz val="14"/>
      <color theme="1"/>
      <name val="Arial"/>
      <family val="2"/>
    </font>
    <font>
      <sz val="10"/>
      <color theme="1"/>
      <name val="Arial"/>
      <family val="2"/>
    </font>
    <font>
      <sz val="11"/>
      <color theme="1"/>
      <name val="Arial"/>
      <family val="2"/>
    </font>
    <font>
      <b/>
      <i/>
      <sz val="11"/>
      <color theme="1"/>
      <name val="Arial"/>
      <family val="2"/>
    </font>
    <font>
      <b/>
      <sz val="11"/>
      <color theme="1"/>
      <name val="Arial"/>
      <family val="2"/>
    </font>
    <font>
      <i/>
      <sz val="11"/>
      <color theme="1"/>
      <name val="Arial"/>
      <family val="2"/>
    </font>
    <font>
      <sz val="11"/>
      <name val="Arial"/>
      <family val="2"/>
    </font>
    <font>
      <b/>
      <sz val="10"/>
      <color theme="1"/>
      <name val="Arial"/>
      <family val="2"/>
    </font>
    <font>
      <i/>
      <sz val="10"/>
      <color theme="1"/>
      <name val="Arial"/>
      <family val="2"/>
    </font>
    <font>
      <sz val="8"/>
      <color theme="1"/>
      <name val="Arial"/>
      <family val="2"/>
    </font>
    <font>
      <sz val="9"/>
      <name val="Century Gothic"/>
      <family val="2"/>
    </font>
    <font>
      <b/>
      <i/>
      <sz val="10"/>
      <color theme="1"/>
      <name val="Arial"/>
      <family val="2"/>
    </font>
    <font>
      <sz val="11"/>
      <name val="Calibri"/>
      <family val="2"/>
      <scheme val="minor"/>
    </font>
    <font>
      <sz val="9"/>
      <color rgb="FFFF0000"/>
      <name val="Century Gothic"/>
      <family val="2"/>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sz val="10"/>
      <color rgb="FFFF0000"/>
      <name val="Calibri"/>
      <family val="2"/>
      <scheme val="minor"/>
    </font>
    <font>
      <b/>
      <sz val="9"/>
      <color rgb="FFFF0000"/>
      <name val="Century Gothic"/>
      <family val="2"/>
    </font>
    <font>
      <sz val="9"/>
      <color rgb="FF000000"/>
      <name val="Century Gothic"/>
      <family val="2"/>
    </font>
    <font>
      <b/>
      <i/>
      <sz val="10"/>
      <color theme="10"/>
      <name val="Arial"/>
      <family val="2"/>
    </font>
    <font>
      <i/>
      <u/>
      <sz val="11"/>
      <color theme="1"/>
      <name val="Arial"/>
      <family val="2"/>
    </font>
    <font>
      <b/>
      <sz val="10"/>
      <name val="Calibri"/>
      <family val="2"/>
      <scheme val="minor"/>
    </font>
    <font>
      <b/>
      <i/>
      <sz val="11"/>
      <color theme="10"/>
      <name val="Arial"/>
      <family val="2"/>
    </font>
    <font>
      <b/>
      <sz val="11"/>
      <name val="Calibri"/>
      <family val="2"/>
      <scheme val="minor"/>
    </font>
    <font>
      <b/>
      <sz val="16"/>
      <color rgb="FFFF0000"/>
      <name val="Calibri"/>
      <family val="2"/>
      <scheme val="minor"/>
    </font>
    <font>
      <b/>
      <sz val="14"/>
      <color rgb="FFFF0000"/>
      <name val="Calibri"/>
      <family val="2"/>
      <scheme val="minor"/>
    </font>
    <font>
      <i/>
      <sz val="10"/>
      <color theme="10"/>
      <name val="Arial"/>
      <family val="2"/>
    </font>
    <font>
      <b/>
      <u/>
      <sz val="11"/>
      <color theme="1"/>
      <name val="Arial"/>
      <family val="2"/>
    </font>
    <font>
      <b/>
      <sz val="10"/>
      <color indexed="10"/>
      <name val="Calibri"/>
      <family val="2"/>
      <scheme val="minor"/>
    </font>
    <font>
      <b/>
      <sz val="10"/>
      <color theme="0"/>
      <name val="Calibri"/>
      <family val="2"/>
      <scheme val="minor"/>
    </font>
    <font>
      <sz val="10"/>
      <color theme="10"/>
      <name val="Arial"/>
      <family val="2"/>
    </font>
    <font>
      <b/>
      <sz val="11"/>
      <color theme="0"/>
      <name val="Calibri"/>
      <family val="2"/>
      <scheme val="minor"/>
    </font>
    <font>
      <sz val="11"/>
      <color rgb="FFFF0000"/>
      <name val="Calibri"/>
      <family val="2"/>
      <scheme val="minor"/>
    </font>
    <font>
      <b/>
      <sz val="16"/>
      <color indexed="10"/>
      <name val="Calibri"/>
      <family val="2"/>
      <scheme val="minor"/>
    </font>
    <font>
      <b/>
      <sz val="11"/>
      <color theme="3" tint="0.39997558519241921"/>
      <name val="Calibri"/>
      <family val="2"/>
      <scheme val="minor"/>
    </font>
    <font>
      <b/>
      <sz val="11"/>
      <color theme="4" tint="-0.249977111117893"/>
      <name val="Calibri"/>
      <family val="2"/>
      <scheme val="minor"/>
    </font>
    <font>
      <b/>
      <sz val="11"/>
      <color rgb="FFFF0000"/>
      <name val="Calibri"/>
      <family val="2"/>
      <scheme val="minor"/>
    </font>
    <font>
      <b/>
      <sz val="9.9"/>
      <color theme="10"/>
      <name val="Calibri"/>
      <family val="2"/>
    </font>
    <font>
      <b/>
      <sz val="8"/>
      <color theme="1"/>
      <name val="Arial"/>
      <family val="2"/>
    </font>
    <font>
      <b/>
      <sz val="9"/>
      <color theme="1"/>
      <name val="Arial"/>
      <family val="2"/>
    </font>
    <font>
      <sz val="11"/>
      <color rgb="FF000000"/>
      <name val="Arial"/>
      <family val="2"/>
    </font>
    <font>
      <sz val="11"/>
      <color rgb="FF000000"/>
      <name val="Calibri"/>
      <family val="2"/>
      <scheme val="minor"/>
    </font>
  </fonts>
  <fills count="16">
    <fill>
      <patternFill patternType="none"/>
    </fill>
    <fill>
      <patternFill patternType="gray125"/>
    </fill>
    <fill>
      <patternFill patternType="solid">
        <fgColor rgb="FFCC66FF"/>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00B050"/>
        <bgColor indexed="64"/>
      </patternFill>
    </fill>
    <fill>
      <patternFill patternType="solid">
        <fgColor rgb="FF7030A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tint="-0.14999847407452621"/>
        <bgColor indexed="64"/>
      </patternFill>
    </fill>
  </fills>
  <borders count="69">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right/>
      <top/>
      <bottom style="double">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ck">
        <color auto="1"/>
      </left>
      <right/>
      <top/>
      <bottom/>
      <diagonal/>
    </border>
  </borders>
  <cellStyleXfs count="72">
    <xf numFmtId="0" fontId="0"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5" fontId="1" fillId="0" borderId="0" applyFont="0" applyFill="0" applyBorder="0" applyAlignment="0" applyProtection="0"/>
    <xf numFmtId="168" fontId="1" fillId="0" borderId="0"/>
    <xf numFmtId="168" fontId="1" fillId="0" borderId="0"/>
    <xf numFmtId="168" fontId="1" fillId="0" borderId="0"/>
    <xf numFmtId="168" fontId="1" fillId="0" borderId="0"/>
    <xf numFmtId="168" fontId="1" fillId="0" borderId="0"/>
    <xf numFmtId="167" fontId="1" fillId="0" borderId="0" applyFont="0" applyFill="0" applyBorder="0" applyAlignment="0" applyProtection="0"/>
    <xf numFmtId="0" fontId="10" fillId="0" borderId="0" applyNumberFormat="0" applyFill="0" applyBorder="0" applyAlignment="0" applyProtection="0">
      <alignment vertical="top"/>
      <protection locked="0"/>
    </xf>
    <xf numFmtId="165" fontId="1" fillId="0" borderId="0" applyFont="0" applyFill="0" applyBorder="0" applyAlignment="0" applyProtection="0"/>
  </cellStyleXfs>
  <cellXfs count="889">
    <xf numFmtId="0" fontId="0" fillId="0" borderId="0" xfId="0"/>
    <xf numFmtId="0" fontId="0" fillId="0" borderId="0" xfId="0"/>
    <xf numFmtId="0" fontId="0" fillId="0" borderId="0" xfId="0" applyAlignment="1"/>
    <xf numFmtId="49" fontId="3" fillId="0" borderId="0" xfId="0" applyNumberFormat="1" applyFont="1" applyAlignment="1"/>
    <xf numFmtId="49" fontId="2" fillId="0" borderId="0" xfId="0" applyNumberFormat="1" applyFont="1" applyAlignment="1"/>
    <xf numFmtId="0" fontId="4" fillId="0" borderId="0" xfId="0" applyFont="1" applyFill="1"/>
    <xf numFmtId="0" fontId="5" fillId="0" borderId="12" xfId="0" applyFont="1" applyFill="1" applyBorder="1"/>
    <xf numFmtId="0" fontId="5" fillId="0" borderId="14" xfId="0" applyFont="1" applyFill="1" applyBorder="1"/>
    <xf numFmtId="0" fontId="6" fillId="0" borderId="0" xfId="0" applyFont="1" applyFill="1" applyBorder="1" applyAlignment="1">
      <alignment vertical="center"/>
    </xf>
    <xf numFmtId="0" fontId="4" fillId="0" borderId="14" xfId="0" applyFont="1" applyFill="1" applyBorder="1" applyAlignment="1">
      <alignment horizontal="right"/>
    </xf>
    <xf numFmtId="0" fontId="5" fillId="0" borderId="15" xfId="0" applyFont="1" applyFill="1" applyBorder="1"/>
    <xf numFmtId="0" fontId="5" fillId="0" borderId="0" xfId="0" applyFont="1" applyFill="1" applyBorder="1"/>
    <xf numFmtId="0" fontId="4" fillId="0" borderId="0" xfId="0" applyFont="1" applyFill="1" applyBorder="1" applyAlignment="1">
      <alignment horizontal="right"/>
    </xf>
    <xf numFmtId="0" fontId="4" fillId="0" borderId="0" xfId="0" applyFont="1" applyFill="1" applyBorder="1"/>
    <xf numFmtId="0" fontId="4" fillId="0" borderId="0" xfId="0" applyFont="1"/>
    <xf numFmtId="0" fontId="7" fillId="0" borderId="0" xfId="0" applyFont="1" applyFill="1" applyBorder="1" applyAlignment="1">
      <alignment horizontal="center"/>
    </xf>
    <xf numFmtId="0" fontId="4" fillId="0" borderId="11" xfId="0" applyFont="1" applyBorder="1"/>
    <xf numFmtId="49" fontId="4" fillId="0" borderId="0" xfId="0" applyNumberFormat="1" applyFont="1" applyFill="1" applyBorder="1"/>
    <xf numFmtId="0" fontId="7" fillId="0" borderId="11" xfId="0" applyFont="1" applyFill="1" applyBorder="1" applyAlignment="1">
      <alignment horizontal="center"/>
    </xf>
    <xf numFmtId="0" fontId="4" fillId="0" borderId="11" xfId="0" applyFont="1" applyFill="1" applyBorder="1"/>
    <xf numFmtId="0" fontId="4" fillId="0" borderId="16" xfId="0" applyFont="1" applyFill="1" applyBorder="1"/>
    <xf numFmtId="0" fontId="4" fillId="0" borderId="17" xfId="0" applyFont="1" applyFill="1" applyBorder="1"/>
    <xf numFmtId="0" fontId="4" fillId="0" borderId="18" xfId="0" applyFont="1" applyFill="1" applyBorder="1"/>
    <xf numFmtId="0" fontId="4" fillId="0" borderId="0" xfId="0" applyNumberFormat="1" applyFont="1" applyFill="1" applyBorder="1"/>
    <xf numFmtId="0" fontId="8" fillId="0" borderId="12" xfId="0" applyFont="1" applyFill="1" applyBorder="1"/>
    <xf numFmtId="0" fontId="4" fillId="0" borderId="14" xfId="0" applyFont="1" applyFill="1" applyBorder="1"/>
    <xf numFmtId="0" fontId="4" fillId="0" borderId="10" xfId="0" applyFont="1" applyFill="1" applyBorder="1"/>
    <xf numFmtId="0" fontId="4" fillId="0" borderId="15" xfId="0" applyFont="1" applyFill="1" applyBorder="1" applyAlignment="1">
      <alignment vertical="top"/>
    </xf>
    <xf numFmtId="0" fontId="4" fillId="0" borderId="0" xfId="0" applyFont="1" applyFill="1" applyBorder="1" applyAlignment="1"/>
    <xf numFmtId="0" fontId="4" fillId="0" borderId="11" xfId="0" applyFont="1" applyFill="1" applyBorder="1" applyAlignment="1">
      <alignment vertical="top"/>
    </xf>
    <xf numFmtId="0" fontId="4" fillId="0" borderId="0" xfId="0" applyFont="1" applyFill="1" applyBorder="1" applyAlignment="1">
      <alignment vertical="top"/>
    </xf>
    <xf numFmtId="0" fontId="4" fillId="0" borderId="17" xfId="0" applyFont="1" applyFill="1" applyBorder="1" applyAlignment="1"/>
    <xf numFmtId="0" fontId="4" fillId="0" borderId="14" xfId="0" applyNumberFormat="1" applyFont="1" applyFill="1" applyBorder="1"/>
    <xf numFmtId="167" fontId="5" fillId="0" borderId="10" xfId="0" applyNumberFormat="1" applyFont="1" applyFill="1" applyBorder="1" applyAlignment="1">
      <alignment horizontal="right"/>
    </xf>
    <xf numFmtId="0" fontId="8" fillId="0" borderId="15" xfId="0" applyFont="1" applyFill="1" applyBorder="1"/>
    <xf numFmtId="0" fontId="5" fillId="0" borderId="0" xfId="0" applyFont="1" applyFill="1" applyBorder="1" applyAlignment="1">
      <alignment horizontal="center"/>
    </xf>
    <xf numFmtId="0" fontId="5" fillId="0" borderId="0" xfId="0" applyNumberFormat="1" applyFont="1" applyFill="1" applyBorder="1" applyAlignment="1">
      <alignment horizontal="center"/>
    </xf>
    <xf numFmtId="167" fontId="5" fillId="0" borderId="11" xfId="0" applyNumberFormat="1" applyFont="1" applyFill="1" applyBorder="1" applyAlignment="1">
      <alignment horizontal="right"/>
    </xf>
    <xf numFmtId="0" fontId="4" fillId="0" borderId="15" xfId="0" applyFont="1" applyFill="1" applyBorder="1"/>
    <xf numFmtId="0" fontId="4" fillId="0" borderId="0" xfId="0" applyFont="1" applyFill="1" applyBorder="1" applyAlignment="1">
      <alignment horizontal="left"/>
    </xf>
    <xf numFmtId="0" fontId="5" fillId="0" borderId="0" xfId="0" applyNumberFormat="1" applyFont="1" applyFill="1" applyBorder="1"/>
    <xf numFmtId="167" fontId="4" fillId="0" borderId="11" xfId="0" applyNumberFormat="1" applyFont="1" applyFill="1" applyBorder="1" applyAlignment="1">
      <alignment horizontal="right"/>
    </xf>
    <xf numFmtId="0" fontId="4" fillId="0" borderId="17" xfId="0" applyNumberFormat="1" applyFont="1" applyFill="1" applyBorder="1"/>
    <xf numFmtId="0" fontId="5" fillId="0" borderId="18" xfId="0" applyFont="1" applyFill="1" applyBorder="1"/>
    <xf numFmtId="0" fontId="4" fillId="0" borderId="14" xfId="0" quotePrefix="1" applyFont="1" applyFill="1" applyBorder="1"/>
    <xf numFmtId="0" fontId="9" fillId="0" borderId="14" xfId="0" applyFont="1" applyFill="1" applyBorder="1"/>
    <xf numFmtId="0" fontId="9" fillId="0" borderId="0" xfId="0" applyFont="1" applyFill="1" applyBorder="1"/>
    <xf numFmtId="0" fontId="10" fillId="0" borderId="11" xfId="70" quotePrefix="1" applyFill="1" applyBorder="1" applyAlignment="1" applyProtection="1"/>
    <xf numFmtId="0" fontId="4" fillId="0" borderId="17" xfId="0" quotePrefix="1" applyFont="1" applyFill="1" applyBorder="1"/>
    <xf numFmtId="0" fontId="4" fillId="0" borderId="17" xfId="0" applyFont="1" applyFill="1" applyBorder="1" applyAlignment="1">
      <alignment horizontal="left"/>
    </xf>
    <xf numFmtId="0" fontId="4" fillId="0" borderId="17" xfId="0" applyFont="1" applyFill="1" applyBorder="1" applyAlignment="1">
      <alignment horizontal="justify"/>
    </xf>
    <xf numFmtId="167" fontId="4" fillId="0" borderId="17" xfId="63" applyNumberFormat="1" applyFont="1" applyFill="1" applyBorder="1" applyAlignment="1">
      <alignment horizontal="justify"/>
    </xf>
    <xf numFmtId="167" fontId="4" fillId="0" borderId="18" xfId="63" applyNumberFormat="1" applyFont="1" applyFill="1" applyBorder="1" applyAlignment="1">
      <alignment horizontal="justify"/>
    </xf>
    <xf numFmtId="0" fontId="5" fillId="0" borderId="0" xfId="0" applyFont="1" applyFill="1" applyBorder="1" applyAlignment="1">
      <alignment horizontal="left"/>
    </xf>
    <xf numFmtId="0" fontId="5" fillId="0" borderId="0" xfId="0" applyFont="1" applyFill="1" applyBorder="1" applyAlignment="1">
      <alignment wrapText="1"/>
    </xf>
    <xf numFmtId="0" fontId="8" fillId="0" borderId="12" xfId="10" applyNumberFormat="1" applyFont="1" applyFill="1" applyBorder="1"/>
    <xf numFmtId="0" fontId="5" fillId="0" borderId="14" xfId="10" applyNumberFormat="1" applyFont="1" applyFill="1" applyBorder="1"/>
    <xf numFmtId="0" fontId="4" fillId="0" borderId="14" xfId="10" applyNumberFormat="1" applyFont="1" applyFill="1" applyBorder="1"/>
    <xf numFmtId="0" fontId="4" fillId="0" borderId="10" xfId="10" applyNumberFormat="1" applyFont="1" applyFill="1" applyBorder="1"/>
    <xf numFmtId="0" fontId="5" fillId="0" borderId="15" xfId="10" applyNumberFormat="1" applyFont="1" applyFill="1" applyBorder="1"/>
    <xf numFmtId="0" fontId="4" fillId="0" borderId="0" xfId="10" applyNumberFormat="1" applyFont="1" applyFill="1" applyBorder="1"/>
    <xf numFmtId="0" fontId="4" fillId="0" borderId="11" xfId="10" applyNumberFormat="1" applyFont="1" applyFill="1" applyBorder="1"/>
    <xf numFmtId="0" fontId="11" fillId="0" borderId="0" xfId="10" applyNumberFormat="1" applyFont="1" applyFill="1" applyBorder="1" applyAlignment="1">
      <alignment horizontal="center"/>
    </xf>
    <xf numFmtId="0" fontId="5" fillId="0" borderId="15" xfId="10" quotePrefix="1" applyNumberFormat="1" applyFont="1" applyFill="1" applyBorder="1"/>
    <xf numFmtId="0" fontId="4" fillId="0" borderId="0" xfId="10" applyNumberFormat="1" applyFont="1" applyFill="1" applyBorder="1" applyAlignment="1">
      <alignment horizontal="center"/>
    </xf>
    <xf numFmtId="1" fontId="4" fillId="0" borderId="0" xfId="10" applyNumberFormat="1" applyFont="1" applyFill="1" applyBorder="1"/>
    <xf numFmtId="167" fontId="4" fillId="0" borderId="0" xfId="63" applyNumberFormat="1" applyFont="1" applyFill="1" applyBorder="1"/>
    <xf numFmtId="0" fontId="7" fillId="0" borderId="0" xfId="10" applyNumberFormat="1" applyFont="1" applyFill="1" applyBorder="1" applyAlignment="1">
      <alignment horizontal="left"/>
    </xf>
    <xf numFmtId="0" fontId="12" fillId="0" borderId="11" xfId="0" applyFont="1" applyFill="1" applyBorder="1"/>
    <xf numFmtId="0" fontId="4" fillId="0" borderId="15" xfId="10" applyNumberFormat="1" applyFont="1" applyFill="1" applyBorder="1"/>
    <xf numFmtId="0" fontId="13" fillId="0" borderId="11" xfId="0" applyFont="1" applyFill="1" applyBorder="1"/>
    <xf numFmtId="0" fontId="4" fillId="0" borderId="15" xfId="10" quotePrefix="1" applyNumberFormat="1" applyFont="1" applyFill="1" applyBorder="1"/>
    <xf numFmtId="167" fontId="5" fillId="0" borderId="0" xfId="63" applyNumberFormat="1" applyFont="1" applyFill="1" applyBorder="1"/>
    <xf numFmtId="167" fontId="4" fillId="0" borderId="0" xfId="10" applyNumberFormat="1" applyFont="1" applyFill="1" applyBorder="1" applyAlignment="1">
      <alignment horizontal="left"/>
    </xf>
    <xf numFmtId="0" fontId="9" fillId="0" borderId="15" xfId="10" applyNumberFormat="1" applyFont="1" applyFill="1" applyBorder="1"/>
    <xf numFmtId="0" fontId="4" fillId="0" borderId="16" xfId="10" applyNumberFormat="1" applyFont="1" applyFill="1" applyBorder="1"/>
    <xf numFmtId="0" fontId="4" fillId="0" borderId="17" xfId="10" applyNumberFormat="1" applyFont="1" applyFill="1" applyBorder="1"/>
    <xf numFmtId="0" fontId="9" fillId="0" borderId="17" xfId="10" applyNumberFormat="1" applyFont="1" applyFill="1" applyBorder="1" applyAlignment="1">
      <alignment wrapText="1"/>
    </xf>
    <xf numFmtId="167" fontId="5" fillId="0" borderId="17" xfId="63" applyNumberFormat="1" applyFont="1" applyFill="1" applyBorder="1"/>
    <xf numFmtId="0" fontId="4" fillId="0" borderId="18" xfId="0" applyFont="1" applyBorder="1"/>
    <xf numFmtId="0" fontId="0" fillId="0" borderId="0" xfId="0" applyFill="1"/>
    <xf numFmtId="0" fontId="0" fillId="0" borderId="0" xfId="0" applyFill="1" applyBorder="1"/>
    <xf numFmtId="166" fontId="0" fillId="0" borderId="0" xfId="63" applyNumberFormat="1" applyFont="1" applyFill="1" applyBorder="1"/>
    <xf numFmtId="0" fontId="15" fillId="0" borderId="0" xfId="0" applyFont="1"/>
    <xf numFmtId="0" fontId="10" fillId="0" borderId="0" xfId="70" quotePrefix="1" applyFill="1" applyBorder="1" applyAlignment="1" applyProtection="1"/>
    <xf numFmtId="0" fontId="16" fillId="0" borderId="0" xfId="0" applyFont="1" applyFill="1" applyBorder="1"/>
    <xf numFmtId="1" fontId="17" fillId="0" borderId="0" xfId="0" applyNumberFormat="1" applyFont="1" applyFill="1" applyBorder="1" applyAlignment="1">
      <alignment horizontal="left"/>
    </xf>
    <xf numFmtId="0" fontId="17" fillId="0" borderId="0" xfId="0" applyFont="1" applyFill="1" applyBorder="1"/>
    <xf numFmtId="167" fontId="17" fillId="0" borderId="0" xfId="0" applyNumberFormat="1" applyFont="1" applyFill="1" applyBorder="1"/>
    <xf numFmtId="0" fontId="4" fillId="0" borderId="15" xfId="0" applyFont="1" applyBorder="1"/>
    <xf numFmtId="0" fontId="5" fillId="0" borderId="0" xfId="0" applyFont="1" applyFill="1" applyBorder="1" applyAlignment="1"/>
    <xf numFmtId="15" fontId="5" fillId="0" borderId="0" xfId="0" applyNumberFormat="1" applyFont="1" applyFill="1" applyBorder="1" applyAlignment="1"/>
    <xf numFmtId="1" fontId="16" fillId="0" borderId="0" xfId="0" applyNumberFormat="1" applyFont="1" applyFill="1" applyBorder="1" applyAlignment="1">
      <alignment horizontal="left"/>
    </xf>
    <xf numFmtId="0" fontId="18" fillId="0" borderId="0" xfId="0" applyFont="1" applyFill="1" applyBorder="1" applyAlignment="1">
      <alignment horizontal="center"/>
    </xf>
    <xf numFmtId="167" fontId="16" fillId="0" borderId="0" xfId="0" applyNumberFormat="1" applyFont="1" applyFill="1" applyBorder="1"/>
    <xf numFmtId="167" fontId="16" fillId="0" borderId="0" xfId="69" applyNumberFormat="1" applyFont="1" applyFill="1" applyBorder="1"/>
    <xf numFmtId="165" fontId="3" fillId="0" borderId="0" xfId="63" applyFont="1" applyAlignment="1"/>
    <xf numFmtId="0" fontId="4" fillId="0" borderId="0" xfId="10" applyNumberFormat="1" applyFont="1" applyFill="1" applyBorder="1" applyAlignment="1">
      <alignment horizontal="left"/>
    </xf>
    <xf numFmtId="0" fontId="20" fillId="0" borderId="0" xfId="0" applyFont="1" applyAlignment="1"/>
    <xf numFmtId="0" fontId="21" fillId="0" borderId="0" xfId="0" applyFont="1" applyAlignment="1">
      <alignment horizontal="left"/>
    </xf>
    <xf numFmtId="0" fontId="21" fillId="0" borderId="0" xfId="0" applyFont="1" applyAlignment="1"/>
    <xf numFmtId="0" fontId="22" fillId="0" borderId="0" xfId="0" applyFont="1" applyAlignment="1">
      <alignment horizontal="left"/>
    </xf>
    <xf numFmtId="0" fontId="22" fillId="0" borderId="0" xfId="0" applyFont="1" applyAlignment="1"/>
    <xf numFmtId="0" fontId="23" fillId="0" borderId="0" xfId="0" applyFont="1" applyAlignment="1">
      <alignment horizontal="center"/>
    </xf>
    <xf numFmtId="0" fontId="23" fillId="0" borderId="0" xfId="0" applyFont="1" applyAlignment="1"/>
    <xf numFmtId="0" fontId="23" fillId="0" borderId="23" xfId="0" applyFont="1" applyBorder="1" applyAlignment="1">
      <alignment horizontal="center" wrapText="1"/>
    </xf>
    <xf numFmtId="0" fontId="23" fillId="0" borderId="24" xfId="0" applyFont="1" applyBorder="1" applyAlignment="1">
      <alignment horizontal="center" wrapText="1"/>
    </xf>
    <xf numFmtId="0" fontId="23" fillId="0" borderId="25" xfId="0" applyFont="1" applyBorder="1" applyAlignment="1">
      <alignment horizontal="center" wrapText="1"/>
    </xf>
    <xf numFmtId="0" fontId="23" fillId="0" borderId="3" xfId="0" applyFont="1" applyBorder="1" applyAlignment="1">
      <alignment horizontal="center" wrapText="1"/>
    </xf>
    <xf numFmtId="0" fontId="22" fillId="0" borderId="27" xfId="0" applyFont="1" applyFill="1" applyBorder="1" applyAlignment="1"/>
    <xf numFmtId="0" fontId="22" fillId="0" borderId="28" xfId="0" quotePrefix="1" applyFont="1" applyFill="1" applyBorder="1" applyAlignment="1">
      <alignment horizontal="left"/>
    </xf>
    <xf numFmtId="165" fontId="25" fillId="0" borderId="29" xfId="63" applyFont="1" applyFill="1" applyBorder="1" applyAlignment="1"/>
    <xf numFmtId="0" fontId="22" fillId="0" borderId="30" xfId="0" applyFont="1" applyFill="1" applyBorder="1" applyAlignment="1">
      <alignment wrapText="1"/>
    </xf>
    <xf numFmtId="0" fontId="25" fillId="0" borderId="28" xfId="0" applyFont="1" applyFill="1" applyBorder="1" applyAlignment="1">
      <alignment horizontal="center"/>
    </xf>
    <xf numFmtId="165" fontId="25" fillId="0" borderId="0" xfId="63" applyFont="1" applyFill="1" applyBorder="1" applyAlignment="1"/>
    <xf numFmtId="0" fontId="22" fillId="0" borderId="27" xfId="0" applyFont="1" applyBorder="1" applyAlignment="1"/>
    <xf numFmtId="17" fontId="22" fillId="0" borderId="28" xfId="0" quotePrefix="1" applyNumberFormat="1" applyFont="1" applyBorder="1" applyAlignment="1">
      <alignment horizontal="left"/>
    </xf>
    <xf numFmtId="165" fontId="25" fillId="0" borderId="29" xfId="63" applyFont="1" applyBorder="1" applyAlignment="1"/>
    <xf numFmtId="165" fontId="25" fillId="0" borderId="0" xfId="63" applyFont="1" applyBorder="1" applyAlignment="1"/>
    <xf numFmtId="0" fontId="25" fillId="0" borderId="28" xfId="0" applyFont="1" applyBorder="1" applyAlignment="1">
      <alignment horizontal="center"/>
    </xf>
    <xf numFmtId="0" fontId="22" fillId="0" borderId="28" xfId="0" quotePrefix="1" applyFont="1" applyBorder="1" applyAlignment="1">
      <alignment horizontal="left"/>
    </xf>
    <xf numFmtId="0" fontId="22" fillId="0" borderId="27" xfId="0" applyFont="1" applyFill="1" applyBorder="1" applyAlignment="1">
      <alignment vertical="top"/>
    </xf>
    <xf numFmtId="17" fontId="25" fillId="0" borderId="28" xfId="0" quotePrefix="1" applyNumberFormat="1" applyFont="1" applyFill="1" applyBorder="1" applyAlignment="1">
      <alignment horizontal="left" vertical="top"/>
    </xf>
    <xf numFmtId="165" fontId="25" fillId="0" borderId="28" xfId="63" applyFont="1" applyFill="1" applyBorder="1" applyAlignment="1">
      <alignment vertical="top"/>
    </xf>
    <xf numFmtId="0" fontId="25" fillId="0" borderId="28" xfId="0" applyFont="1" applyFill="1" applyBorder="1" applyAlignment="1">
      <alignment vertical="top" wrapText="1"/>
    </xf>
    <xf numFmtId="0" fontId="25" fillId="0" borderId="28" xfId="0" applyFont="1" applyFill="1" applyBorder="1" applyAlignment="1">
      <alignment horizontal="center" vertical="top"/>
    </xf>
    <xf numFmtId="0" fontId="25" fillId="0" borderId="27" xfId="0" applyFont="1" applyFill="1" applyBorder="1" applyAlignment="1">
      <alignment vertical="top" wrapText="1"/>
    </xf>
    <xf numFmtId="0" fontId="25" fillId="0" borderId="28" xfId="0" quotePrefix="1" applyFont="1" applyFill="1" applyBorder="1" applyAlignment="1">
      <alignment horizontal="left" vertical="top"/>
    </xf>
    <xf numFmtId="0" fontId="25" fillId="0" borderId="27" xfId="0" applyFont="1" applyBorder="1" applyAlignment="1">
      <alignment vertical="top"/>
    </xf>
    <xf numFmtId="0" fontId="25" fillId="0" borderId="28" xfId="0" quotePrefix="1" applyFont="1" applyBorder="1" applyAlignment="1">
      <alignment horizontal="left" vertical="top"/>
    </xf>
    <xf numFmtId="165" fontId="25" fillId="0" borderId="28" xfId="63" applyFont="1" applyBorder="1" applyAlignment="1">
      <alignment horizontal="left" vertical="top"/>
    </xf>
    <xf numFmtId="165" fontId="25" fillId="0" borderId="34" xfId="63" applyFont="1" applyBorder="1" applyAlignment="1">
      <alignment horizontal="left" vertical="top"/>
    </xf>
    <xf numFmtId="0" fontId="25" fillId="0" borderId="28" xfId="0" applyFont="1" applyBorder="1" applyAlignment="1">
      <alignment horizontal="center" vertical="top"/>
    </xf>
    <xf numFmtId="165" fontId="25" fillId="0" borderId="28" xfId="63" applyFont="1" applyBorder="1" applyAlignment="1">
      <alignment vertical="top"/>
    </xf>
    <xf numFmtId="165" fontId="25" fillId="0" borderId="34" xfId="63" applyFont="1" applyBorder="1" applyAlignment="1">
      <alignment vertical="top"/>
    </xf>
    <xf numFmtId="0" fontId="25" fillId="0" borderId="36" xfId="0" applyFont="1" applyBorder="1" applyAlignment="1">
      <alignment vertical="top"/>
    </xf>
    <xf numFmtId="0" fontId="25" fillId="0" borderId="34" xfId="0" quotePrefix="1" applyFont="1" applyBorder="1" applyAlignment="1">
      <alignment horizontal="left" vertical="top"/>
    </xf>
    <xf numFmtId="0" fontId="25" fillId="0" borderId="34" xfId="0" applyFont="1" applyBorder="1" applyAlignment="1">
      <alignment horizontal="center" vertical="top"/>
    </xf>
    <xf numFmtId="0" fontId="25" fillId="0" borderId="3" xfId="0" quotePrefix="1" applyFont="1" applyBorder="1" applyAlignment="1">
      <alignment horizontal="left" vertical="top"/>
    </xf>
    <xf numFmtId="165" fontId="24" fillId="0" borderId="0" xfId="63" applyFont="1" applyBorder="1" applyAlignment="1">
      <alignment vertical="top"/>
    </xf>
    <xf numFmtId="0" fontId="25" fillId="0" borderId="0" xfId="0" applyFont="1" applyBorder="1" applyAlignment="1">
      <alignment horizontal="left" vertical="top" wrapText="1"/>
    </xf>
    <xf numFmtId="0" fontId="25" fillId="0" borderId="0" xfId="0" applyFont="1" applyBorder="1" applyAlignment="1">
      <alignment horizontal="center" vertical="top"/>
    </xf>
    <xf numFmtId="165" fontId="25" fillId="0" borderId="0" xfId="63" applyFont="1" applyBorder="1" applyAlignment="1">
      <alignment vertical="top"/>
    </xf>
    <xf numFmtId="0" fontId="25" fillId="0" borderId="28" xfId="0" applyFont="1" applyBorder="1" applyAlignment="1">
      <alignment vertical="top" wrapText="1"/>
    </xf>
    <xf numFmtId="0" fontId="25" fillId="0" borderId="34" xfId="0" applyFont="1" applyBorder="1" applyAlignment="1">
      <alignment vertical="top" wrapText="1"/>
    </xf>
    <xf numFmtId="165" fontId="25" fillId="0" borderId="29" xfId="63" applyFont="1" applyBorder="1" applyAlignment="1">
      <alignment vertical="top"/>
    </xf>
    <xf numFmtId="0" fontId="26" fillId="0" borderId="25" xfId="0" applyFont="1" applyBorder="1"/>
    <xf numFmtId="0" fontId="25" fillId="0" borderId="23" xfId="0" applyFont="1" applyBorder="1" applyAlignment="1">
      <alignment vertical="top"/>
    </xf>
    <xf numFmtId="0" fontId="25" fillId="0" borderId="24" xfId="0" quotePrefix="1" applyFont="1" applyBorder="1" applyAlignment="1">
      <alignment horizontal="left" vertical="top"/>
    </xf>
    <xf numFmtId="165" fontId="25" fillId="0" borderId="26" xfId="63" applyFont="1" applyBorder="1" applyAlignment="1">
      <alignment vertical="top"/>
    </xf>
    <xf numFmtId="165" fontId="25" fillId="0" borderId="24" xfId="63" applyFont="1" applyBorder="1" applyAlignment="1">
      <alignment vertical="top"/>
    </xf>
    <xf numFmtId="0" fontId="25" fillId="0" borderId="24" xfId="0" applyFont="1" applyBorder="1" applyAlignment="1">
      <alignment vertical="top" wrapText="1"/>
    </xf>
    <xf numFmtId="0" fontId="25" fillId="0" borderId="14" xfId="0" quotePrefix="1" applyFont="1" applyBorder="1" applyAlignment="1">
      <alignment horizontal="left" vertical="top"/>
    </xf>
    <xf numFmtId="165" fontId="24" fillId="0" borderId="14" xfId="63" applyFont="1" applyBorder="1" applyAlignment="1">
      <alignment vertical="top"/>
    </xf>
    <xf numFmtId="0" fontId="25" fillId="0" borderId="14" xfId="0" applyFont="1" applyBorder="1" applyAlignment="1">
      <alignment vertical="top" wrapText="1"/>
    </xf>
    <xf numFmtId="0" fontId="25" fillId="0" borderId="14" xfId="0" applyFont="1" applyBorder="1" applyAlignment="1">
      <alignment horizontal="center" vertical="top"/>
    </xf>
    <xf numFmtId="0" fontId="25" fillId="0" borderId="5" xfId="0" applyFont="1" applyBorder="1" applyAlignment="1">
      <alignment vertical="top"/>
    </xf>
    <xf numFmtId="17" fontId="25" fillId="0" borderId="5" xfId="0" quotePrefix="1" applyNumberFormat="1" applyFont="1" applyBorder="1" applyAlignment="1">
      <alignment horizontal="left" vertical="top"/>
    </xf>
    <xf numFmtId="165" fontId="22" fillId="0" borderId="5" xfId="63" applyFont="1" applyBorder="1" applyAlignment="1">
      <alignment vertical="top"/>
    </xf>
    <xf numFmtId="0" fontId="25" fillId="0" borderId="5" xfId="0" applyFont="1" applyBorder="1" applyAlignment="1">
      <alignment vertical="top" wrapText="1"/>
    </xf>
    <xf numFmtId="0" fontId="25" fillId="0" borderId="2" xfId="0" applyFont="1" applyBorder="1" applyAlignment="1">
      <alignment vertical="top"/>
    </xf>
    <xf numFmtId="165" fontId="22" fillId="0" borderId="2" xfId="63" applyFont="1" applyBorder="1" applyAlignment="1">
      <alignment vertical="top"/>
    </xf>
    <xf numFmtId="0" fontId="25" fillId="0" borderId="2" xfId="0" applyFont="1" applyFill="1" applyBorder="1" applyAlignment="1">
      <alignment vertical="top" wrapText="1"/>
    </xf>
    <xf numFmtId="0" fontId="25" fillId="0" borderId="2" xfId="0" applyFont="1" applyFill="1" applyBorder="1" applyAlignment="1">
      <alignment vertical="top"/>
    </xf>
    <xf numFmtId="165" fontId="22" fillId="0" borderId="2" xfId="63" applyFont="1" applyFill="1" applyBorder="1" applyAlignment="1">
      <alignment vertical="top"/>
    </xf>
    <xf numFmtId="165" fontId="25" fillId="0" borderId="2" xfId="63" applyFont="1" applyFill="1" applyBorder="1" applyAlignment="1">
      <alignment vertical="top"/>
    </xf>
    <xf numFmtId="0" fontId="23" fillId="0" borderId="0" xfId="0" applyFont="1" applyBorder="1" applyAlignment="1">
      <alignment vertical="top"/>
    </xf>
    <xf numFmtId="0" fontId="23" fillId="0" borderId="0" xfId="0" quotePrefix="1" applyFont="1" applyBorder="1" applyAlignment="1">
      <alignment horizontal="left" vertical="top"/>
    </xf>
    <xf numFmtId="0" fontId="23" fillId="0" borderId="0" xfId="0" applyFont="1" applyBorder="1" applyAlignment="1">
      <alignment vertical="top" wrapText="1"/>
    </xf>
    <xf numFmtId="0" fontId="23" fillId="0" borderId="0" xfId="0" applyFont="1" applyBorder="1" applyAlignment="1">
      <alignment horizontal="center" vertical="top"/>
    </xf>
    <xf numFmtId="0" fontId="24" fillId="0" borderId="0" xfId="0" applyFont="1" applyBorder="1" applyAlignment="1"/>
    <xf numFmtId="0" fontId="27" fillId="0" borderId="0" xfId="0" applyFont="1" applyBorder="1" applyAlignment="1"/>
    <xf numFmtId="17" fontId="25" fillId="0" borderId="38" xfId="0" quotePrefix="1" applyNumberFormat="1" applyFont="1" applyBorder="1" applyAlignment="1">
      <alignment horizontal="center" vertical="top"/>
    </xf>
    <xf numFmtId="165" fontId="25" fillId="0" borderId="39" xfId="63" applyFont="1" applyBorder="1" applyAlignment="1">
      <alignment vertical="top"/>
    </xf>
    <xf numFmtId="165" fontId="25" fillId="0" borderId="6" xfId="63" applyFont="1" applyBorder="1" applyAlignment="1">
      <alignment vertical="top"/>
    </xf>
    <xf numFmtId="0" fontId="23" fillId="0" borderId="9" xfId="0" applyFont="1" applyBorder="1" applyAlignment="1">
      <alignment vertical="top"/>
    </xf>
    <xf numFmtId="0" fontId="23" fillId="0" borderId="6" xfId="0" quotePrefix="1" applyNumberFormat="1" applyFont="1" applyBorder="1" applyAlignment="1">
      <alignment horizontal="center" vertical="top"/>
    </xf>
    <xf numFmtId="0" fontId="25" fillId="0" borderId="0" xfId="0" applyFont="1" applyBorder="1" applyAlignment="1">
      <alignment vertical="top" wrapText="1"/>
    </xf>
    <xf numFmtId="0" fontId="25" fillId="0" borderId="0" xfId="0" applyFont="1" applyBorder="1" applyAlignment="1">
      <alignment vertical="top"/>
    </xf>
    <xf numFmtId="0" fontId="25" fillId="0" borderId="0" xfId="0" quotePrefix="1" applyFont="1" applyBorder="1" applyAlignment="1">
      <alignment horizontal="left" vertical="top"/>
    </xf>
    <xf numFmtId="0" fontId="0" fillId="0" borderId="0" xfId="0" applyAlignment="1">
      <alignment wrapText="1"/>
    </xf>
    <xf numFmtId="0" fontId="23" fillId="0" borderId="21" xfId="0" applyFont="1" applyBorder="1" applyAlignment="1"/>
    <xf numFmtId="0" fontId="22" fillId="0" borderId="21" xfId="0" applyFont="1" applyBorder="1" applyAlignment="1">
      <alignment horizontal="left"/>
    </xf>
    <xf numFmtId="0" fontId="27" fillId="0" borderId="12" xfId="0" applyFont="1" applyBorder="1" applyAlignment="1"/>
    <xf numFmtId="0" fontId="27" fillId="0" borderId="14" xfId="0" applyFont="1" applyBorder="1" applyAlignment="1"/>
    <xf numFmtId="0" fontId="21" fillId="0" borderId="40" xfId="0" applyFont="1" applyBorder="1" applyAlignment="1">
      <alignment wrapText="1"/>
    </xf>
    <xf numFmtId="0" fontId="27" fillId="0" borderId="7" xfId="0" applyFont="1" applyBorder="1" applyAlignment="1">
      <alignment horizontal="center"/>
    </xf>
    <xf numFmtId="0" fontId="21" fillId="0" borderId="0" xfId="0" applyFont="1" applyBorder="1" applyAlignment="1">
      <alignment wrapText="1"/>
    </xf>
    <xf numFmtId="0" fontId="27" fillId="0" borderId="5" xfId="0" applyFont="1" applyBorder="1" applyAlignment="1">
      <alignment horizontal="center"/>
    </xf>
    <xf numFmtId="169" fontId="21" fillId="0" borderId="8" xfId="63" applyNumberFormat="1" applyFont="1" applyBorder="1" applyAlignment="1">
      <alignment wrapText="1"/>
    </xf>
    <xf numFmtId="0" fontId="21" fillId="0" borderId="38" xfId="0" applyFont="1" applyBorder="1" applyAlignment="1"/>
    <xf numFmtId="0" fontId="21" fillId="0" borderId="21" xfId="0" applyFont="1" applyBorder="1" applyAlignment="1">
      <alignment wrapText="1"/>
    </xf>
    <xf numFmtId="169" fontId="27" fillId="0" borderId="20" xfId="63" applyNumberFormat="1" applyFont="1" applyBorder="1" applyAlignment="1">
      <alignment wrapText="1"/>
    </xf>
    <xf numFmtId="169" fontId="27" fillId="0" borderId="0" xfId="63" applyNumberFormat="1" applyFont="1" applyBorder="1" applyAlignment="1">
      <alignment horizontal="center"/>
    </xf>
    <xf numFmtId="0" fontId="21" fillId="0" borderId="0" xfId="0" applyFont="1" applyBorder="1" applyAlignment="1">
      <alignment horizontal="left"/>
    </xf>
    <xf numFmtId="0" fontId="27" fillId="0" borderId="0" xfId="63" applyNumberFormat="1" applyFont="1" applyBorder="1" applyAlignment="1"/>
    <xf numFmtId="0" fontId="21" fillId="0" borderId="0" xfId="0" applyFont="1" applyBorder="1" applyAlignment="1">
      <alignment vertical="top"/>
    </xf>
    <xf numFmtId="165" fontId="29" fillId="0" borderId="0" xfId="63" applyFont="1" applyAlignment="1"/>
    <xf numFmtId="0" fontId="29" fillId="0" borderId="0" xfId="0" applyFont="1"/>
    <xf numFmtId="49" fontId="3" fillId="0" borderId="0" xfId="0" applyNumberFormat="1" applyFont="1" applyAlignment="1">
      <alignment wrapText="1"/>
    </xf>
    <xf numFmtId="0" fontId="29" fillId="0" borderId="0" xfId="0" applyFont="1" applyAlignment="1"/>
    <xf numFmtId="0" fontId="28" fillId="0" borderId="0" xfId="0" applyFont="1" applyBorder="1" applyAlignment="1">
      <alignment vertical="top" wrapText="1"/>
    </xf>
    <xf numFmtId="0" fontId="25" fillId="0" borderId="5" xfId="0" applyFont="1" applyBorder="1" applyAlignment="1">
      <alignment horizontal="center" vertical="top" wrapText="1"/>
    </xf>
    <xf numFmtId="0" fontId="28" fillId="0" borderId="0" xfId="0" applyFont="1" applyBorder="1" applyAlignment="1">
      <alignment vertical="center"/>
    </xf>
    <xf numFmtId="0" fontId="9" fillId="0" borderId="0" xfId="0" applyFont="1" applyBorder="1" applyAlignment="1">
      <alignment vertical="center"/>
    </xf>
    <xf numFmtId="17" fontId="25" fillId="0" borderId="5" xfId="0" applyNumberFormat="1" applyFont="1" applyBorder="1" applyAlignment="1">
      <alignment horizontal="left" vertical="top"/>
    </xf>
    <xf numFmtId="0" fontId="28" fillId="0" borderId="0" xfId="0" applyFont="1" applyBorder="1" applyAlignment="1">
      <alignment horizontal="left" wrapText="1"/>
    </xf>
    <xf numFmtId="0" fontId="19" fillId="0" borderId="0" xfId="0" applyFont="1"/>
    <xf numFmtId="3" fontId="29" fillId="0" borderId="0" xfId="0" applyNumberFormat="1" applyFont="1"/>
    <xf numFmtId="17" fontId="25" fillId="0" borderId="38" xfId="0" quotePrefix="1" applyNumberFormat="1" applyFont="1" applyBorder="1" applyAlignment="1">
      <alignment horizontal="center"/>
    </xf>
    <xf numFmtId="0" fontId="25" fillId="0" borderId="2" xfId="0" applyFont="1" applyBorder="1" applyAlignment="1">
      <alignment wrapText="1"/>
    </xf>
    <xf numFmtId="0" fontId="25" fillId="0" borderId="5" xfId="0" applyFont="1" applyBorder="1" applyAlignment="1">
      <alignment wrapText="1"/>
    </xf>
    <xf numFmtId="0" fontId="25" fillId="0" borderId="5" xfId="0" applyFont="1" applyBorder="1" applyAlignment="1">
      <alignment horizontal="center" wrapText="1"/>
    </xf>
    <xf numFmtId="0" fontId="9" fillId="0" borderId="0" xfId="0" applyFont="1" applyBorder="1" applyAlignment="1"/>
    <xf numFmtId="0" fontId="25" fillId="0" borderId="2" xfId="0" applyFont="1" applyFill="1" applyBorder="1" applyAlignment="1">
      <alignment wrapText="1"/>
    </xf>
    <xf numFmtId="4" fontId="22" fillId="0" borderId="2" xfId="63" applyNumberFormat="1" applyFont="1" applyFill="1" applyBorder="1" applyAlignment="1"/>
    <xf numFmtId="0" fontId="25" fillId="0" borderId="5" xfId="0" applyFont="1" applyBorder="1" applyAlignment="1"/>
    <xf numFmtId="0" fontId="25" fillId="0" borderId="2" xfId="0" applyFont="1" applyBorder="1" applyAlignment="1"/>
    <xf numFmtId="0" fontId="25" fillId="0" borderId="2" xfId="0" applyFont="1" applyFill="1" applyBorder="1" applyAlignment="1"/>
    <xf numFmtId="165" fontId="25" fillId="0" borderId="39" xfId="63" applyFont="1" applyBorder="1" applyAlignment="1"/>
    <xf numFmtId="165" fontId="25" fillId="0" borderId="6" xfId="63" applyFont="1" applyBorder="1" applyAlignment="1"/>
    <xf numFmtId="4" fontId="0" fillId="0" borderId="0" xfId="0" applyNumberFormat="1"/>
    <xf numFmtId="167" fontId="21" fillId="0" borderId="0" xfId="63" applyNumberFormat="1" applyFont="1" applyBorder="1" applyAlignment="1"/>
    <xf numFmtId="3" fontId="4" fillId="0" borderId="0" xfId="0" applyNumberFormat="1" applyFont="1" applyBorder="1" applyAlignment="1"/>
    <xf numFmtId="0" fontId="6" fillId="0" borderId="14" xfId="0" applyFont="1" applyFill="1" applyBorder="1" applyAlignment="1">
      <alignment vertical="center"/>
    </xf>
    <xf numFmtId="0" fontId="5" fillId="0" borderId="11" xfId="0" applyFont="1" applyFill="1" applyBorder="1" applyAlignment="1"/>
    <xf numFmtId="14" fontId="5" fillId="0" borderId="11" xfId="0" applyNumberFormat="1" applyFont="1" applyFill="1" applyBorder="1" applyAlignment="1">
      <alignment horizontal="left"/>
    </xf>
    <xf numFmtId="15" fontId="5" fillId="0" borderId="11" xfId="0" applyNumberFormat="1" applyFont="1" applyFill="1" applyBorder="1" applyAlignment="1"/>
    <xf numFmtId="0" fontId="14" fillId="0" borderId="0" xfId="0" applyFont="1"/>
    <xf numFmtId="170" fontId="15" fillId="0" borderId="0" xfId="0" applyNumberFormat="1" applyFont="1" applyAlignment="1">
      <alignment horizontal="left"/>
    </xf>
    <xf numFmtId="168" fontId="25" fillId="3" borderId="2" xfId="2" applyFont="1" applyFill="1" applyBorder="1" applyAlignment="1">
      <alignment horizontal="left"/>
    </xf>
    <xf numFmtId="4" fontId="22" fillId="0" borderId="2" xfId="63" applyNumberFormat="1" applyFont="1" applyFill="1" applyBorder="1" applyAlignment="1">
      <alignment horizontal="right"/>
    </xf>
    <xf numFmtId="0" fontId="0" fillId="0" borderId="0" xfId="0" applyFont="1"/>
    <xf numFmtId="172" fontId="0" fillId="0" borderId="0" xfId="0" applyNumberFormat="1"/>
    <xf numFmtId="0" fontId="27" fillId="0" borderId="40" xfId="0" applyFont="1" applyBorder="1" applyAlignment="1">
      <alignment horizontal="center"/>
    </xf>
    <xf numFmtId="0" fontId="27" fillId="0" borderId="0" xfId="0" applyFont="1" applyBorder="1" applyAlignment="1">
      <alignment horizontal="center"/>
    </xf>
    <xf numFmtId="169" fontId="21" fillId="0" borderId="0" xfId="63" applyNumberFormat="1" applyFont="1" applyBorder="1" applyAlignment="1">
      <alignment wrapText="1"/>
    </xf>
    <xf numFmtId="0" fontId="14" fillId="0" borderId="0" xfId="0" applyFont="1"/>
    <xf numFmtId="14" fontId="5" fillId="0" borderId="0" xfId="0" applyNumberFormat="1" applyFont="1" applyFill="1" applyBorder="1" applyAlignment="1">
      <alignment horizontal="left"/>
    </xf>
    <xf numFmtId="167" fontId="21" fillId="0" borderId="2" xfId="63" applyNumberFormat="1" applyFont="1" applyBorder="1" applyAlignment="1"/>
    <xf numFmtId="3" fontId="27" fillId="0" borderId="0" xfId="63" applyNumberFormat="1" applyFont="1" applyBorder="1" applyAlignment="1">
      <alignment vertical="top"/>
    </xf>
    <xf numFmtId="0" fontId="32" fillId="0" borderId="0" xfId="0" applyFont="1" applyFill="1" applyBorder="1" applyAlignment="1">
      <alignment horizontal="center"/>
    </xf>
    <xf numFmtId="0" fontId="4" fillId="0" borderId="0" xfId="0" applyFont="1" applyBorder="1"/>
    <xf numFmtId="0" fontId="0" fillId="0" borderId="0" xfId="0" applyBorder="1"/>
    <xf numFmtId="0" fontId="0" fillId="0" borderId="0" xfId="0" applyBorder="1" applyAlignment="1"/>
    <xf numFmtId="169" fontId="27" fillId="0" borderId="0" xfId="63" applyNumberFormat="1" applyFont="1" applyBorder="1" applyAlignment="1">
      <alignment wrapText="1"/>
    </xf>
    <xf numFmtId="168" fontId="14" fillId="5" borderId="2" xfId="2" applyFont="1" applyFill="1" applyBorder="1" applyAlignment="1">
      <alignment horizontal="center"/>
    </xf>
    <xf numFmtId="170" fontId="14" fillId="5" borderId="2" xfId="2" applyNumberFormat="1" applyFont="1" applyFill="1" applyBorder="1" applyAlignment="1">
      <alignment horizontal="left"/>
    </xf>
    <xf numFmtId="168" fontId="14" fillId="5" borderId="2" xfId="2" applyFont="1" applyFill="1" applyBorder="1" applyAlignment="1">
      <alignment horizontal="left"/>
    </xf>
    <xf numFmtId="168" fontId="14" fillId="5" borderId="2" xfId="2" applyFont="1" applyFill="1" applyBorder="1" applyAlignment="1">
      <alignment horizontal="right"/>
    </xf>
    <xf numFmtId="168" fontId="14" fillId="5" borderId="2" xfId="2" applyFont="1" applyFill="1" applyBorder="1" applyAlignment="1">
      <alignment horizontal="center" wrapText="1"/>
    </xf>
    <xf numFmtId="164" fontId="14" fillId="5" borderId="2" xfId="2" applyNumberFormat="1" applyFont="1" applyFill="1" applyBorder="1" applyAlignment="1">
      <alignment horizontal="center" wrapText="1"/>
    </xf>
    <xf numFmtId="0" fontId="14" fillId="5" borderId="2" xfId="0" applyFont="1" applyFill="1" applyBorder="1" applyAlignment="1">
      <alignment wrapText="1"/>
    </xf>
    <xf numFmtId="0" fontId="32" fillId="4" borderId="14" xfId="0" applyFont="1" applyFill="1" applyBorder="1" applyAlignment="1"/>
    <xf numFmtId="14" fontId="4" fillId="0" borderId="0" xfId="0" applyNumberFormat="1" applyFont="1" applyFill="1" applyBorder="1" applyAlignment="1">
      <alignment horizontal="right"/>
    </xf>
    <xf numFmtId="0" fontId="14" fillId="0" borderId="0" xfId="0" applyFont="1"/>
    <xf numFmtId="0" fontId="14" fillId="0" borderId="0" xfId="0" applyFont="1"/>
    <xf numFmtId="1" fontId="14" fillId="0" borderId="2" xfId="2" applyNumberFormat="1" applyFont="1" applyFill="1" applyBorder="1" applyAlignment="1">
      <alignment horizontal="center"/>
    </xf>
    <xf numFmtId="171" fontId="15" fillId="0" borderId="2" xfId="2" applyNumberFormat="1" applyFont="1" applyFill="1" applyBorder="1" applyAlignment="1">
      <alignment horizontal="left"/>
    </xf>
    <xf numFmtId="168" fontId="15" fillId="0" borderId="2" xfId="2" applyFont="1" applyFill="1" applyBorder="1" applyAlignment="1">
      <alignment horizontal="left"/>
    </xf>
    <xf numFmtId="1" fontId="15" fillId="0" borderId="2" xfId="2" applyNumberFormat="1" applyFont="1" applyFill="1" applyBorder="1" applyAlignment="1">
      <alignment horizontal="right"/>
    </xf>
    <xf numFmtId="0" fontId="30" fillId="0" borderId="13" xfId="1" applyNumberFormat="1" applyFont="1" applyFill="1" applyBorder="1" applyAlignment="1">
      <alignment horizontal="left" wrapText="1"/>
    </xf>
    <xf numFmtId="172" fontId="15" fillId="0" borderId="2" xfId="2" applyNumberFormat="1" applyFont="1" applyFill="1" applyBorder="1" applyAlignment="1">
      <alignment horizontal="center" wrapText="1"/>
    </xf>
    <xf numFmtId="0" fontId="15" fillId="0" borderId="2" xfId="0" applyFont="1" applyFill="1" applyBorder="1" applyAlignment="1">
      <alignment wrapText="1"/>
    </xf>
    <xf numFmtId="165" fontId="15" fillId="0" borderId="2" xfId="63" applyFont="1" applyFill="1" applyBorder="1" applyAlignment="1">
      <alignment vertical="top"/>
    </xf>
    <xf numFmtId="0" fontId="15" fillId="0" borderId="2" xfId="0" applyFont="1" applyFill="1" applyBorder="1"/>
    <xf numFmtId="0" fontId="30" fillId="0" borderId="2" xfId="1" applyNumberFormat="1" applyFont="1" applyFill="1" applyBorder="1" applyAlignment="1">
      <alignment horizontal="left" wrapText="1"/>
    </xf>
    <xf numFmtId="165" fontId="15" fillId="0" borderId="0" xfId="63" applyFont="1" applyFill="1"/>
    <xf numFmtId="171" fontId="14" fillId="0" borderId="2" xfId="2" applyNumberFormat="1" applyFont="1" applyFill="1" applyBorder="1" applyAlignment="1">
      <alignment horizontal="left"/>
    </xf>
    <xf numFmtId="170" fontId="15" fillId="0" borderId="2" xfId="2" applyNumberFormat="1" applyFont="1" applyFill="1" applyBorder="1" applyAlignment="1">
      <alignment horizontal="left"/>
    </xf>
    <xf numFmtId="167" fontId="15" fillId="0" borderId="2" xfId="2" applyNumberFormat="1" applyFont="1" applyFill="1" applyBorder="1" applyAlignment="1">
      <alignment wrapText="1"/>
    </xf>
    <xf numFmtId="1" fontId="15" fillId="0" borderId="2" xfId="2" quotePrefix="1" applyNumberFormat="1" applyFont="1" applyFill="1" applyBorder="1" applyAlignment="1">
      <alignment horizontal="right"/>
    </xf>
    <xf numFmtId="172" fontId="33" fillId="0" borderId="2" xfId="2" applyNumberFormat="1" applyFont="1" applyFill="1" applyBorder="1" applyAlignment="1">
      <alignment horizontal="center" wrapText="1"/>
    </xf>
    <xf numFmtId="171" fontId="33" fillId="0" borderId="2" xfId="2" applyNumberFormat="1" applyFont="1" applyFill="1" applyBorder="1" applyAlignment="1">
      <alignment horizontal="left"/>
    </xf>
    <xf numFmtId="168" fontId="33" fillId="0" borderId="2" xfId="2" applyFont="1" applyFill="1" applyBorder="1" applyAlignment="1">
      <alignment horizontal="left"/>
    </xf>
    <xf numFmtId="1" fontId="33" fillId="0" borderId="2" xfId="2" applyNumberFormat="1" applyFont="1" applyFill="1" applyBorder="1" applyAlignment="1">
      <alignment horizontal="right"/>
    </xf>
    <xf numFmtId="0" fontId="33" fillId="0" borderId="13" xfId="1" applyNumberFormat="1" applyFont="1" applyFill="1" applyBorder="1" applyAlignment="1">
      <alignment horizontal="left" wrapText="1"/>
    </xf>
    <xf numFmtId="0" fontId="33" fillId="0" borderId="2" xfId="0" applyFont="1" applyFill="1" applyBorder="1" applyAlignment="1">
      <alignment wrapText="1"/>
    </xf>
    <xf numFmtId="165" fontId="34" fillId="0" borderId="2" xfId="63" applyFont="1" applyFill="1" applyBorder="1"/>
    <xf numFmtId="0" fontId="35" fillId="0" borderId="0" xfId="0" applyFont="1"/>
    <xf numFmtId="170" fontId="34" fillId="0" borderId="0" xfId="0" applyNumberFormat="1" applyFont="1" applyAlignment="1">
      <alignment horizontal="left"/>
    </xf>
    <xf numFmtId="0" fontId="34" fillId="0" borderId="0" xfId="0" applyFont="1"/>
    <xf numFmtId="168" fontId="35" fillId="5" borderId="2" xfId="2" applyFont="1" applyFill="1" applyBorder="1" applyAlignment="1">
      <alignment horizontal="center"/>
    </xf>
    <xf numFmtId="170" fontId="35" fillId="5" borderId="2" xfId="2" applyNumberFormat="1" applyFont="1" applyFill="1" applyBorder="1" applyAlignment="1">
      <alignment horizontal="left"/>
    </xf>
    <xf numFmtId="168" fontId="35" fillId="5" borderId="2" xfId="2" applyFont="1" applyFill="1" applyBorder="1" applyAlignment="1">
      <alignment horizontal="left"/>
    </xf>
    <xf numFmtId="168" fontId="35" fillId="5" borderId="2" xfId="2" applyFont="1" applyFill="1" applyBorder="1" applyAlignment="1">
      <alignment horizontal="right"/>
    </xf>
    <xf numFmtId="168" fontId="35" fillId="5" borderId="2" xfId="2" applyFont="1" applyFill="1" applyBorder="1" applyAlignment="1">
      <alignment horizontal="center" wrapText="1"/>
    </xf>
    <xf numFmtId="164" fontId="35" fillId="5" borderId="2" xfId="2" applyNumberFormat="1" applyFont="1" applyFill="1" applyBorder="1" applyAlignment="1">
      <alignment horizontal="center" wrapText="1"/>
    </xf>
    <xf numFmtId="0" fontId="35" fillId="5" borderId="2" xfId="0" applyFont="1" applyFill="1" applyBorder="1" applyAlignment="1">
      <alignment wrapText="1"/>
    </xf>
    <xf numFmtId="1" fontId="35" fillId="0" borderId="2" xfId="2" applyNumberFormat="1" applyFont="1" applyFill="1" applyBorder="1" applyAlignment="1">
      <alignment horizontal="center"/>
    </xf>
    <xf numFmtId="171" fontId="34" fillId="0" borderId="2" xfId="2" applyNumberFormat="1" applyFont="1" applyFill="1" applyBorder="1" applyAlignment="1">
      <alignment horizontal="left"/>
    </xf>
    <xf numFmtId="168" fontId="34" fillId="0" borderId="2" xfId="2" applyFont="1" applyFill="1" applyBorder="1" applyAlignment="1">
      <alignment horizontal="left"/>
    </xf>
    <xf numFmtId="1" fontId="34" fillId="0" borderId="2" xfId="2" applyNumberFormat="1" applyFont="1" applyFill="1" applyBorder="1" applyAlignment="1">
      <alignment horizontal="right"/>
    </xf>
    <xf numFmtId="0" fontId="36" fillId="0" borderId="13" xfId="1" applyNumberFormat="1" applyFont="1" applyFill="1" applyBorder="1" applyAlignment="1">
      <alignment horizontal="left" wrapText="1"/>
    </xf>
    <xf numFmtId="172" fontId="34" fillId="0" borderId="2" xfId="2" applyNumberFormat="1" applyFont="1" applyFill="1" applyBorder="1" applyAlignment="1">
      <alignment horizontal="center" wrapText="1"/>
    </xf>
    <xf numFmtId="0" fontId="34" fillId="0" borderId="2" xfId="0" applyFont="1" applyFill="1" applyBorder="1" applyAlignment="1">
      <alignment wrapText="1"/>
    </xf>
    <xf numFmtId="0" fontId="34" fillId="0" borderId="2" xfId="0" applyFont="1" applyFill="1" applyBorder="1"/>
    <xf numFmtId="0" fontId="36" fillId="0" borderId="2" xfId="1" applyNumberFormat="1" applyFont="1" applyFill="1" applyBorder="1" applyAlignment="1">
      <alignment horizontal="left" wrapText="1"/>
    </xf>
    <xf numFmtId="0" fontId="34" fillId="0" borderId="2" xfId="63" applyNumberFormat="1" applyFont="1" applyFill="1" applyBorder="1" applyAlignment="1">
      <alignment vertical="top"/>
    </xf>
    <xf numFmtId="165" fontId="34" fillId="0" borderId="2" xfId="63" applyFont="1" applyFill="1" applyBorder="1" applyAlignment="1">
      <alignment vertical="top"/>
    </xf>
    <xf numFmtId="173" fontId="34" fillId="0" borderId="2" xfId="2" applyNumberFormat="1" applyFont="1" applyFill="1" applyBorder="1" applyAlignment="1">
      <alignment horizontal="left"/>
    </xf>
    <xf numFmtId="0" fontId="34" fillId="0" borderId="0" xfId="0" applyFont="1" applyBorder="1"/>
    <xf numFmtId="171" fontId="34" fillId="0" borderId="0" xfId="2" applyNumberFormat="1" applyFont="1" applyFill="1" applyBorder="1" applyAlignment="1">
      <alignment horizontal="left"/>
    </xf>
    <xf numFmtId="1" fontId="37" fillId="0" borderId="2" xfId="2" applyNumberFormat="1" applyFont="1" applyFill="1" applyBorder="1" applyAlignment="1">
      <alignment horizontal="center"/>
    </xf>
    <xf numFmtId="171" fontId="38" fillId="0" borderId="2" xfId="2" applyNumberFormat="1" applyFont="1" applyFill="1" applyBorder="1" applyAlignment="1">
      <alignment horizontal="left"/>
    </xf>
    <xf numFmtId="168" fontId="38" fillId="0" borderId="2" xfId="2" applyFont="1" applyFill="1" applyBorder="1" applyAlignment="1">
      <alignment horizontal="left"/>
    </xf>
    <xf numFmtId="1" fontId="38" fillId="0" borderId="2" xfId="2" applyNumberFormat="1" applyFont="1" applyFill="1" applyBorder="1" applyAlignment="1">
      <alignment horizontal="right"/>
    </xf>
    <xf numFmtId="0" fontId="38" fillId="0" borderId="13" xfId="1" applyNumberFormat="1" applyFont="1" applyFill="1" applyBorder="1" applyAlignment="1">
      <alignment horizontal="left" wrapText="1"/>
    </xf>
    <xf numFmtId="172" fontId="38" fillId="0" borderId="2" xfId="2" applyNumberFormat="1" applyFont="1" applyFill="1" applyBorder="1" applyAlignment="1">
      <alignment horizontal="center" wrapText="1"/>
    </xf>
    <xf numFmtId="0" fontId="38" fillId="0" borderId="2" xfId="0" applyFont="1" applyFill="1" applyBorder="1" applyAlignment="1">
      <alignment wrapText="1"/>
    </xf>
    <xf numFmtId="1" fontId="39" fillId="0" borderId="2" xfId="2" applyNumberFormat="1" applyFont="1" applyFill="1" applyBorder="1" applyAlignment="1">
      <alignment horizontal="center"/>
    </xf>
    <xf numFmtId="171" fontId="30" fillId="0" borderId="2" xfId="2" applyNumberFormat="1" applyFont="1" applyFill="1" applyBorder="1" applyAlignment="1">
      <alignment horizontal="left"/>
    </xf>
    <xf numFmtId="168" fontId="30" fillId="0" borderId="2" xfId="2" applyFont="1" applyFill="1" applyBorder="1" applyAlignment="1">
      <alignment horizontal="left"/>
    </xf>
    <xf numFmtId="1" fontId="30" fillId="0" borderId="2" xfId="2" applyNumberFormat="1" applyFont="1" applyFill="1" applyBorder="1" applyAlignment="1">
      <alignment horizontal="right"/>
    </xf>
    <xf numFmtId="172" fontId="30" fillId="0" borderId="2" xfId="2" applyNumberFormat="1" applyFont="1" applyFill="1" applyBorder="1" applyAlignment="1">
      <alignment horizontal="center" wrapText="1"/>
    </xf>
    <xf numFmtId="0" fontId="30" fillId="0" borderId="2" xfId="0" applyFont="1" applyFill="1" applyBorder="1" applyAlignment="1">
      <alignment wrapText="1"/>
    </xf>
    <xf numFmtId="0" fontId="14" fillId="0" borderId="0" xfId="0" applyFont="1"/>
    <xf numFmtId="171" fontId="34" fillId="0" borderId="40" xfId="2" applyNumberFormat="1" applyFont="1" applyFill="1" applyBorder="1" applyAlignment="1">
      <alignment horizontal="left"/>
    </xf>
    <xf numFmtId="172" fontId="35" fillId="0" borderId="0" xfId="0" applyNumberFormat="1" applyFont="1" applyBorder="1"/>
    <xf numFmtId="0" fontId="40" fillId="0" borderId="2" xfId="0" applyFont="1" applyBorder="1"/>
    <xf numFmtId="165" fontId="40" fillId="0" borderId="2" xfId="63" applyFont="1" applyBorder="1"/>
    <xf numFmtId="0" fontId="15" fillId="0" borderId="2" xfId="63" applyNumberFormat="1" applyFont="1" applyFill="1" applyBorder="1" applyAlignment="1">
      <alignment horizontal="right" vertical="top"/>
    </xf>
    <xf numFmtId="0" fontId="22" fillId="0" borderId="0" xfId="0" applyFont="1" applyBorder="1" applyAlignment="1"/>
    <xf numFmtId="165" fontId="41" fillId="0" borderId="39" xfId="70" applyNumberFormat="1" applyFont="1" applyBorder="1" applyAlignment="1" applyProtection="1"/>
    <xf numFmtId="0" fontId="42" fillId="0" borderId="5" xfId="0" applyFont="1" applyBorder="1" applyAlignment="1">
      <alignment vertical="top" wrapText="1"/>
    </xf>
    <xf numFmtId="165" fontId="41" fillId="0" borderId="39" xfId="70" quotePrefix="1" applyNumberFormat="1" applyFont="1" applyBorder="1" applyAlignment="1" applyProtection="1"/>
    <xf numFmtId="0" fontId="41" fillId="0" borderId="0" xfId="70" applyFont="1" applyAlignment="1" applyProtection="1"/>
    <xf numFmtId="0" fontId="23" fillId="0" borderId="0" xfId="0" quotePrefix="1" applyNumberFormat="1" applyFont="1" applyBorder="1" applyAlignment="1">
      <alignment horizontal="center" vertical="top"/>
    </xf>
    <xf numFmtId="3" fontId="24" fillId="0" borderId="0" xfId="63" applyNumberFormat="1" applyFont="1" applyBorder="1" applyAlignment="1">
      <alignment vertical="top"/>
    </xf>
    <xf numFmtId="165" fontId="41" fillId="0" borderId="0" xfId="70" applyNumberFormat="1" applyFont="1" applyBorder="1" applyAlignment="1" applyProtection="1"/>
    <xf numFmtId="0" fontId="25" fillId="0" borderId="0" xfId="0" applyFont="1" applyBorder="1" applyAlignment="1">
      <alignment wrapText="1"/>
    </xf>
    <xf numFmtId="0" fontId="25" fillId="0" borderId="0" xfId="0" applyFont="1" applyBorder="1" applyAlignment="1">
      <alignment horizontal="center" wrapText="1"/>
    </xf>
    <xf numFmtId="0" fontId="21" fillId="0" borderId="0" xfId="0" applyFont="1" applyBorder="1" applyAlignment="1"/>
    <xf numFmtId="1" fontId="43" fillId="0" borderId="2" xfId="2" applyNumberFormat="1" applyFont="1" applyFill="1" applyBorder="1" applyAlignment="1">
      <alignment horizontal="center"/>
    </xf>
    <xf numFmtId="171" fontId="36" fillId="0" borderId="2" xfId="2" applyNumberFormat="1" applyFont="1" applyFill="1" applyBorder="1" applyAlignment="1">
      <alignment horizontal="left"/>
    </xf>
    <xf numFmtId="168" fontId="36" fillId="0" borderId="2" xfId="2" applyFont="1" applyFill="1" applyBorder="1" applyAlignment="1">
      <alignment horizontal="left"/>
    </xf>
    <xf numFmtId="1" fontId="36" fillId="0" borderId="2" xfId="2" applyNumberFormat="1" applyFont="1" applyFill="1" applyBorder="1" applyAlignment="1">
      <alignment horizontal="right"/>
    </xf>
    <xf numFmtId="172" fontId="36" fillId="0" borderId="2" xfId="2" applyNumberFormat="1" applyFont="1" applyFill="1" applyBorder="1" applyAlignment="1">
      <alignment horizontal="center" wrapText="1"/>
    </xf>
    <xf numFmtId="0" fontId="36" fillId="0" borderId="2" xfId="0" applyFont="1" applyFill="1" applyBorder="1" applyAlignment="1">
      <alignment wrapText="1"/>
    </xf>
    <xf numFmtId="0" fontId="44" fillId="0" borderId="0" xfId="70" applyFont="1" applyAlignment="1" applyProtection="1"/>
    <xf numFmtId="0" fontId="1" fillId="0" borderId="0" xfId="0" applyFont="1"/>
    <xf numFmtId="170" fontId="1" fillId="0" borderId="0" xfId="0" applyNumberFormat="1" applyFont="1" applyAlignment="1">
      <alignment horizontal="left"/>
    </xf>
    <xf numFmtId="168" fontId="19" fillId="5" borderId="2" xfId="2" applyFont="1" applyFill="1" applyBorder="1" applyAlignment="1">
      <alignment horizontal="center"/>
    </xf>
    <xf numFmtId="170" fontId="19" fillId="5" borderId="2" xfId="2" applyNumberFormat="1" applyFont="1" applyFill="1" applyBorder="1" applyAlignment="1">
      <alignment horizontal="left"/>
    </xf>
    <xf numFmtId="168" fontId="19" fillId="5" borderId="2" xfId="2" applyFont="1" applyFill="1" applyBorder="1" applyAlignment="1">
      <alignment horizontal="left"/>
    </xf>
    <xf numFmtId="168" fontId="19" fillId="5" borderId="2" xfId="2" applyFont="1" applyFill="1" applyBorder="1" applyAlignment="1">
      <alignment horizontal="right"/>
    </xf>
    <xf numFmtId="168" fontId="19" fillId="5" borderId="2" xfId="2" applyFont="1" applyFill="1" applyBorder="1" applyAlignment="1">
      <alignment horizontal="center" wrapText="1"/>
    </xf>
    <xf numFmtId="164" fontId="19" fillId="5" borderId="2" xfId="2" applyNumberFormat="1" applyFont="1" applyFill="1" applyBorder="1" applyAlignment="1">
      <alignment horizontal="center" wrapText="1"/>
    </xf>
    <xf numFmtId="1" fontId="19" fillId="0" borderId="2" xfId="2" applyNumberFormat="1" applyFont="1" applyFill="1" applyBorder="1" applyAlignment="1">
      <alignment horizontal="center"/>
    </xf>
    <xf numFmtId="171" fontId="1" fillId="0" borderId="2" xfId="2" applyNumberFormat="1" applyFont="1" applyFill="1" applyBorder="1" applyAlignment="1">
      <alignment horizontal="left"/>
    </xf>
    <xf numFmtId="168" fontId="1" fillId="0" borderId="2" xfId="2" applyFont="1" applyFill="1" applyBorder="1" applyAlignment="1">
      <alignment horizontal="left"/>
    </xf>
    <xf numFmtId="1" fontId="1" fillId="0" borderId="2" xfId="2" applyNumberFormat="1" applyFont="1" applyFill="1" applyBorder="1" applyAlignment="1">
      <alignment horizontal="right"/>
    </xf>
    <xf numFmtId="0" fontId="32" fillId="0" borderId="13" xfId="1" applyNumberFormat="1" applyFont="1" applyFill="1" applyBorder="1" applyAlignment="1">
      <alignment horizontal="left" wrapText="1"/>
    </xf>
    <xf numFmtId="172" fontId="1" fillId="0" borderId="2" xfId="2" applyNumberFormat="1" applyFont="1" applyFill="1" applyBorder="1" applyAlignment="1">
      <alignment horizontal="center" wrapText="1"/>
    </xf>
    <xf numFmtId="1" fontId="45" fillId="0" borderId="2" xfId="2" applyNumberFormat="1" applyFont="1" applyFill="1" applyBorder="1" applyAlignment="1">
      <alignment horizontal="center"/>
    </xf>
    <xf numFmtId="171" fontId="32" fillId="0" borderId="2" xfId="2" applyNumberFormat="1" applyFont="1" applyFill="1" applyBorder="1" applyAlignment="1">
      <alignment horizontal="left"/>
    </xf>
    <xf numFmtId="168" fontId="32" fillId="0" borderId="2" xfId="2" applyFont="1" applyFill="1" applyBorder="1" applyAlignment="1">
      <alignment horizontal="left"/>
    </xf>
    <xf numFmtId="1" fontId="32" fillId="0" borderId="2" xfId="2" applyNumberFormat="1" applyFont="1" applyFill="1" applyBorder="1" applyAlignment="1">
      <alignment horizontal="right"/>
    </xf>
    <xf numFmtId="172" fontId="32" fillId="0" borderId="2" xfId="2" applyNumberFormat="1" applyFont="1" applyFill="1" applyBorder="1" applyAlignment="1">
      <alignment horizontal="center" wrapText="1"/>
    </xf>
    <xf numFmtId="0" fontId="1" fillId="0" borderId="2" xfId="0" applyFont="1" applyFill="1" applyBorder="1"/>
    <xf numFmtId="165" fontId="1" fillId="0" borderId="2" xfId="63" applyFont="1" applyFill="1" applyBorder="1"/>
    <xf numFmtId="0" fontId="1" fillId="0" borderId="2" xfId="0" applyFont="1" applyFill="1" applyBorder="1" applyAlignment="1">
      <alignment wrapText="1"/>
    </xf>
    <xf numFmtId="168" fontId="0" fillId="0" borderId="2" xfId="2" applyFont="1" applyFill="1" applyBorder="1" applyAlignment="1">
      <alignment horizontal="left"/>
    </xf>
    <xf numFmtId="1" fontId="35" fillId="0" borderId="7" xfId="2" applyNumberFormat="1" applyFont="1" applyFill="1" applyBorder="1" applyAlignment="1">
      <alignment horizontal="center"/>
    </xf>
    <xf numFmtId="171" fontId="34" fillId="0" borderId="7" xfId="2" applyNumberFormat="1" applyFont="1" applyFill="1" applyBorder="1" applyAlignment="1">
      <alignment horizontal="left"/>
    </xf>
    <xf numFmtId="168" fontId="34" fillId="0" borderId="7" xfId="2" applyFont="1" applyFill="1" applyBorder="1" applyAlignment="1">
      <alignment horizontal="left"/>
    </xf>
    <xf numFmtId="0" fontId="34" fillId="0" borderId="7" xfId="0" applyFont="1" applyFill="1" applyBorder="1"/>
    <xf numFmtId="0" fontId="36" fillId="0" borderId="40" xfId="1" applyNumberFormat="1" applyFont="1" applyFill="1" applyBorder="1" applyAlignment="1">
      <alignment horizontal="left" wrapText="1"/>
    </xf>
    <xf numFmtId="165" fontId="34" fillId="0" borderId="7" xfId="63" applyFont="1" applyFill="1" applyBorder="1"/>
    <xf numFmtId="0" fontId="34" fillId="0" borderId="7" xfId="0" applyFont="1" applyFill="1" applyBorder="1" applyAlignment="1">
      <alignment wrapText="1"/>
    </xf>
    <xf numFmtId="0" fontId="0" fillId="0" borderId="2" xfId="0" applyBorder="1"/>
    <xf numFmtId="172" fontId="1" fillId="0" borderId="1" xfId="0" applyNumberFormat="1" applyFont="1" applyBorder="1"/>
    <xf numFmtId="172" fontId="0" fillId="0" borderId="1" xfId="0" applyNumberFormat="1" applyBorder="1"/>
    <xf numFmtId="0" fontId="36" fillId="0" borderId="7" xfId="1" applyNumberFormat="1" applyFont="1" applyFill="1" applyBorder="1" applyAlignment="1">
      <alignment horizontal="left" wrapText="1"/>
    </xf>
    <xf numFmtId="172" fontId="0" fillId="0" borderId="43" xfId="0" applyNumberFormat="1" applyBorder="1"/>
    <xf numFmtId="166" fontId="1" fillId="0" borderId="2" xfId="2" applyNumberFormat="1" applyFont="1" applyFill="1" applyBorder="1" applyAlignment="1">
      <alignment horizontal="center" wrapText="1"/>
    </xf>
    <xf numFmtId="166" fontId="1" fillId="0" borderId="1" xfId="0" applyNumberFormat="1" applyFont="1" applyBorder="1"/>
    <xf numFmtId="3" fontId="1" fillId="0" borderId="2" xfId="63" applyNumberFormat="1" applyFont="1" applyFill="1" applyBorder="1" applyAlignment="1"/>
    <xf numFmtId="0" fontId="0" fillId="0" borderId="15" xfId="0" applyBorder="1"/>
    <xf numFmtId="0" fontId="27" fillId="0" borderId="0" xfId="0" applyFont="1" applyBorder="1" applyAlignment="1">
      <alignment horizontal="center" wrapText="1"/>
    </xf>
    <xf numFmtId="0" fontId="0" fillId="0" borderId="2" xfId="0" applyFont="1" applyFill="1" applyBorder="1" applyAlignment="1">
      <alignment wrapText="1"/>
    </xf>
    <xf numFmtId="0" fontId="32" fillId="0" borderId="2" xfId="0" applyFont="1" applyFill="1" applyBorder="1" applyAlignment="1">
      <alignment wrapText="1"/>
    </xf>
    <xf numFmtId="165" fontId="1" fillId="0" borderId="2" xfId="63" applyFont="1" applyFill="1" applyBorder="1" applyAlignment="1"/>
    <xf numFmtId="165" fontId="1" fillId="0" borderId="2" xfId="63" applyFont="1" applyFill="1" applyBorder="1" applyAlignment="1">
      <alignment horizontal="center" wrapText="1"/>
    </xf>
    <xf numFmtId="0" fontId="35" fillId="0" borderId="0" xfId="0" applyFont="1" applyAlignment="1"/>
    <xf numFmtId="0" fontId="34" fillId="0" borderId="2" xfId="0" applyFont="1" applyFill="1" applyBorder="1" applyAlignment="1">
      <alignment horizontal="right"/>
    </xf>
    <xf numFmtId="0" fontId="0" fillId="0" borderId="2" xfId="0" applyFont="1" applyFill="1" applyBorder="1"/>
    <xf numFmtId="0" fontId="0" fillId="0" borderId="5" xfId="0" applyBorder="1"/>
    <xf numFmtId="168" fontId="19" fillId="0" borderId="2" xfId="2" applyFont="1" applyFill="1" applyBorder="1" applyAlignment="1">
      <alignment horizontal="right"/>
    </xf>
    <xf numFmtId="167" fontId="21" fillId="0" borderId="7" xfId="0" applyNumberFormat="1" applyFont="1" applyBorder="1"/>
    <xf numFmtId="0" fontId="47" fillId="4" borderId="14" xfId="0" applyFont="1" applyFill="1" applyBorder="1" applyAlignment="1"/>
    <xf numFmtId="0" fontId="23" fillId="0" borderId="0" xfId="0" applyFont="1" applyAlignment="1">
      <alignment wrapText="1"/>
    </xf>
    <xf numFmtId="0" fontId="25" fillId="0" borderId="2" xfId="0" quotePrefix="1" applyNumberFormat="1" applyFont="1" applyBorder="1" applyAlignment="1">
      <alignment horizontal="center" vertical="top"/>
    </xf>
    <xf numFmtId="0" fontId="25" fillId="0" borderId="2" xfId="0" applyFont="1" applyBorder="1" applyAlignment="1">
      <alignment horizontal="center" wrapText="1"/>
    </xf>
    <xf numFmtId="165" fontId="48" fillId="0" borderId="2" xfId="70" quotePrefix="1" applyNumberFormat="1" applyFont="1" applyBorder="1" applyAlignment="1" applyProtection="1"/>
    <xf numFmtId="168" fontId="22" fillId="0" borderId="2" xfId="2" applyFont="1" applyFill="1" applyBorder="1" applyAlignment="1">
      <alignment horizontal="left"/>
    </xf>
    <xf numFmtId="165" fontId="48" fillId="0" borderId="2" xfId="70" applyNumberFormat="1" applyFont="1" applyBorder="1" applyAlignment="1" applyProtection="1"/>
    <xf numFmtId="0" fontId="27" fillId="0" borderId="0" xfId="63" applyNumberFormat="1" applyFont="1" applyBorder="1" applyAlignment="1">
      <alignment wrapText="1"/>
    </xf>
    <xf numFmtId="0" fontId="22" fillId="0" borderId="2" xfId="0" applyFont="1" applyBorder="1" applyAlignment="1">
      <alignment vertical="top"/>
    </xf>
    <xf numFmtId="0" fontId="22" fillId="0" borderId="9" xfId="0" applyFont="1" applyBorder="1" applyAlignment="1">
      <alignment vertical="top"/>
    </xf>
    <xf numFmtId="0" fontId="25" fillId="0" borderId="2" xfId="0" applyFont="1" applyBorder="1" applyAlignment="1">
      <alignment vertical="top" wrapText="1"/>
    </xf>
    <xf numFmtId="0" fontId="21" fillId="0" borderId="0" xfId="0" applyFont="1" applyFill="1" applyBorder="1" applyAlignment="1"/>
    <xf numFmtId="168" fontId="21" fillId="0" borderId="0" xfId="2" applyFont="1" applyFill="1" applyBorder="1" applyAlignment="1">
      <alignment horizontal="left"/>
    </xf>
    <xf numFmtId="167" fontId="0" fillId="0" borderId="0" xfId="69" applyFont="1"/>
    <xf numFmtId="166" fontId="1" fillId="0" borderId="43" xfId="0" applyNumberFormat="1" applyFont="1" applyBorder="1"/>
    <xf numFmtId="0" fontId="32" fillId="0" borderId="2" xfId="1" applyNumberFormat="1" applyFont="1" applyFill="1" applyBorder="1" applyAlignment="1">
      <alignment horizontal="left" wrapText="1"/>
    </xf>
    <xf numFmtId="171" fontId="0" fillId="0" borderId="2" xfId="2" applyNumberFormat="1" applyFont="1" applyFill="1" applyBorder="1" applyAlignment="1">
      <alignment horizontal="left"/>
    </xf>
    <xf numFmtId="172" fontId="32" fillId="0" borderId="0" xfId="2" applyNumberFormat="1" applyFont="1" applyFill="1" applyBorder="1" applyAlignment="1">
      <alignment horizontal="center" wrapText="1"/>
    </xf>
    <xf numFmtId="172" fontId="1" fillId="0" borderId="0" xfId="2" applyNumberFormat="1" applyFont="1" applyFill="1" applyBorder="1" applyAlignment="1">
      <alignment horizontal="center" wrapText="1"/>
    </xf>
    <xf numFmtId="0" fontId="19" fillId="0" borderId="0" xfId="0" applyFont="1" applyAlignment="1">
      <alignment horizontal="center" vertical="center"/>
    </xf>
    <xf numFmtId="0" fontId="0" fillId="0" borderId="2" xfId="0" applyFont="1" applyFill="1" applyBorder="1" applyAlignment="1">
      <alignment horizontal="right"/>
    </xf>
    <xf numFmtId="167" fontId="0" fillId="0" borderId="2" xfId="69" applyFont="1" applyFill="1" applyBorder="1"/>
    <xf numFmtId="0" fontId="23" fillId="0" borderId="38" xfId="0" applyFont="1" applyBorder="1" applyAlignment="1">
      <alignment vertical="top"/>
    </xf>
    <xf numFmtId="0" fontId="22" fillId="0" borderId="2" xfId="0" applyFont="1" applyFill="1" applyBorder="1" applyAlignment="1">
      <alignment vertical="top"/>
    </xf>
    <xf numFmtId="0" fontId="36" fillId="0" borderId="13" xfId="1" applyNumberFormat="1" applyFont="1" applyFill="1" applyBorder="1" applyAlignment="1">
      <alignment horizontal="left"/>
    </xf>
    <xf numFmtId="43" fontId="0" fillId="0" borderId="0" xfId="0" applyNumberFormat="1"/>
    <xf numFmtId="0" fontId="34" fillId="0" borderId="9" xfId="0" applyFont="1" applyBorder="1" applyAlignment="1"/>
    <xf numFmtId="0" fontId="0" fillId="0" borderId="9" xfId="0" applyBorder="1"/>
    <xf numFmtId="0" fontId="22" fillId="0" borderId="2" xfId="0" applyFont="1" applyBorder="1"/>
    <xf numFmtId="167" fontId="22" fillId="0" borderId="7" xfId="0" applyNumberFormat="1" applyFont="1" applyBorder="1" applyAlignment="1"/>
    <xf numFmtId="0" fontId="22" fillId="0" borderId="9" xfId="0" applyFont="1" applyFill="1" applyBorder="1" applyAlignment="1">
      <alignment vertical="top"/>
    </xf>
    <xf numFmtId="167" fontId="21" fillId="0" borderId="0" xfId="0" applyNumberFormat="1" applyFont="1" applyBorder="1"/>
    <xf numFmtId="0" fontId="10" fillId="0" borderId="0" xfId="70" applyAlignment="1" applyProtection="1"/>
    <xf numFmtId="0" fontId="48" fillId="0" borderId="0" xfId="70" applyFont="1" applyAlignment="1" applyProtection="1"/>
    <xf numFmtId="0" fontId="34" fillId="0" borderId="0" xfId="0" applyFont="1" applyAlignment="1"/>
    <xf numFmtId="0" fontId="36" fillId="0" borderId="2" xfId="1" applyNumberFormat="1" applyFont="1" applyFill="1" applyBorder="1" applyAlignment="1">
      <alignment horizontal="left"/>
    </xf>
    <xf numFmtId="172" fontId="0" fillId="0" borderId="43" xfId="0" applyNumberFormat="1" applyFill="1" applyBorder="1"/>
    <xf numFmtId="172" fontId="1" fillId="0" borderId="43" xfId="0" applyNumberFormat="1" applyFont="1" applyBorder="1"/>
    <xf numFmtId="0" fontId="0" fillId="0" borderId="2" xfId="0" applyBorder="1" applyAlignment="1"/>
    <xf numFmtId="165" fontId="0" fillId="0" borderId="2" xfId="63" applyFont="1" applyFill="1" applyBorder="1"/>
    <xf numFmtId="165" fontId="21" fillId="0" borderId="2" xfId="63" applyFont="1" applyBorder="1"/>
    <xf numFmtId="165" fontId="48" fillId="0" borderId="21" xfId="70" applyNumberFormat="1" applyFont="1" applyBorder="1" applyAlignment="1" applyProtection="1"/>
    <xf numFmtId="0" fontId="25" fillId="0" borderId="21" xfId="0" applyFont="1" applyBorder="1" applyAlignment="1">
      <alignment vertical="top" wrapText="1"/>
    </xf>
    <xf numFmtId="0" fontId="25" fillId="0" borderId="21" xfId="0" applyFont="1" applyBorder="1" applyAlignment="1">
      <alignment horizontal="center" wrapText="1"/>
    </xf>
    <xf numFmtId="0" fontId="21" fillId="0" borderId="2" xfId="0" applyFont="1" applyBorder="1" applyAlignment="1"/>
    <xf numFmtId="0" fontId="34" fillId="0" borderId="2" xfId="0" applyFont="1" applyBorder="1"/>
    <xf numFmtId="165" fontId="34" fillId="0" borderId="2" xfId="63" applyFont="1" applyBorder="1"/>
    <xf numFmtId="0" fontId="48" fillId="0" borderId="2" xfId="70" applyFont="1" applyBorder="1" applyAlignment="1" applyProtection="1"/>
    <xf numFmtId="0" fontId="21" fillId="0" borderId="2" xfId="0" applyFont="1" applyBorder="1" applyAlignment="1">
      <alignment vertical="top"/>
    </xf>
    <xf numFmtId="0" fontId="21" fillId="0" borderId="38" xfId="0" applyFont="1" applyBorder="1" applyAlignment="1">
      <alignment vertical="top"/>
    </xf>
    <xf numFmtId="165" fontId="22" fillId="0" borderId="2" xfId="63" applyFont="1" applyBorder="1" applyAlignment="1"/>
    <xf numFmtId="1" fontId="43" fillId="0" borderId="8" xfId="2" applyNumberFormat="1" applyFont="1" applyFill="1" applyBorder="1" applyAlignment="1">
      <alignment horizontal="center"/>
    </xf>
    <xf numFmtId="171" fontId="36" fillId="0" borderId="8" xfId="2" applyNumberFormat="1" applyFont="1" applyFill="1" applyBorder="1" applyAlignment="1">
      <alignment horizontal="left"/>
    </xf>
    <xf numFmtId="168" fontId="36" fillId="0" borderId="8" xfId="2" applyFont="1" applyFill="1" applyBorder="1" applyAlignment="1">
      <alignment horizontal="left"/>
    </xf>
    <xf numFmtId="1" fontId="36" fillId="0" borderId="8" xfId="2" applyNumberFormat="1" applyFont="1" applyFill="1" applyBorder="1" applyAlignment="1">
      <alignment horizontal="right"/>
    </xf>
    <xf numFmtId="0" fontId="36" fillId="0" borderId="8" xfId="1" applyNumberFormat="1" applyFont="1" applyFill="1" applyBorder="1" applyAlignment="1">
      <alignment horizontal="left"/>
    </xf>
    <xf numFmtId="1" fontId="36" fillId="6" borderId="2" xfId="2" applyNumberFormat="1" applyFont="1" applyFill="1" applyBorder="1" applyAlignment="1">
      <alignment horizontal="right"/>
    </xf>
    <xf numFmtId="0" fontId="0" fillId="6" borderId="0" xfId="0" applyFill="1"/>
    <xf numFmtId="165" fontId="19" fillId="0" borderId="45" xfId="0" applyNumberFormat="1" applyFont="1" applyBorder="1"/>
    <xf numFmtId="43" fontId="19" fillId="0" borderId="45" xfId="0" applyNumberFormat="1" applyFont="1" applyBorder="1"/>
    <xf numFmtId="0" fontId="0" fillId="0" borderId="12" xfId="0" applyBorder="1"/>
    <xf numFmtId="0" fontId="0" fillId="0" borderId="14" xfId="0" applyBorder="1"/>
    <xf numFmtId="0" fontId="0" fillId="0" borderId="10" xfId="0" applyBorder="1"/>
    <xf numFmtId="165" fontId="19" fillId="0" borderId="0" xfId="63" applyFont="1" applyBorder="1"/>
    <xf numFmtId="0" fontId="0" fillId="0" borderId="11" xfId="0" applyBorder="1"/>
    <xf numFmtId="15" fontId="0" fillId="0" borderId="0" xfId="0" applyNumberFormat="1" applyBorder="1"/>
    <xf numFmtId="0" fontId="19" fillId="0" borderId="0" xfId="0" applyFont="1" applyBorder="1"/>
    <xf numFmtId="9" fontId="19" fillId="0" borderId="0" xfId="0" applyNumberFormat="1" applyFont="1" applyBorder="1"/>
    <xf numFmtId="0" fontId="19" fillId="0" borderId="11" xfId="0" applyFont="1" applyBorder="1"/>
    <xf numFmtId="43" fontId="19" fillId="0" borderId="0" xfId="0" applyNumberFormat="1" applyFont="1" applyBorder="1"/>
    <xf numFmtId="165" fontId="19" fillId="0" borderId="0" xfId="0" applyNumberFormat="1" applyFont="1" applyBorder="1"/>
    <xf numFmtId="10" fontId="19" fillId="0" borderId="0" xfId="0" applyNumberFormat="1" applyFont="1" applyBorder="1"/>
    <xf numFmtId="0" fontId="0" fillId="0" borderId="16" xfId="0" applyBorder="1"/>
    <xf numFmtId="0" fontId="0" fillId="0" borderId="17" xfId="0" applyBorder="1"/>
    <xf numFmtId="0" fontId="0" fillId="0" borderId="18" xfId="0" applyBorder="1"/>
    <xf numFmtId="0" fontId="0" fillId="0" borderId="0" xfId="0" applyFont="1" applyBorder="1"/>
    <xf numFmtId="165" fontId="0" fillId="0" borderId="15" xfId="63" applyFont="1" applyBorder="1"/>
    <xf numFmtId="165" fontId="19" fillId="0" borderId="46" xfId="63" applyFont="1" applyBorder="1"/>
    <xf numFmtId="0" fontId="43" fillId="0" borderId="15" xfId="0" applyFont="1" applyFill="1" applyBorder="1"/>
    <xf numFmtId="0" fontId="43" fillId="0" borderId="0" xfId="0" applyFont="1" applyFill="1" applyBorder="1"/>
    <xf numFmtId="0" fontId="43" fillId="0" borderId="12" xfId="0" applyFont="1" applyFill="1" applyBorder="1"/>
    <xf numFmtId="0" fontId="43" fillId="0" borderId="14" xfId="0" applyFont="1" applyFill="1" applyBorder="1"/>
    <xf numFmtId="0" fontId="36" fillId="0" borderId="14" xfId="0" applyFont="1" applyFill="1" applyBorder="1" applyAlignment="1">
      <alignment horizontal="right"/>
    </xf>
    <xf numFmtId="0" fontId="50" fillId="0" borderId="14" xfId="0" applyFont="1" applyBorder="1" applyAlignment="1">
      <alignment horizontal="center"/>
    </xf>
    <xf numFmtId="0" fontId="34" fillId="0" borderId="14" xfId="0" applyFont="1" applyBorder="1"/>
    <xf numFmtId="0" fontId="34" fillId="0" borderId="10" xfId="0" applyFont="1" applyBorder="1"/>
    <xf numFmtId="0" fontId="36" fillId="0" borderId="0" xfId="0" applyFont="1" applyFill="1" applyBorder="1" applyAlignment="1">
      <alignment horizontal="right"/>
    </xf>
    <xf numFmtId="0" fontId="43" fillId="0" borderId="0" xfId="0" applyFont="1" applyFill="1" applyBorder="1" applyAlignment="1">
      <alignment horizontal="center"/>
    </xf>
    <xf numFmtId="0" fontId="36" fillId="0" borderId="0" xfId="0" applyFont="1" applyFill="1" applyBorder="1" applyAlignment="1">
      <alignment horizontal="center"/>
    </xf>
    <xf numFmtId="0" fontId="34" fillId="0" borderId="11" xfId="0" applyFont="1" applyBorder="1"/>
    <xf numFmtId="174" fontId="43" fillId="0" borderId="0" xfId="0" applyNumberFormat="1" applyFont="1" applyFill="1" applyBorder="1" applyAlignment="1">
      <alignment horizontal="center"/>
    </xf>
    <xf numFmtId="14" fontId="36" fillId="0" borderId="0" xfId="0" applyNumberFormat="1" applyFont="1" applyFill="1" applyBorder="1" applyAlignment="1">
      <alignment horizontal="center"/>
    </xf>
    <xf numFmtId="15" fontId="43" fillId="0" borderId="0" xfId="0" quotePrefix="1" applyNumberFormat="1" applyFont="1" applyFill="1" applyBorder="1" applyAlignment="1">
      <alignment horizontal="center"/>
    </xf>
    <xf numFmtId="15" fontId="36" fillId="0" borderId="0" xfId="0" quotePrefix="1" applyNumberFormat="1" applyFont="1" applyFill="1" applyBorder="1" applyAlignment="1">
      <alignment horizontal="center"/>
    </xf>
    <xf numFmtId="15" fontId="36" fillId="0" borderId="0" xfId="0" applyNumberFormat="1" applyFont="1" applyFill="1" applyBorder="1"/>
    <xf numFmtId="49" fontId="36" fillId="0" borderId="0" xfId="0" quotePrefix="1" applyNumberFormat="1" applyFont="1" applyFill="1" applyBorder="1"/>
    <xf numFmtId="49" fontId="36" fillId="0" borderId="0" xfId="0" applyNumberFormat="1" applyFont="1" applyFill="1" applyBorder="1"/>
    <xf numFmtId="0" fontId="36" fillId="0" borderId="0" xfId="0" applyFont="1" applyFill="1" applyBorder="1"/>
    <xf numFmtId="0" fontId="43" fillId="0" borderId="16" xfId="0" applyFont="1" applyFill="1" applyBorder="1"/>
    <xf numFmtId="49" fontId="36" fillId="0" borderId="17" xfId="0" applyNumberFormat="1" applyFont="1" applyFill="1" applyBorder="1"/>
    <xf numFmtId="0" fontId="34" fillId="0" borderId="17" xfId="0" applyFont="1" applyBorder="1"/>
    <xf numFmtId="0" fontId="34" fillId="0" borderId="18" xfId="0" applyFont="1" applyBorder="1"/>
    <xf numFmtId="49" fontId="36" fillId="0" borderId="14" xfId="0" applyNumberFormat="1" applyFont="1" applyFill="1" applyBorder="1"/>
    <xf numFmtId="0" fontId="36" fillId="0" borderId="15" xfId="0" applyFont="1" applyFill="1" applyBorder="1"/>
    <xf numFmtId="165" fontId="36" fillId="0" borderId="0" xfId="0" applyNumberFormat="1" applyFont="1" applyFill="1" applyBorder="1"/>
    <xf numFmtId="0" fontId="34" fillId="0" borderId="21" xfId="0" applyFont="1" applyBorder="1"/>
    <xf numFmtId="0" fontId="34" fillId="0" borderId="47" xfId="0" applyFont="1" applyBorder="1"/>
    <xf numFmtId="0" fontId="35" fillId="0" borderId="22" xfId="0" applyFont="1" applyBorder="1" applyAlignment="1">
      <alignment horizontal="center"/>
    </xf>
    <xf numFmtId="0" fontId="35" fillId="0" borderId="2" xfId="0" applyFont="1" applyBorder="1" applyAlignment="1">
      <alignment horizontal="center"/>
    </xf>
    <xf numFmtId="0" fontId="35" fillId="0" borderId="2" xfId="0" applyFont="1" applyBorder="1" applyAlignment="1">
      <alignment horizontal="center" wrapText="1"/>
    </xf>
    <xf numFmtId="0" fontId="35" fillId="0" borderId="5" xfId="0" applyFont="1" applyBorder="1" applyAlignment="1">
      <alignment horizontal="center"/>
    </xf>
    <xf numFmtId="0" fontId="35" fillId="6" borderId="2" xfId="0" applyFont="1" applyFill="1" applyBorder="1" applyAlignment="1">
      <alignment wrapText="1"/>
    </xf>
    <xf numFmtId="0" fontId="35" fillId="6" borderId="9" xfId="0" applyFont="1" applyFill="1" applyBorder="1" applyAlignment="1">
      <alignment wrapText="1"/>
    </xf>
    <xf numFmtId="165" fontId="34" fillId="6" borderId="2" xfId="63" applyFont="1" applyFill="1" applyBorder="1"/>
    <xf numFmtId="165" fontId="35" fillId="0" borderId="2" xfId="63" applyFont="1" applyBorder="1" applyAlignment="1">
      <alignment horizontal="center"/>
    </xf>
    <xf numFmtId="165" fontId="34" fillId="0" borderId="9" xfId="0" applyNumberFormat="1" applyFont="1" applyBorder="1"/>
    <xf numFmtId="165" fontId="34" fillId="0" borderId="2" xfId="0" applyNumberFormat="1" applyFont="1" applyBorder="1"/>
    <xf numFmtId="165" fontId="34" fillId="0" borderId="48" xfId="0" applyNumberFormat="1" applyFont="1" applyBorder="1"/>
    <xf numFmtId="165" fontId="34" fillId="0" borderId="2" xfId="0" applyNumberFormat="1" applyFont="1" applyFill="1" applyBorder="1"/>
    <xf numFmtId="0" fontId="34" fillId="0" borderId="41" xfId="0" applyFont="1" applyBorder="1"/>
    <xf numFmtId="165" fontId="35" fillId="0" borderId="2" xfId="63" applyFont="1" applyFill="1" applyBorder="1" applyAlignment="1">
      <alignment horizontal="center"/>
    </xf>
    <xf numFmtId="165" fontId="35" fillId="0" borderId="41" xfId="63" applyFont="1" applyFill="1" applyBorder="1" applyAlignment="1">
      <alignment horizontal="center"/>
    </xf>
    <xf numFmtId="165" fontId="34" fillId="4" borderId="2" xfId="63" applyFont="1" applyFill="1" applyBorder="1"/>
    <xf numFmtId="0" fontId="34" fillId="0" borderId="0" xfId="0" applyFont="1" applyFill="1" applyBorder="1"/>
    <xf numFmtId="0" fontId="35" fillId="0" borderId="0" xfId="0" applyFont="1" applyFill="1" applyAlignment="1">
      <alignment horizontal="center"/>
    </xf>
    <xf numFmtId="0" fontId="35" fillId="0" borderId="2" xfId="0" applyFont="1" applyFill="1" applyBorder="1" applyAlignment="1">
      <alignment horizontal="center"/>
    </xf>
    <xf numFmtId="0" fontId="34" fillId="0" borderId="41" xfId="0" applyFont="1" applyFill="1" applyBorder="1"/>
    <xf numFmtId="0" fontId="34" fillId="0" borderId="47" xfId="0" applyFont="1" applyBorder="1" applyAlignment="1">
      <alignment wrapText="1"/>
    </xf>
    <xf numFmtId="165" fontId="34" fillId="0" borderId="0" xfId="0" applyNumberFormat="1" applyFont="1" applyFill="1" applyBorder="1"/>
    <xf numFmtId="0" fontId="34" fillId="0" borderId="15" xfId="0" applyFont="1" applyBorder="1"/>
    <xf numFmtId="165" fontId="35" fillId="0" borderId="0" xfId="0" applyNumberFormat="1" applyFont="1" applyBorder="1"/>
    <xf numFmtId="165" fontId="35" fillId="0" borderId="43" xfId="0" applyNumberFormat="1" applyFont="1" applyBorder="1"/>
    <xf numFmtId="165" fontId="35" fillId="0" borderId="1" xfId="0" applyNumberFormat="1" applyFont="1" applyBorder="1"/>
    <xf numFmtId="0" fontId="34" fillId="0" borderId="16" xfId="0" applyFont="1" applyBorder="1"/>
    <xf numFmtId="0" fontId="34" fillId="0" borderId="12" xfId="0" applyFont="1" applyBorder="1"/>
    <xf numFmtId="165" fontId="34" fillId="0" borderId="11" xfId="63" applyFont="1" applyBorder="1"/>
    <xf numFmtId="165" fontId="34" fillId="0" borderId="0" xfId="63" applyFont="1" applyBorder="1"/>
    <xf numFmtId="0" fontId="35" fillId="0" borderId="47" xfId="0" applyFont="1" applyBorder="1"/>
    <xf numFmtId="0" fontId="35" fillId="0" borderId="2" xfId="0" applyFont="1" applyFill="1" applyBorder="1" applyAlignment="1">
      <alignment wrapText="1"/>
    </xf>
    <xf numFmtId="0" fontId="35" fillId="0" borderId="2" xfId="0" applyFont="1" applyBorder="1" applyAlignment="1">
      <alignment wrapText="1"/>
    </xf>
    <xf numFmtId="0" fontId="35" fillId="0" borderId="0" xfId="0" applyFont="1" applyBorder="1" applyAlignment="1">
      <alignment vertical="center"/>
    </xf>
    <xf numFmtId="0" fontId="34" fillId="0" borderId="2" xfId="0" applyFont="1" applyBorder="1" applyAlignment="1">
      <alignment wrapText="1"/>
    </xf>
    <xf numFmtId="165" fontId="34" fillId="0" borderId="51" xfId="63" applyFont="1" applyBorder="1" applyAlignment="1">
      <alignment wrapText="1"/>
    </xf>
    <xf numFmtId="165" fontId="34" fillId="8" borderId="2" xfId="0" applyNumberFormat="1" applyFont="1" applyFill="1" applyBorder="1"/>
    <xf numFmtId="165" fontId="34" fillId="0" borderId="51" xfId="63" applyFont="1" applyBorder="1" applyAlignment="1"/>
    <xf numFmtId="167" fontId="34" fillId="0" borderId="0" xfId="0" applyNumberFormat="1" applyFont="1" applyBorder="1"/>
    <xf numFmtId="165" fontId="34" fillId="0" borderId="0" xfId="0" applyNumberFormat="1" applyFont="1" applyBorder="1"/>
    <xf numFmtId="0" fontId="34" fillId="0" borderId="15" xfId="0" applyFont="1" applyBorder="1" applyAlignment="1">
      <alignment wrapText="1"/>
    </xf>
    <xf numFmtId="165" fontId="34" fillId="0" borderId="0" xfId="63" applyFont="1" applyFill="1" applyBorder="1"/>
    <xf numFmtId="165" fontId="34" fillId="0" borderId="11" xfId="0" applyNumberFormat="1" applyFont="1" applyBorder="1"/>
    <xf numFmtId="165" fontId="34" fillId="0" borderId="0" xfId="0" applyNumberFormat="1" applyFont="1"/>
    <xf numFmtId="0" fontId="34" fillId="0" borderId="0" xfId="0" applyFont="1" applyAlignment="1">
      <alignment horizontal="center"/>
    </xf>
    <xf numFmtId="0" fontId="35" fillId="0" borderId="1" xfId="0" applyFont="1" applyBorder="1" applyAlignment="1">
      <alignment horizontal="center"/>
    </xf>
    <xf numFmtId="0" fontId="35" fillId="0" borderId="15" xfId="0" applyFont="1" applyBorder="1"/>
    <xf numFmtId="0" fontId="43" fillId="0" borderId="47" xfId="0" applyFont="1" applyFill="1" applyBorder="1"/>
    <xf numFmtId="0" fontId="43" fillId="0" borderId="2" xfId="0" applyFont="1" applyFill="1" applyBorder="1"/>
    <xf numFmtId="0" fontId="35" fillId="0" borderId="2" xfId="0" applyFont="1" applyBorder="1"/>
    <xf numFmtId="165" fontId="34" fillId="0" borderId="2" xfId="63" applyNumberFormat="1" applyFont="1" applyFill="1" applyBorder="1"/>
    <xf numFmtId="0" fontId="34" fillId="9" borderId="8" xfId="0" applyFont="1" applyFill="1" applyBorder="1" applyAlignment="1">
      <alignment horizontal="center"/>
    </xf>
    <xf numFmtId="169" fontId="36" fillId="0" borderId="11" xfId="0" applyNumberFormat="1" applyFont="1" applyFill="1" applyBorder="1"/>
    <xf numFmtId="165" fontId="34" fillId="0" borderId="43" xfId="0" applyNumberFormat="1" applyFont="1" applyBorder="1"/>
    <xf numFmtId="0" fontId="34" fillId="10" borderId="8" xfId="0" applyFont="1" applyFill="1" applyBorder="1" applyAlignment="1">
      <alignment horizontal="center"/>
    </xf>
    <xf numFmtId="0" fontId="43" fillId="0" borderId="11" xfId="0" applyFont="1" applyFill="1" applyBorder="1"/>
    <xf numFmtId="165" fontId="35" fillId="0" borderId="11" xfId="0" applyNumberFormat="1" applyFont="1" applyBorder="1"/>
    <xf numFmtId="0" fontId="34" fillId="4" borderId="8" xfId="0" applyFont="1" applyFill="1" applyBorder="1" applyAlignment="1">
      <alignment horizontal="center"/>
    </xf>
    <xf numFmtId="165" fontId="34" fillId="0" borderId="17" xfId="0" applyNumberFormat="1" applyFont="1" applyBorder="1"/>
    <xf numFmtId="0" fontId="35" fillId="9" borderId="0" xfId="0" applyFont="1" applyFill="1" applyAlignment="1">
      <alignment horizontal="center"/>
    </xf>
    <xf numFmtId="0" fontId="35" fillId="0" borderId="7" xfId="0" applyFont="1" applyBorder="1" applyAlignment="1">
      <alignment wrapText="1"/>
    </xf>
    <xf numFmtId="17" fontId="35" fillId="0" borderId="2" xfId="0" quotePrefix="1" applyNumberFormat="1" applyFont="1" applyBorder="1"/>
    <xf numFmtId="0" fontId="35" fillId="0" borderId="2" xfId="0" quotePrefix="1" applyFont="1" applyBorder="1"/>
    <xf numFmtId="17" fontId="35" fillId="0" borderId="9" xfId="0" quotePrefix="1" applyNumberFormat="1" applyFont="1" applyBorder="1"/>
    <xf numFmtId="17" fontId="35" fillId="0" borderId="39" xfId="0" quotePrefix="1" applyNumberFormat="1" applyFont="1" applyBorder="1"/>
    <xf numFmtId="0" fontId="35" fillId="0" borderId="5" xfId="0" quotePrefix="1" applyFont="1" applyBorder="1"/>
    <xf numFmtId="0" fontId="35" fillId="0" borderId="38" xfId="0" quotePrefix="1" applyFont="1" applyBorder="1"/>
    <xf numFmtId="0" fontId="35" fillId="0" borderId="2" xfId="0" applyFont="1" applyFill="1" applyBorder="1"/>
    <xf numFmtId="0" fontId="35" fillId="0" borderId="39" xfId="0" applyFont="1" applyBorder="1" applyAlignment="1">
      <alignment wrapText="1"/>
    </xf>
    <xf numFmtId="165" fontId="35" fillId="0" borderId="2" xfId="0" applyNumberFormat="1" applyFont="1" applyBorder="1"/>
    <xf numFmtId="165" fontId="35" fillId="0" borderId="9" xfId="0" applyNumberFormat="1" applyFont="1" applyBorder="1"/>
    <xf numFmtId="165" fontId="35" fillId="0" borderId="6" xfId="0" applyNumberFormat="1" applyFont="1" applyBorder="1"/>
    <xf numFmtId="165" fontId="35" fillId="0" borderId="9" xfId="63" applyFont="1" applyBorder="1"/>
    <xf numFmtId="165" fontId="35" fillId="0" borderId="7" xfId="0" applyNumberFormat="1" applyFont="1" applyFill="1" applyBorder="1"/>
    <xf numFmtId="165" fontId="35" fillId="0" borderId="52" xfId="0" applyNumberFormat="1" applyFont="1" applyFill="1" applyBorder="1"/>
    <xf numFmtId="165" fontId="35" fillId="0" borderId="22" xfId="63" applyFont="1" applyFill="1" applyBorder="1"/>
    <xf numFmtId="0" fontId="34" fillId="0" borderId="9" xfId="0" applyFont="1" applyBorder="1"/>
    <xf numFmtId="0" fontId="34" fillId="0" borderId="53" xfId="0" applyFont="1" applyFill="1" applyBorder="1"/>
    <xf numFmtId="165" fontId="34" fillId="0" borderId="53" xfId="0" applyNumberFormat="1" applyFont="1" applyFill="1" applyBorder="1"/>
    <xf numFmtId="165" fontId="34" fillId="0" borderId="53" xfId="63" applyFont="1" applyFill="1" applyBorder="1"/>
    <xf numFmtId="0" fontId="34" fillId="0" borderId="9" xfId="0" applyFont="1" applyFill="1" applyBorder="1"/>
    <xf numFmtId="165" fontId="34" fillId="0" borderId="54" xfId="0" applyNumberFormat="1" applyFont="1" applyFill="1" applyBorder="1"/>
    <xf numFmtId="165" fontId="34" fillId="0" borderId="54" xfId="63" applyFont="1" applyFill="1" applyBorder="1"/>
    <xf numFmtId="165" fontId="34" fillId="0" borderId="55" xfId="63" applyFont="1" applyFill="1" applyBorder="1"/>
    <xf numFmtId="165" fontId="34" fillId="0" borderId="55" xfId="0" applyNumberFormat="1" applyFont="1" applyFill="1" applyBorder="1"/>
    <xf numFmtId="165" fontId="35" fillId="0" borderId="43" xfId="0" applyNumberFormat="1" applyFont="1" applyFill="1" applyBorder="1"/>
    <xf numFmtId="165" fontId="35" fillId="0" borderId="56" xfId="0" applyNumberFormat="1" applyFont="1" applyFill="1" applyBorder="1"/>
    <xf numFmtId="165" fontId="35" fillId="0" borderId="43" xfId="63" applyFont="1" applyFill="1" applyBorder="1"/>
    <xf numFmtId="165" fontId="35" fillId="0" borderId="0" xfId="0" applyNumberFormat="1" applyFont="1" applyFill="1" applyBorder="1"/>
    <xf numFmtId="0" fontId="35" fillId="0" borderId="9" xfId="0" applyFont="1" applyBorder="1" applyAlignment="1">
      <alignment wrapText="1"/>
    </xf>
    <xf numFmtId="0" fontId="35" fillId="0" borderId="13" xfId="0" applyFont="1" applyBorder="1" applyAlignment="1"/>
    <xf numFmtId="0" fontId="35" fillId="0" borderId="0" xfId="0" applyFont="1" applyBorder="1" applyAlignment="1"/>
    <xf numFmtId="0" fontId="35" fillId="0" borderId="0" xfId="0" applyFont="1" applyBorder="1" applyAlignment="1">
      <alignment wrapText="1"/>
    </xf>
    <xf numFmtId="0" fontId="34" fillId="0" borderId="0" xfId="0" applyFont="1" applyFill="1"/>
    <xf numFmtId="0" fontId="35" fillId="0" borderId="9" xfId="0" quotePrefix="1" applyFont="1" applyBorder="1"/>
    <xf numFmtId="17" fontId="35" fillId="0" borderId="0" xfId="0" quotePrefix="1" applyNumberFormat="1" applyFont="1" applyBorder="1"/>
    <xf numFmtId="0" fontId="35" fillId="0" borderId="0" xfId="0" applyFont="1" applyBorder="1"/>
    <xf numFmtId="0" fontId="35" fillId="0" borderId="0" xfId="0" quotePrefix="1" applyFont="1" applyBorder="1"/>
    <xf numFmtId="0" fontId="35" fillId="0" borderId="0" xfId="0" applyFont="1" applyFill="1" applyBorder="1"/>
    <xf numFmtId="165" fontId="35" fillId="0" borderId="0" xfId="63" applyFont="1" applyBorder="1"/>
    <xf numFmtId="165" fontId="35" fillId="0" borderId="22" xfId="0" applyNumberFormat="1" applyFont="1" applyFill="1" applyBorder="1"/>
    <xf numFmtId="165" fontId="35" fillId="0" borderId="0" xfId="63" applyFont="1" applyFill="1" applyBorder="1"/>
    <xf numFmtId="0" fontId="34" fillId="0" borderId="57" xfId="0" applyFont="1" applyFill="1" applyBorder="1"/>
    <xf numFmtId="165" fontId="34" fillId="0" borderId="58" xfId="0" applyNumberFormat="1" applyFont="1" applyFill="1" applyBorder="1"/>
    <xf numFmtId="165" fontId="34" fillId="0" borderId="59" xfId="63" applyFont="1" applyFill="1" applyBorder="1"/>
    <xf numFmtId="0" fontId="34" fillId="10" borderId="22" xfId="0" applyFont="1" applyFill="1" applyBorder="1" applyAlignment="1">
      <alignment horizontal="center"/>
    </xf>
    <xf numFmtId="0" fontId="34" fillId="0" borderId="40" xfId="0" applyFont="1" applyBorder="1"/>
    <xf numFmtId="165" fontId="34" fillId="0" borderId="40" xfId="0" applyNumberFormat="1" applyFont="1" applyBorder="1"/>
    <xf numFmtId="0" fontId="34" fillId="0" borderId="52" xfId="0" applyFont="1" applyBorder="1"/>
    <xf numFmtId="0" fontId="34" fillId="0" borderId="44" xfId="0" applyFont="1" applyBorder="1"/>
    <xf numFmtId="0" fontId="43" fillId="0" borderId="9" xfId="0" applyFont="1" applyFill="1" applyBorder="1"/>
    <xf numFmtId="0" fontId="35" fillId="0" borderId="41" xfId="0" applyFont="1" applyBorder="1"/>
    <xf numFmtId="0" fontId="36" fillId="0" borderId="41" xfId="0" applyFont="1" applyFill="1" applyBorder="1"/>
    <xf numFmtId="0" fontId="34" fillId="0" borderId="38" xfId="0" applyFont="1" applyBorder="1"/>
    <xf numFmtId="165" fontId="34" fillId="0" borderId="21" xfId="0" applyNumberFormat="1" applyFont="1" applyBorder="1"/>
    <xf numFmtId="0" fontId="34" fillId="0" borderId="39" xfId="0" applyFont="1" applyBorder="1"/>
    <xf numFmtId="165" fontId="35" fillId="11" borderId="2" xfId="63" applyFont="1" applyFill="1" applyBorder="1" applyAlignment="1">
      <alignment horizontal="center"/>
    </xf>
    <xf numFmtId="165" fontId="35" fillId="0" borderId="0" xfId="0" applyNumberFormat="1" applyFont="1"/>
    <xf numFmtId="165" fontId="35" fillId="0" borderId="0" xfId="63" applyFont="1"/>
    <xf numFmtId="165" fontId="35" fillId="0" borderId="45" xfId="0" applyNumberFormat="1" applyFont="1" applyBorder="1"/>
    <xf numFmtId="0" fontId="25" fillId="0" borderId="2" xfId="0" quotePrefix="1" applyNumberFormat="1" applyFont="1" applyBorder="1" applyAlignment="1">
      <alignment horizontal="center"/>
    </xf>
    <xf numFmtId="165" fontId="35" fillId="12" borderId="17" xfId="0" applyNumberFormat="1" applyFont="1" applyFill="1" applyBorder="1"/>
    <xf numFmtId="171" fontId="36" fillId="0" borderId="2" xfId="2" applyNumberFormat="1" applyFont="1" applyFill="1" applyBorder="1" applyAlignment="1">
      <alignment horizontal="left" wrapText="1"/>
    </xf>
    <xf numFmtId="1" fontId="36" fillId="0" borderId="2" xfId="2" applyNumberFormat="1" applyFont="1" applyFill="1" applyBorder="1" applyAlignment="1">
      <alignment horizontal="right" wrapText="1"/>
    </xf>
    <xf numFmtId="168" fontId="36" fillId="0" borderId="2" xfId="2" applyFont="1" applyFill="1" applyBorder="1" applyAlignment="1">
      <alignment horizontal="left" vertical="center"/>
    </xf>
    <xf numFmtId="0" fontId="36" fillId="0" borderId="13" xfId="1" applyNumberFormat="1" applyFont="1" applyFill="1" applyBorder="1" applyAlignment="1">
      <alignment horizontal="left" vertical="center" wrapText="1"/>
    </xf>
    <xf numFmtId="165" fontId="0" fillId="0" borderId="0" xfId="63" applyFont="1"/>
    <xf numFmtId="165" fontId="0" fillId="0" borderId="0" xfId="0" applyNumberFormat="1"/>
    <xf numFmtId="165" fontId="52" fillId="0" borderId="2" xfId="70" quotePrefix="1" applyNumberFormat="1" applyFont="1" applyBorder="1" applyAlignment="1" applyProtection="1"/>
    <xf numFmtId="165" fontId="48" fillId="0" borderId="0" xfId="70" applyNumberFormat="1" applyFont="1" applyBorder="1" applyAlignment="1" applyProtection="1"/>
    <xf numFmtId="4" fontId="22" fillId="0" borderId="0" xfId="63" applyNumberFormat="1" applyFont="1" applyFill="1" applyBorder="1" applyAlignment="1"/>
    <xf numFmtId="167" fontId="22" fillId="0" borderId="0" xfId="63" applyNumberFormat="1" applyFont="1" applyFill="1" applyBorder="1" applyAlignment="1">
      <alignment horizontal="right"/>
    </xf>
    <xf numFmtId="167" fontId="0" fillId="0" borderId="0" xfId="63" applyNumberFormat="1" applyFont="1" applyBorder="1" applyAlignment="1"/>
    <xf numFmtId="4" fontId="21" fillId="0" borderId="0" xfId="63" applyNumberFormat="1" applyFont="1" applyFill="1" applyBorder="1" applyAlignment="1"/>
    <xf numFmtId="3" fontId="21" fillId="0" borderId="0" xfId="63" applyNumberFormat="1" applyFont="1" applyFill="1" applyBorder="1" applyAlignment="1"/>
    <xf numFmtId="3" fontId="21" fillId="0" borderId="0" xfId="63" applyNumberFormat="1" applyFont="1" applyBorder="1" applyAlignment="1"/>
    <xf numFmtId="14" fontId="4" fillId="0" borderId="11" xfId="0" applyNumberFormat="1" applyFont="1" applyFill="1" applyBorder="1" applyAlignment="1">
      <alignment horizontal="right"/>
    </xf>
    <xf numFmtId="0" fontId="4" fillId="0" borderId="11" xfId="0" applyFont="1" applyFill="1" applyBorder="1" applyAlignment="1">
      <alignment horizontal="right"/>
    </xf>
    <xf numFmtId="0" fontId="16" fillId="0" borderId="15" xfId="0" applyFont="1" applyFill="1" applyBorder="1"/>
    <xf numFmtId="0" fontId="16" fillId="0" borderId="11" xfId="0" applyFont="1" applyFill="1" applyBorder="1"/>
    <xf numFmtId="0" fontId="21" fillId="0" borderId="46" xfId="0" applyFont="1" applyBorder="1" applyAlignment="1"/>
    <xf numFmtId="0" fontId="27" fillId="0" borderId="61" xfId="0" applyFont="1" applyBorder="1" applyAlignment="1">
      <alignment horizontal="center"/>
    </xf>
    <xf numFmtId="0" fontId="21" fillId="0" borderId="15" xfId="0" applyFont="1" applyBorder="1" applyAlignment="1">
      <alignment wrapText="1"/>
    </xf>
    <xf numFmtId="0" fontId="27" fillId="0" borderId="62" xfId="0" applyFont="1" applyBorder="1" applyAlignment="1">
      <alignment horizontal="center"/>
    </xf>
    <xf numFmtId="0" fontId="21" fillId="0" borderId="15" xfId="0" applyFont="1" applyBorder="1" applyAlignment="1"/>
    <xf numFmtId="169" fontId="21" fillId="0" borderId="63" xfId="63" applyNumberFormat="1" applyFont="1" applyBorder="1" applyAlignment="1">
      <alignment wrapText="1"/>
    </xf>
    <xf numFmtId="0" fontId="28" fillId="0" borderId="15" xfId="0" applyFont="1" applyBorder="1" applyAlignment="1"/>
    <xf numFmtId="0" fontId="21" fillId="0" borderId="64" xfId="0" applyFont="1" applyBorder="1" applyAlignment="1"/>
    <xf numFmtId="169" fontId="27" fillId="0" borderId="65" xfId="63" applyNumberFormat="1" applyFont="1" applyBorder="1" applyAlignment="1">
      <alignment wrapText="1"/>
    </xf>
    <xf numFmtId="169" fontId="27" fillId="0" borderId="11" xfId="63" applyNumberFormat="1" applyFont="1" applyBorder="1" applyAlignment="1">
      <alignment wrapText="1"/>
    </xf>
    <xf numFmtId="0" fontId="27" fillId="0" borderId="15" xfId="0" applyFont="1" applyBorder="1" applyAlignment="1"/>
    <xf numFmtId="0" fontId="27" fillId="0" borderId="11" xfId="63" applyNumberFormat="1" applyFont="1" applyBorder="1" applyAlignment="1">
      <alignment wrapText="1"/>
    </xf>
    <xf numFmtId="0" fontId="21" fillId="0" borderId="15" xfId="0" applyFont="1" applyBorder="1" applyAlignment="1">
      <alignment vertical="top"/>
    </xf>
    <xf numFmtId="0" fontId="21" fillId="0" borderId="15" xfId="0" applyFont="1" applyFill="1" applyBorder="1" applyAlignment="1"/>
    <xf numFmtId="165" fontId="21" fillId="0" borderId="11" xfId="63" applyFont="1" applyBorder="1" applyAlignment="1">
      <alignment wrapText="1"/>
    </xf>
    <xf numFmtId="168" fontId="21" fillId="0" borderId="15" xfId="2" applyFont="1" applyFill="1" applyBorder="1" applyAlignment="1">
      <alignment horizontal="left"/>
    </xf>
    <xf numFmtId="0" fontId="21" fillId="0" borderId="15" xfId="0" applyFont="1" applyBorder="1" applyAlignment="1">
      <alignment horizontal="left"/>
    </xf>
    <xf numFmtId="0" fontId="21" fillId="0" borderId="49" xfId="0" applyFont="1" applyBorder="1" applyAlignment="1">
      <alignment vertical="top"/>
    </xf>
    <xf numFmtId="0" fontId="22" fillId="0" borderId="49" xfId="0" applyFont="1" applyBorder="1" applyAlignment="1">
      <alignment vertical="top"/>
    </xf>
    <xf numFmtId="0" fontId="22" fillId="0" borderId="49" xfId="0" applyFont="1" applyBorder="1" applyAlignment="1"/>
    <xf numFmtId="0" fontId="22" fillId="0" borderId="15" xfId="0" applyFont="1" applyBorder="1" applyAlignment="1"/>
    <xf numFmtId="0" fontId="31" fillId="0" borderId="15" xfId="0" applyFont="1" applyBorder="1" applyAlignment="1"/>
    <xf numFmtId="0" fontId="21" fillId="0" borderId="15" xfId="0" applyFont="1" applyFill="1" applyBorder="1" applyAlignment="1">
      <alignment horizontal="left"/>
    </xf>
    <xf numFmtId="0" fontId="19" fillId="0" borderId="15" xfId="0" applyFont="1" applyBorder="1"/>
    <xf numFmtId="0" fontId="21" fillId="0" borderId="16" xfId="0" applyFont="1" applyBorder="1" applyAlignment="1">
      <alignment vertical="top"/>
    </xf>
    <xf numFmtId="0" fontId="21" fillId="0" borderId="17" xfId="0" applyFont="1" applyBorder="1" applyAlignment="1">
      <alignment vertical="top"/>
    </xf>
    <xf numFmtId="165" fontId="27" fillId="0" borderId="66" xfId="63" applyFont="1" applyBorder="1" applyAlignment="1">
      <alignment vertical="top"/>
    </xf>
    <xf numFmtId="0" fontId="17" fillId="0" borderId="0" xfId="0" applyFont="1" applyFill="1" applyBorder="1" applyAlignment="1">
      <alignment horizontal="center"/>
    </xf>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17" xfId="0" applyFont="1" applyFill="1" applyBorder="1" applyAlignment="1">
      <alignment horizontal="center"/>
    </xf>
    <xf numFmtId="0" fontId="16" fillId="0" borderId="0" xfId="0" applyFont="1" applyFill="1" applyBorder="1" applyAlignment="1">
      <alignment horizontal="center"/>
    </xf>
    <xf numFmtId="0" fontId="21" fillId="0" borderId="14" xfId="0" applyFont="1" applyBorder="1" applyAlignment="1">
      <alignment horizontal="center"/>
    </xf>
    <xf numFmtId="169" fontId="21" fillId="0" borderId="0" xfId="63" applyNumberFormat="1" applyFont="1" applyBorder="1" applyAlignment="1">
      <alignment horizontal="center" wrapText="1"/>
    </xf>
    <xf numFmtId="169" fontId="27" fillId="0" borderId="21" xfId="63" applyNumberFormat="1" applyFont="1" applyBorder="1" applyAlignment="1">
      <alignment horizontal="center" wrapText="1"/>
    </xf>
    <xf numFmtId="169" fontId="27" fillId="0" borderId="0" xfId="63" applyNumberFormat="1" applyFont="1" applyBorder="1" applyAlignment="1">
      <alignment horizontal="center" wrapText="1"/>
    </xf>
    <xf numFmtId="0" fontId="9" fillId="0" borderId="0" xfId="0" applyFont="1" applyBorder="1" applyAlignment="1">
      <alignment horizontal="center" vertical="center"/>
    </xf>
    <xf numFmtId="0" fontId="0" fillId="0" borderId="0" xfId="0" applyBorder="1" applyAlignment="1">
      <alignment horizontal="center"/>
    </xf>
    <xf numFmtId="0" fontId="9" fillId="0" borderId="0" xfId="0" applyFont="1" applyBorder="1" applyAlignment="1">
      <alignment horizontal="center"/>
    </xf>
    <xf numFmtId="0" fontId="28" fillId="0" borderId="0" xfId="0" applyFont="1" applyBorder="1" applyAlignment="1">
      <alignment horizontal="center" vertical="center"/>
    </xf>
    <xf numFmtId="0" fontId="28" fillId="0" borderId="0" xfId="0" applyFont="1" applyBorder="1" applyAlignment="1">
      <alignment horizontal="center" vertical="top" wrapText="1"/>
    </xf>
    <xf numFmtId="0" fontId="28" fillId="0" borderId="0" xfId="0" applyFont="1" applyBorder="1" applyAlignment="1">
      <alignment horizontal="center" wrapText="1"/>
    </xf>
    <xf numFmtId="0" fontId="21" fillId="0" borderId="17" xfId="0" applyFont="1" applyBorder="1" applyAlignment="1">
      <alignment horizontal="center" vertical="top"/>
    </xf>
    <xf numFmtId="165" fontId="29" fillId="0" borderId="0" xfId="63" applyFont="1" applyAlignment="1">
      <alignment horizontal="center"/>
    </xf>
    <xf numFmtId="165" fontId="3" fillId="0" borderId="0" xfId="63" applyFont="1" applyAlignment="1">
      <alignment horizontal="center"/>
    </xf>
    <xf numFmtId="0" fontId="29" fillId="0" borderId="0" xfId="0" applyFont="1" applyAlignment="1">
      <alignment horizontal="center"/>
    </xf>
    <xf numFmtId="0" fontId="0" fillId="0" borderId="0" xfId="0" applyAlignment="1">
      <alignment horizontal="center"/>
    </xf>
    <xf numFmtId="0" fontId="46" fillId="4" borderId="10" xfId="0" applyFont="1" applyFill="1" applyBorder="1" applyAlignment="1">
      <alignment horizontal="center"/>
    </xf>
    <xf numFmtId="0" fontId="21" fillId="0" borderId="15" xfId="0" applyFont="1" applyFill="1" applyBorder="1" applyAlignment="1">
      <alignment wrapText="1"/>
    </xf>
    <xf numFmtId="0" fontId="4" fillId="0" borderId="0" xfId="0" applyFont="1" applyBorder="1" applyAlignment="1">
      <alignment wrapText="1"/>
    </xf>
    <xf numFmtId="172" fontId="36" fillId="0" borderId="2" xfId="2" applyNumberFormat="1" applyFont="1" applyFill="1" applyBorder="1" applyAlignment="1">
      <alignment horizontal="center"/>
    </xf>
    <xf numFmtId="165" fontId="21" fillId="0" borderId="0" xfId="63" applyFont="1" applyBorder="1" applyAlignment="1">
      <alignment wrapText="1"/>
    </xf>
    <xf numFmtId="165" fontId="27" fillId="0" borderId="0" xfId="63" applyNumberFormat="1" applyFont="1" applyBorder="1" applyAlignment="1">
      <alignment wrapText="1"/>
    </xf>
    <xf numFmtId="165" fontId="27" fillId="4" borderId="66" xfId="63" applyFont="1" applyFill="1" applyBorder="1" applyAlignment="1">
      <alignment vertical="top"/>
    </xf>
    <xf numFmtId="0" fontId="45" fillId="0" borderId="15" xfId="0" applyFont="1" applyFill="1" applyBorder="1"/>
    <xf numFmtId="0" fontId="45" fillId="0" borderId="0" xfId="0" applyFont="1" applyFill="1" applyBorder="1"/>
    <xf numFmtId="0" fontId="45" fillId="0" borderId="12" xfId="0" applyFont="1" applyFill="1" applyBorder="1"/>
    <xf numFmtId="0" fontId="45" fillId="0" borderId="14" xfId="0" applyFont="1" applyFill="1" applyBorder="1"/>
    <xf numFmtId="0" fontId="55" fillId="0" borderId="14" xfId="0" applyFont="1" applyBorder="1" applyAlignment="1">
      <alignment horizontal="center"/>
    </xf>
    <xf numFmtId="15" fontId="32" fillId="0" borderId="0" xfId="0" applyNumberFormat="1" applyFont="1" applyFill="1" applyBorder="1"/>
    <xf numFmtId="0" fontId="32" fillId="0" borderId="0" xfId="0" applyFont="1" applyFill="1" applyBorder="1"/>
    <xf numFmtId="0" fontId="45" fillId="0" borderId="16" xfId="0" applyFont="1" applyFill="1" applyBorder="1"/>
    <xf numFmtId="0" fontId="32" fillId="0" borderId="15" xfId="0" applyFont="1" applyFill="1" applyBorder="1"/>
    <xf numFmtId="165" fontId="32" fillId="0" borderId="0" xfId="0" applyNumberFormat="1" applyFont="1" applyFill="1" applyBorder="1"/>
    <xf numFmtId="0" fontId="0" fillId="0" borderId="21" xfId="0" applyBorder="1"/>
    <xf numFmtId="0" fontId="0" fillId="0" borderId="47" xfId="0" applyBorder="1"/>
    <xf numFmtId="0" fontId="19" fillId="0" borderId="9" xfId="0" applyFont="1" applyBorder="1" applyAlignment="1">
      <alignment horizontal="center"/>
    </xf>
    <xf numFmtId="0" fontId="19" fillId="0" borderId="2" xfId="0" applyFont="1" applyBorder="1" applyAlignment="1">
      <alignment horizontal="center" wrapText="1"/>
    </xf>
    <xf numFmtId="0" fontId="19" fillId="13" borderId="9" xfId="0" applyFont="1" applyFill="1" applyBorder="1" applyAlignment="1">
      <alignment horizontal="center" wrapText="1"/>
    </xf>
    <xf numFmtId="165" fontId="0" fillId="13" borderId="2" xfId="63" applyFont="1" applyFill="1" applyBorder="1"/>
    <xf numFmtId="165" fontId="32" fillId="0" borderId="2" xfId="63" applyFont="1" applyFill="1" applyBorder="1"/>
    <xf numFmtId="165" fontId="56" fillId="0" borderId="2" xfId="63" applyFont="1" applyFill="1" applyBorder="1"/>
    <xf numFmtId="165" fontId="0" fillId="0" borderId="9" xfId="0" applyNumberFormat="1" applyFill="1" applyBorder="1"/>
    <xf numFmtId="165" fontId="0" fillId="0" borderId="2" xfId="0" applyNumberFormat="1" applyFill="1" applyBorder="1"/>
    <xf numFmtId="165" fontId="0" fillId="0" borderId="48" xfId="0" applyNumberFormat="1" applyFill="1" applyBorder="1"/>
    <xf numFmtId="165" fontId="54" fillId="0" borderId="2" xfId="0" applyNumberFormat="1" applyFont="1" applyFill="1" applyBorder="1"/>
    <xf numFmtId="165" fontId="56" fillId="0" borderId="2" xfId="63" applyFont="1" applyFill="1" applyBorder="1" applyAlignment="1">
      <alignment horizontal="center"/>
    </xf>
    <xf numFmtId="165" fontId="54" fillId="0" borderId="2" xfId="63" applyFont="1" applyFill="1" applyBorder="1"/>
    <xf numFmtId="0" fontId="0" fillId="0" borderId="47" xfId="0" applyBorder="1" applyAlignment="1">
      <alignment wrapText="1"/>
    </xf>
    <xf numFmtId="165" fontId="0" fillId="0" borderId="2" xfId="63" applyFont="1" applyFill="1" applyBorder="1" applyAlignment="1"/>
    <xf numFmtId="165" fontId="56" fillId="0" borderId="2" xfId="63" applyFont="1" applyBorder="1"/>
    <xf numFmtId="165" fontId="19" fillId="0" borderId="1" xfId="0" applyNumberFormat="1" applyFont="1" applyBorder="1"/>
    <xf numFmtId="165" fontId="45" fillId="0" borderId="1" xfId="0" applyNumberFormat="1" applyFont="1" applyBorder="1"/>
    <xf numFmtId="0" fontId="57" fillId="0" borderId="15" xfId="0" applyFont="1" applyBorder="1"/>
    <xf numFmtId="165" fontId="0" fillId="0" borderId="0" xfId="63" applyFont="1" applyBorder="1"/>
    <xf numFmtId="165" fontId="58" fillId="0" borderId="0" xfId="0" applyNumberFormat="1" applyFont="1" applyBorder="1"/>
    <xf numFmtId="165" fontId="0" fillId="0" borderId="11" xfId="63" applyFont="1" applyBorder="1"/>
    <xf numFmtId="0" fontId="19" fillId="0" borderId="47" xfId="0" applyFont="1" applyBorder="1"/>
    <xf numFmtId="0" fontId="19" fillId="0" borderId="2" xfId="0" applyFont="1" applyFill="1" applyBorder="1" applyAlignment="1">
      <alignment wrapText="1"/>
    </xf>
    <xf numFmtId="0" fontId="19" fillId="0" borderId="2" xfId="0" applyFont="1" applyBorder="1" applyAlignment="1">
      <alignment wrapText="1"/>
    </xf>
    <xf numFmtId="0" fontId="19" fillId="0" borderId="2" xfId="0" applyFont="1" applyFill="1" applyBorder="1" applyAlignment="1">
      <alignment horizontal="center" wrapText="1"/>
    </xf>
    <xf numFmtId="0" fontId="19" fillId="0" borderId="2" xfId="0" applyFont="1" applyBorder="1" applyAlignment="1">
      <alignment horizontal="center" vertical="top" wrapText="1"/>
    </xf>
    <xf numFmtId="165" fontId="19" fillId="0" borderId="51" xfId="63" applyFont="1" applyBorder="1" applyAlignment="1">
      <alignment horizontal="center" vertical="top" wrapText="1"/>
    </xf>
    <xf numFmtId="165" fontId="0" fillId="0" borderId="2" xfId="0" applyNumberFormat="1" applyBorder="1"/>
    <xf numFmtId="165" fontId="0" fillId="14" borderId="2" xfId="0" applyNumberFormat="1" applyFill="1" applyBorder="1"/>
    <xf numFmtId="165" fontId="0" fillId="0" borderId="2" xfId="63" applyFont="1" applyBorder="1"/>
    <xf numFmtId="165" fontId="0" fillId="0" borderId="51" xfId="63" applyFont="1" applyBorder="1" applyAlignment="1"/>
    <xf numFmtId="0" fontId="0" fillId="0" borderId="15" xfId="0" applyBorder="1" applyAlignment="1">
      <alignment wrapText="1"/>
    </xf>
    <xf numFmtId="165" fontId="0" fillId="0" borderId="0" xfId="63" applyFont="1" applyFill="1" applyBorder="1"/>
    <xf numFmtId="165" fontId="0" fillId="0" borderId="0" xfId="0" applyNumberFormat="1" applyBorder="1"/>
    <xf numFmtId="165" fontId="0" fillId="0" borderId="11" xfId="0" applyNumberFormat="1" applyBorder="1"/>
    <xf numFmtId="165" fontId="56" fillId="0" borderId="0" xfId="63" applyFont="1" applyBorder="1"/>
    <xf numFmtId="0" fontId="59" fillId="0" borderId="0" xfId="70" applyFont="1" applyAlignment="1" applyProtection="1"/>
    <xf numFmtId="0" fontId="53" fillId="7" borderId="0" xfId="0" applyFont="1" applyFill="1"/>
    <xf numFmtId="0" fontId="19" fillId="0" borderId="0" xfId="0" applyFont="1" applyAlignment="1">
      <alignment horizontal="center" wrapText="1"/>
    </xf>
    <xf numFmtId="0" fontId="19" fillId="15" borderId="67" xfId="0" applyFont="1" applyFill="1" applyBorder="1"/>
    <xf numFmtId="0" fontId="0" fillId="0" borderId="19" xfId="0" applyBorder="1"/>
    <xf numFmtId="0" fontId="0" fillId="0" borderId="3" xfId="0" applyBorder="1"/>
    <xf numFmtId="165" fontId="0" fillId="0" borderId="3" xfId="63" applyFont="1" applyBorder="1"/>
    <xf numFmtId="165" fontId="0" fillId="0" borderId="4" xfId="63" applyFont="1" applyBorder="1"/>
    <xf numFmtId="0" fontId="19" fillId="15" borderId="49" xfId="0" applyFont="1" applyFill="1" applyBorder="1"/>
    <xf numFmtId="165" fontId="0" fillId="0" borderId="14" xfId="63" applyFont="1" applyBorder="1"/>
    <xf numFmtId="165" fontId="0" fillId="0" borderId="10" xfId="63" applyFont="1" applyBorder="1"/>
    <xf numFmtId="165" fontId="0" fillId="0" borderId="17" xfId="63" applyFont="1" applyBorder="1"/>
    <xf numFmtId="165" fontId="0" fillId="0" borderId="18" xfId="63" applyFont="1" applyBorder="1"/>
    <xf numFmtId="0" fontId="19" fillId="15" borderId="49" xfId="0" applyFont="1" applyFill="1" applyBorder="1" applyAlignment="1">
      <alignment wrapText="1"/>
    </xf>
    <xf numFmtId="165" fontId="47" fillId="3" borderId="0" xfId="0" applyNumberFormat="1" applyFont="1" applyFill="1"/>
    <xf numFmtId="0" fontId="19" fillId="0" borderId="2" xfId="0" applyFont="1" applyBorder="1"/>
    <xf numFmtId="0" fontId="0" fillId="0" borderId="2" xfId="0" quotePrefix="1" applyBorder="1"/>
    <xf numFmtId="165" fontId="19" fillId="0" borderId="43" xfId="0" applyNumberFormat="1" applyFont="1" applyBorder="1"/>
    <xf numFmtId="165" fontId="21" fillId="0" borderId="11" xfId="63" applyFont="1" applyFill="1" applyBorder="1" applyAlignment="1">
      <alignment wrapText="1"/>
    </xf>
    <xf numFmtId="43" fontId="21" fillId="0" borderId="0" xfId="0" applyNumberFormat="1" applyFont="1" applyAlignment="1"/>
    <xf numFmtId="0" fontId="25" fillId="0" borderId="2" xfId="0" quotePrefix="1" applyFont="1" applyBorder="1" applyAlignment="1">
      <alignment horizontal="left" vertical="top"/>
    </xf>
    <xf numFmtId="165" fontId="24" fillId="0" borderId="2" xfId="63" applyFont="1" applyBorder="1" applyAlignment="1">
      <alignment vertical="top"/>
    </xf>
    <xf numFmtId="0" fontId="25" fillId="0" borderId="2" xfId="0" applyFont="1" applyBorder="1" applyAlignment="1">
      <alignment horizontal="center" vertical="top" wrapText="1"/>
    </xf>
    <xf numFmtId="43" fontId="0" fillId="0" borderId="0" xfId="0" applyNumberFormat="1" applyAlignment="1">
      <alignment wrapText="1"/>
    </xf>
    <xf numFmtId="165" fontId="60" fillId="0" borderId="0" xfId="63" applyFont="1" applyAlignment="1"/>
    <xf numFmtId="43" fontId="22" fillId="0" borderId="0" xfId="0" applyNumberFormat="1" applyFont="1" applyAlignment="1"/>
    <xf numFmtId="165" fontId="24" fillId="0" borderId="43" xfId="63" applyFont="1" applyFill="1" applyBorder="1" applyAlignment="1">
      <alignment vertical="top"/>
    </xf>
    <xf numFmtId="165" fontId="24" fillId="0" borderId="20" xfId="63" applyNumberFormat="1" applyFont="1" applyFill="1" applyBorder="1" applyAlignment="1">
      <alignment vertical="top"/>
    </xf>
    <xf numFmtId="165" fontId="24" fillId="0" borderId="20" xfId="63" applyFont="1" applyFill="1" applyBorder="1" applyAlignment="1">
      <alignment vertical="top"/>
    </xf>
    <xf numFmtId="165" fontId="24" fillId="0" borderId="45" xfId="63" applyFont="1" applyFill="1" applyBorder="1" applyAlignment="1">
      <alignment vertical="top"/>
    </xf>
    <xf numFmtId="165" fontId="24" fillId="0" borderId="37" xfId="63" applyFont="1" applyFill="1" applyBorder="1" applyAlignment="1">
      <alignment vertical="top"/>
    </xf>
    <xf numFmtId="165" fontId="24" fillId="0" borderId="25" xfId="63" applyFont="1" applyFill="1" applyBorder="1" applyAlignment="1">
      <alignment vertical="top"/>
    </xf>
    <xf numFmtId="4" fontId="24" fillId="0" borderId="20" xfId="63" applyNumberFormat="1" applyFont="1" applyFill="1" applyBorder="1" applyAlignment="1">
      <alignment vertical="top"/>
    </xf>
    <xf numFmtId="49" fontId="62" fillId="0" borderId="0" xfId="0" applyNumberFormat="1" applyFont="1" applyAlignment="1">
      <alignment wrapText="1"/>
    </xf>
    <xf numFmtId="171" fontId="34" fillId="0" borderId="2" xfId="2" quotePrefix="1" applyNumberFormat="1" applyFont="1" applyFill="1" applyBorder="1" applyAlignment="1">
      <alignment horizontal="left"/>
    </xf>
    <xf numFmtId="167" fontId="21" fillId="0" borderId="0" xfId="63" applyNumberFormat="1" applyFont="1" applyFill="1" applyBorder="1" applyAlignment="1"/>
    <xf numFmtId="169" fontId="21" fillId="0" borderId="8" xfId="63" applyNumberFormat="1" applyFont="1" applyFill="1" applyBorder="1" applyAlignment="1">
      <alignment wrapText="1"/>
    </xf>
    <xf numFmtId="165" fontId="21" fillId="0" borderId="0" xfId="63" applyFont="1" applyFill="1" applyBorder="1" applyAlignment="1">
      <alignment wrapText="1"/>
    </xf>
    <xf numFmtId="0" fontId="0" fillId="0" borderId="68" xfId="0" applyFont="1" applyBorder="1"/>
    <xf numFmtId="0" fontId="63" fillId="0" borderId="33" xfId="0" applyFont="1" applyBorder="1" applyAlignment="1">
      <alignment vertical="center"/>
    </xf>
    <xf numFmtId="0" fontId="63" fillId="0" borderId="15" xfId="0" applyFont="1" applyBorder="1"/>
    <xf numFmtId="0" fontId="63" fillId="0" borderId="15" xfId="0" applyFont="1" applyBorder="1" applyAlignment="1">
      <alignment vertical="center"/>
    </xf>
    <xf numFmtId="0" fontId="8" fillId="0" borderId="19" xfId="0" applyNumberFormat="1" applyFont="1" applyFill="1" applyBorder="1" applyAlignment="1">
      <alignment horizontal="justify"/>
    </xf>
    <xf numFmtId="0" fontId="8" fillId="0" borderId="3" xfId="0" applyNumberFormat="1" applyFont="1" applyFill="1" applyBorder="1" applyAlignment="1">
      <alignment horizontal="justify"/>
    </xf>
    <xf numFmtId="0" fontId="8" fillId="0" borderId="4" xfId="0" applyNumberFormat="1" applyFont="1" applyFill="1" applyBorder="1" applyAlignment="1">
      <alignment horizontal="justify"/>
    </xf>
    <xf numFmtId="0" fontId="46" fillId="4" borderId="14" xfId="0" applyFont="1" applyFill="1" applyBorder="1" applyAlignment="1">
      <alignment horizontal="center"/>
    </xf>
    <xf numFmtId="0" fontId="46" fillId="4" borderId="10"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14" fontId="5" fillId="0" borderId="0" xfId="0" applyNumberFormat="1" applyFont="1" applyFill="1" applyBorder="1" applyAlignment="1">
      <alignment horizontal="center"/>
    </xf>
    <xf numFmtId="15" fontId="5" fillId="0" borderId="0" xfId="0" applyNumberFormat="1" applyFont="1" applyFill="1" applyBorder="1" applyAlignment="1">
      <alignment horizontal="center"/>
    </xf>
    <xf numFmtId="0" fontId="61" fillId="0" borderId="0" xfId="0" applyFont="1" applyAlignment="1">
      <alignment wrapText="1"/>
    </xf>
    <xf numFmtId="0" fontId="0" fillId="0" borderId="0" xfId="0" applyAlignment="1">
      <alignment wrapText="1"/>
    </xf>
    <xf numFmtId="12" fontId="49" fillId="2" borderId="38" xfId="63" quotePrefix="1" applyNumberFormat="1" applyFont="1" applyFill="1" applyBorder="1" applyAlignment="1">
      <alignment horizontal="center" vertical="top" wrapText="1"/>
    </xf>
    <xf numFmtId="12" fontId="49" fillId="2" borderId="21" xfId="63" quotePrefix="1" applyNumberFormat="1" applyFont="1" applyFill="1" applyBorder="1" applyAlignment="1">
      <alignment horizontal="center" vertical="top" wrapText="1"/>
    </xf>
    <xf numFmtId="0" fontId="5" fillId="0" borderId="0" xfId="0" applyFont="1" applyFill="1" applyBorder="1" applyAlignment="1">
      <alignment horizontal="left"/>
    </xf>
    <xf numFmtId="0" fontId="5" fillId="0" borderId="11" xfId="0" applyFont="1" applyFill="1" applyBorder="1" applyAlignment="1">
      <alignment horizontal="left"/>
    </xf>
    <xf numFmtId="12" fontId="23" fillId="2" borderId="9" xfId="63" quotePrefix="1" applyNumberFormat="1" applyFont="1" applyFill="1" applyBorder="1" applyAlignment="1">
      <alignment horizontal="center" vertical="top" wrapText="1"/>
    </xf>
    <xf numFmtId="0" fontId="19" fillId="2" borderId="13" xfId="0" applyFont="1" applyFill="1" applyBorder="1" applyAlignment="1">
      <alignment horizontal="center" wrapText="1"/>
    </xf>
    <xf numFmtId="0" fontId="19" fillId="2" borderId="21" xfId="0" applyFont="1" applyFill="1" applyBorder="1" applyAlignment="1">
      <alignment horizontal="center" wrapText="1"/>
    </xf>
    <xf numFmtId="17" fontId="23" fillId="2" borderId="19" xfId="0" quotePrefix="1" applyNumberFormat="1" applyFont="1" applyFill="1" applyBorder="1" applyAlignment="1">
      <alignment horizontal="center" wrapText="1"/>
    </xf>
    <xf numFmtId="0" fontId="0" fillId="2" borderId="3" xfId="0" applyFill="1" applyBorder="1" applyAlignment="1">
      <alignment wrapText="1"/>
    </xf>
    <xf numFmtId="0" fontId="22" fillId="0" borderId="32" xfId="0" applyFont="1" applyBorder="1" applyAlignment="1">
      <alignment wrapText="1"/>
    </xf>
    <xf numFmtId="0" fontId="0" fillId="0" borderId="33" xfId="0" applyFont="1" applyBorder="1" applyAlignment="1">
      <alignment wrapText="1"/>
    </xf>
    <xf numFmtId="0" fontId="0" fillId="0" borderId="31" xfId="0" applyFont="1" applyBorder="1" applyAlignment="1">
      <alignment wrapText="1"/>
    </xf>
    <xf numFmtId="0" fontId="25" fillId="0" borderId="35" xfId="0" applyFont="1" applyBorder="1" applyAlignment="1">
      <alignment horizontal="left" vertical="top" wrapText="1"/>
    </xf>
    <xf numFmtId="0" fontId="25" fillId="0" borderId="36" xfId="0" applyFont="1" applyBorder="1" applyAlignment="1">
      <alignment horizontal="left" vertical="top" wrapText="1"/>
    </xf>
    <xf numFmtId="12" fontId="23" fillId="2" borderId="19" xfId="63" quotePrefix="1" applyNumberFormat="1" applyFont="1" applyFill="1" applyBorder="1" applyAlignment="1">
      <alignment horizontal="center" vertical="top" wrapText="1"/>
    </xf>
    <xf numFmtId="0" fontId="19" fillId="2" borderId="3" xfId="0" applyFont="1" applyFill="1" applyBorder="1" applyAlignment="1">
      <alignment horizontal="center" wrapText="1"/>
    </xf>
    <xf numFmtId="0" fontId="21" fillId="0" borderId="15" xfId="0" applyFont="1" applyFill="1" applyBorder="1" applyAlignment="1">
      <alignment wrapText="1"/>
    </xf>
    <xf numFmtId="0" fontId="4" fillId="0" borderId="0" xfId="0" applyFont="1" applyBorder="1" applyAlignment="1">
      <alignment wrapText="1"/>
    </xf>
    <xf numFmtId="0" fontId="27" fillId="0" borderId="42" xfId="0" applyFont="1" applyBorder="1" applyAlignment="1">
      <alignment horizontal="center"/>
    </xf>
    <xf numFmtId="0" fontId="27" fillId="0" borderId="60" xfId="0" applyFont="1" applyBorder="1" applyAlignment="1">
      <alignment horizontal="center"/>
    </xf>
    <xf numFmtId="0" fontId="35" fillId="0" borderId="9" xfId="0" applyFont="1" applyBorder="1" applyAlignment="1">
      <alignment horizontal="center" wrapText="1"/>
    </xf>
    <xf numFmtId="0" fontId="35" fillId="0" borderId="13" xfId="0" applyFont="1" applyBorder="1" applyAlignment="1">
      <alignment horizontal="center" wrapText="1"/>
    </xf>
    <xf numFmtId="0" fontId="35" fillId="0" borderId="6" xfId="0" applyFont="1" applyBorder="1" applyAlignment="1">
      <alignment horizontal="center" wrapText="1"/>
    </xf>
    <xf numFmtId="0" fontId="35" fillId="0" borderId="2" xfId="0" applyFont="1" applyBorder="1" applyAlignment="1">
      <alignment horizontal="center" wrapText="1"/>
    </xf>
    <xf numFmtId="0" fontId="35" fillId="0" borderId="19" xfId="0" applyFont="1" applyBorder="1" applyAlignment="1">
      <alignment horizontal="center"/>
    </xf>
    <xf numFmtId="0" fontId="35" fillId="0" borderId="4" xfId="0" applyFont="1" applyBorder="1" applyAlignment="1">
      <alignment horizontal="center"/>
    </xf>
    <xf numFmtId="0" fontId="35" fillId="6" borderId="7" xfId="0" applyFont="1" applyFill="1" applyBorder="1" applyAlignment="1">
      <alignment horizontal="center" wrapText="1"/>
    </xf>
    <xf numFmtId="0" fontId="35" fillId="6" borderId="5" xfId="0" applyFont="1" applyFill="1" applyBorder="1" applyAlignment="1">
      <alignment horizontal="center" wrapText="1"/>
    </xf>
    <xf numFmtId="0" fontId="35" fillId="0" borderId="9" xfId="0" applyFont="1" applyBorder="1" applyAlignment="1">
      <alignment horizontal="center"/>
    </xf>
    <xf numFmtId="0" fontId="35" fillId="0" borderId="13" xfId="0" applyFont="1" applyBorder="1" applyAlignment="1">
      <alignment horizontal="center"/>
    </xf>
    <xf numFmtId="0" fontId="35" fillId="0" borderId="6" xfId="0" applyFont="1" applyBorder="1" applyAlignment="1">
      <alignment horizontal="center"/>
    </xf>
    <xf numFmtId="0" fontId="35" fillId="0" borderId="7" xfId="0" applyFont="1" applyBorder="1" applyAlignment="1">
      <alignment horizontal="center"/>
    </xf>
    <xf numFmtId="0" fontId="35" fillId="0" borderId="5" xfId="0" applyFont="1" applyBorder="1" applyAlignment="1">
      <alignment horizontal="center"/>
    </xf>
    <xf numFmtId="0" fontId="35" fillId="6" borderId="9" xfId="0" applyFont="1" applyFill="1" applyBorder="1" applyAlignment="1">
      <alignment horizontal="center" wrapText="1"/>
    </xf>
    <xf numFmtId="0" fontId="35" fillId="6" borderId="13" xfId="0" applyFont="1" applyFill="1" applyBorder="1" applyAlignment="1">
      <alignment horizontal="center" wrapText="1"/>
    </xf>
    <xf numFmtId="0" fontId="35" fillId="0" borderId="22" xfId="0" applyFont="1" applyBorder="1" applyAlignment="1">
      <alignment horizontal="center" wrapText="1"/>
    </xf>
    <xf numFmtId="0" fontId="35" fillId="0" borderId="38" xfId="0" applyFont="1" applyBorder="1" applyAlignment="1">
      <alignment horizontal="center" wrapText="1"/>
    </xf>
    <xf numFmtId="0" fontId="35" fillId="0" borderId="48" xfId="0" applyFont="1" applyBorder="1" applyAlignment="1">
      <alignment horizontal="center" wrapText="1"/>
    </xf>
    <xf numFmtId="0" fontId="35" fillId="6" borderId="49" xfId="0" applyFont="1" applyFill="1" applyBorder="1" applyAlignment="1">
      <alignment horizontal="center" wrapText="1"/>
    </xf>
    <xf numFmtId="0" fontId="35" fillId="6" borderId="50" xfId="0" applyFont="1" applyFill="1" applyBorder="1" applyAlignment="1">
      <alignment horizontal="center" wrapText="1"/>
    </xf>
    <xf numFmtId="0" fontId="35" fillId="0" borderId="41" xfId="0" applyFont="1" applyBorder="1" applyAlignment="1">
      <alignment horizontal="center" wrapText="1"/>
    </xf>
    <xf numFmtId="0" fontId="51" fillId="7" borderId="15" xfId="0" applyFont="1" applyFill="1" applyBorder="1" applyAlignment="1">
      <alignment horizontal="center"/>
    </xf>
    <xf numFmtId="0" fontId="51" fillId="7" borderId="0" xfId="0" applyFont="1" applyFill="1" applyBorder="1" applyAlignment="1">
      <alignment horizontal="center"/>
    </xf>
    <xf numFmtId="0" fontId="51" fillId="7" borderId="11" xfId="0" applyFont="1" applyFill="1" applyBorder="1" applyAlignment="1">
      <alignment horizontal="center"/>
    </xf>
    <xf numFmtId="0" fontId="35" fillId="0" borderId="9" xfId="0" applyFont="1" applyBorder="1" applyAlignment="1">
      <alignment horizontal="center" vertical="center"/>
    </xf>
    <xf numFmtId="0" fontId="35" fillId="0" borderId="13" xfId="0" applyFont="1" applyBorder="1" applyAlignment="1">
      <alignment horizontal="center" vertical="center"/>
    </xf>
    <xf numFmtId="0" fontId="35" fillId="0" borderId="48" xfId="0" applyFont="1" applyBorder="1" applyAlignment="1">
      <alignment horizontal="center" vertical="center"/>
    </xf>
    <xf numFmtId="0" fontId="35" fillId="0" borderId="15" xfId="0" applyFont="1" applyBorder="1" applyAlignment="1">
      <alignment horizontal="left" wrapText="1"/>
    </xf>
    <xf numFmtId="0" fontId="35" fillId="0" borderId="0" xfId="0" applyFont="1" applyBorder="1" applyAlignment="1">
      <alignment horizontal="left" wrapText="1"/>
    </xf>
    <xf numFmtId="0" fontId="35" fillId="0" borderId="11" xfId="0" applyFont="1" applyBorder="1" applyAlignment="1">
      <alignment horizontal="left" wrapText="1"/>
    </xf>
    <xf numFmtId="0" fontId="34" fillId="0" borderId="2" xfId="0" applyFont="1" applyBorder="1" applyAlignment="1">
      <alignment horizontal="center"/>
    </xf>
    <xf numFmtId="0" fontId="35" fillId="0" borderId="0" xfId="0" applyFont="1" applyAlignment="1">
      <alignment horizontal="left" wrapText="1"/>
    </xf>
    <xf numFmtId="0" fontId="51" fillId="7" borderId="19" xfId="0" applyFont="1" applyFill="1" applyBorder="1" applyAlignment="1">
      <alignment horizontal="center" wrapText="1"/>
    </xf>
    <xf numFmtId="0" fontId="51" fillId="7" borderId="3" xfId="0" applyFont="1" applyFill="1" applyBorder="1" applyAlignment="1">
      <alignment horizontal="center" wrapText="1"/>
    </xf>
    <xf numFmtId="0" fontId="51" fillId="7" borderId="4" xfId="0" applyFont="1" applyFill="1" applyBorder="1" applyAlignment="1">
      <alignment horizontal="center" wrapText="1"/>
    </xf>
    <xf numFmtId="0" fontId="34" fillId="0" borderId="21" xfId="0" applyFont="1" applyFill="1" applyBorder="1" applyAlignment="1">
      <alignment horizontal="left" wrapText="1"/>
    </xf>
    <xf numFmtId="0" fontId="34" fillId="0" borderId="0" xfId="0" applyFont="1" applyFill="1" applyBorder="1" applyAlignment="1">
      <alignment horizontal="left" wrapText="1"/>
    </xf>
    <xf numFmtId="0" fontId="35" fillId="0" borderId="22" xfId="0" applyFont="1" applyBorder="1" applyAlignment="1">
      <alignment horizontal="center"/>
    </xf>
    <xf numFmtId="0" fontId="35" fillId="0" borderId="40" xfId="0" applyFont="1" applyBorder="1" applyAlignment="1">
      <alignment horizontal="center"/>
    </xf>
    <xf numFmtId="0" fontId="35" fillId="0" borderId="52" xfId="0" applyFont="1" applyBorder="1" applyAlignment="1">
      <alignment horizontal="center"/>
    </xf>
    <xf numFmtId="0" fontId="35" fillId="0" borderId="2" xfId="0" applyFont="1" applyBorder="1" applyAlignment="1">
      <alignment horizontal="center"/>
    </xf>
    <xf numFmtId="0" fontId="0" fillId="0" borderId="15" xfId="0" applyBorder="1" applyAlignment="1">
      <alignment horizontal="center" vertical="center"/>
    </xf>
    <xf numFmtId="0" fontId="19" fillId="0" borderId="19"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19" fillId="13" borderId="7" xfId="0" applyFont="1" applyFill="1" applyBorder="1" applyAlignment="1">
      <alignment horizontal="center" wrapText="1"/>
    </xf>
    <xf numFmtId="0" fontId="19" fillId="13" borderId="5" xfId="0" applyFont="1" applyFill="1" applyBorder="1" applyAlignment="1">
      <alignment horizontal="center" wrapText="1"/>
    </xf>
    <xf numFmtId="0" fontId="19" fillId="0" borderId="9" xfId="0" applyFont="1" applyBorder="1" applyAlignment="1">
      <alignment horizontal="center"/>
    </xf>
    <xf numFmtId="0" fontId="19" fillId="0" borderId="13" xfId="0"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19" fillId="0" borderId="5" xfId="0" applyFont="1" applyBorder="1" applyAlignment="1">
      <alignment horizontal="center"/>
    </xf>
    <xf numFmtId="0" fontId="19" fillId="0" borderId="7" xfId="0" applyFont="1" applyBorder="1" applyAlignment="1">
      <alignment horizontal="center" wrapText="1"/>
    </xf>
    <xf numFmtId="0" fontId="19" fillId="0" borderId="5" xfId="0" applyFont="1" applyBorder="1" applyAlignment="1">
      <alignment horizontal="center" wrapText="1"/>
    </xf>
    <xf numFmtId="0" fontId="19" fillId="0" borderId="22" xfId="0" applyFont="1" applyBorder="1" applyAlignment="1">
      <alignment horizontal="center" wrapText="1"/>
    </xf>
    <xf numFmtId="0" fontId="19" fillId="0" borderId="38" xfId="0" applyFont="1" applyBorder="1" applyAlignment="1">
      <alignment horizontal="center" wrapText="1"/>
    </xf>
    <xf numFmtId="0" fontId="19" fillId="0" borderId="2" xfId="0" applyFont="1" applyBorder="1" applyAlignment="1">
      <alignment horizontal="center" wrapText="1"/>
    </xf>
    <xf numFmtId="0" fontId="19" fillId="0" borderId="48" xfId="0" applyFont="1" applyBorder="1" applyAlignment="1">
      <alignment horizontal="center" wrapText="1"/>
    </xf>
    <xf numFmtId="0" fontId="19" fillId="13" borderId="49" xfId="0" applyFont="1" applyFill="1" applyBorder="1" applyAlignment="1">
      <alignment horizontal="center" wrapText="1"/>
    </xf>
    <xf numFmtId="0" fontId="19" fillId="13" borderId="50" xfId="0" applyFont="1" applyFill="1" applyBorder="1" applyAlignment="1">
      <alignment horizontal="center" wrapText="1"/>
    </xf>
    <xf numFmtId="0" fontId="19" fillId="0" borderId="41" xfId="0" applyFont="1" applyBorder="1" applyAlignment="1">
      <alignment horizontal="center" wrapText="1"/>
    </xf>
    <xf numFmtId="0" fontId="53" fillId="7" borderId="15" xfId="0" applyFont="1" applyFill="1" applyBorder="1" applyAlignment="1">
      <alignment horizontal="center"/>
    </xf>
    <xf numFmtId="0" fontId="53" fillId="7" borderId="0" xfId="0" applyFont="1" applyFill="1" applyBorder="1" applyAlignment="1">
      <alignment horizontal="center"/>
    </xf>
    <xf numFmtId="0" fontId="53" fillId="7" borderId="11" xfId="0" applyFont="1" applyFill="1" applyBorder="1" applyAlignment="1">
      <alignment horizont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48" xfId="0" applyFont="1" applyBorder="1" applyAlignment="1">
      <alignment horizontal="center" vertical="center"/>
    </xf>
    <xf numFmtId="0" fontId="19" fillId="0" borderId="15" xfId="0" applyFont="1" applyBorder="1" applyAlignment="1">
      <alignment horizontal="left" wrapText="1"/>
    </xf>
    <xf numFmtId="0" fontId="19" fillId="0" borderId="0" xfId="0" applyFont="1" applyBorder="1" applyAlignment="1">
      <alignment horizontal="left" wrapText="1"/>
    </xf>
    <xf numFmtId="0" fontId="19" fillId="0" borderId="11" xfId="0" applyFont="1" applyBorder="1" applyAlignment="1">
      <alignment horizontal="left" wrapText="1"/>
    </xf>
    <xf numFmtId="0" fontId="53" fillId="7" borderId="19" xfId="0" applyFont="1" applyFill="1" applyBorder="1" applyAlignment="1">
      <alignment horizontal="center" wrapText="1"/>
    </xf>
    <xf numFmtId="0" fontId="53" fillId="7" borderId="3" xfId="0" applyFont="1" applyFill="1" applyBorder="1" applyAlignment="1">
      <alignment horizontal="center" wrapText="1"/>
    </xf>
    <xf numFmtId="0" fontId="53" fillId="7" borderId="4" xfId="0" applyFont="1" applyFill="1" applyBorder="1" applyAlignment="1">
      <alignment horizontal="center" wrapText="1"/>
    </xf>
    <xf numFmtId="0" fontId="19" fillId="0" borderId="0" xfId="0" applyFont="1" applyAlignment="1">
      <alignment horizontal="left"/>
    </xf>
    <xf numFmtId="0" fontId="35" fillId="0" borderId="0" xfId="0" applyFont="1" applyAlignment="1">
      <alignment horizontal="left"/>
    </xf>
    <xf numFmtId="0" fontId="14" fillId="0" borderId="0" xfId="0" applyFont="1" applyAlignment="1">
      <alignment horizontal="left"/>
    </xf>
    <xf numFmtId="0" fontId="14" fillId="0" borderId="0" xfId="0" applyFont="1"/>
  </cellXfs>
  <cellStyles count="72">
    <cellStyle name="Comma" xfId="63" builtinId="3"/>
    <cellStyle name="Comma 2" xfId="69" xr:uid="{00000000-0005-0000-0000-000001000000}"/>
    <cellStyle name="Comma 5" xfId="71" xr:uid="{00000000-0005-0000-0000-000002000000}"/>
    <cellStyle name="Hyperlink" xfId="70" builtinId="8"/>
    <cellStyle name="Normal" xfId="0" builtinId="0"/>
    <cellStyle name="Normal 10" xfId="15" xr:uid="{00000000-0005-0000-0000-000005000000}"/>
    <cellStyle name="Normal 100" xfId="54" xr:uid="{00000000-0005-0000-0000-000006000000}"/>
    <cellStyle name="Normal 101" xfId="55" xr:uid="{00000000-0005-0000-0000-000007000000}"/>
    <cellStyle name="Normal 102" xfId="56" xr:uid="{00000000-0005-0000-0000-000008000000}"/>
    <cellStyle name="Normal 103" xfId="57" xr:uid="{00000000-0005-0000-0000-000009000000}"/>
    <cellStyle name="Normal 104" xfId="58" xr:uid="{00000000-0005-0000-0000-00000A000000}"/>
    <cellStyle name="Normal 106" xfId="59" xr:uid="{00000000-0005-0000-0000-00000B000000}"/>
    <cellStyle name="Normal 107" xfId="60" xr:uid="{00000000-0005-0000-0000-00000C000000}"/>
    <cellStyle name="Normal 108" xfId="61" xr:uid="{00000000-0005-0000-0000-00000D000000}"/>
    <cellStyle name="Normal 109" xfId="62" xr:uid="{00000000-0005-0000-0000-00000E000000}"/>
    <cellStyle name="Normal 11" xfId="31" xr:uid="{00000000-0005-0000-0000-00000F000000}"/>
    <cellStyle name="Normal 12" xfId="4" xr:uid="{00000000-0005-0000-0000-000010000000}"/>
    <cellStyle name="Normal 13" xfId="22" xr:uid="{00000000-0005-0000-0000-000011000000}"/>
    <cellStyle name="Normal 14" xfId="11" xr:uid="{00000000-0005-0000-0000-000012000000}"/>
    <cellStyle name="Normal 15" xfId="5" xr:uid="{00000000-0005-0000-0000-000013000000}"/>
    <cellStyle name="Normal 16" xfId="36" xr:uid="{00000000-0005-0000-0000-000014000000}"/>
    <cellStyle name="Normal 17" xfId="27" xr:uid="{00000000-0005-0000-0000-000015000000}"/>
    <cellStyle name="Normal 18" xfId="32" xr:uid="{00000000-0005-0000-0000-000016000000}"/>
    <cellStyle name="Normal 19" xfId="21" xr:uid="{00000000-0005-0000-0000-000017000000}"/>
    <cellStyle name="Normal 2" xfId="19" xr:uid="{00000000-0005-0000-0000-000018000000}"/>
    <cellStyle name="Normal 2 4" xfId="68" xr:uid="{00000000-0005-0000-0000-000019000000}"/>
    <cellStyle name="Normal 2 5" xfId="64" xr:uid="{00000000-0005-0000-0000-00001A000000}"/>
    <cellStyle name="Normal 2 6" xfId="65" xr:uid="{00000000-0005-0000-0000-00001B000000}"/>
    <cellStyle name="Normal 2 7" xfId="67" xr:uid="{00000000-0005-0000-0000-00001C000000}"/>
    <cellStyle name="Normal 2 8" xfId="66" xr:uid="{00000000-0005-0000-0000-00001D000000}"/>
    <cellStyle name="Normal 20" xfId="35" xr:uid="{00000000-0005-0000-0000-00001E000000}"/>
    <cellStyle name="Normal 21" xfId="3" xr:uid="{00000000-0005-0000-0000-00001F000000}"/>
    <cellStyle name="Normal 22" xfId="23" xr:uid="{00000000-0005-0000-0000-000020000000}"/>
    <cellStyle name="Normal 24" xfId="30" xr:uid="{00000000-0005-0000-0000-000021000000}"/>
    <cellStyle name="Normal 25" xfId="10" xr:uid="{00000000-0005-0000-0000-000022000000}"/>
    <cellStyle name="Normal 26" xfId="16" xr:uid="{00000000-0005-0000-0000-000023000000}"/>
    <cellStyle name="Normal 27" xfId="6" xr:uid="{00000000-0005-0000-0000-000024000000}"/>
    <cellStyle name="Normal 28" xfId="17" xr:uid="{00000000-0005-0000-0000-000025000000}"/>
    <cellStyle name="Normal 29" xfId="24" xr:uid="{00000000-0005-0000-0000-000026000000}"/>
    <cellStyle name="Normal 3" xfId="2" xr:uid="{00000000-0005-0000-0000-000027000000}"/>
    <cellStyle name="Normal 30" xfId="12" xr:uid="{00000000-0005-0000-0000-000028000000}"/>
    <cellStyle name="Normal 32" xfId="7" xr:uid="{00000000-0005-0000-0000-000029000000}"/>
    <cellStyle name="Normal 33" xfId="20" xr:uid="{00000000-0005-0000-0000-00002A000000}"/>
    <cellStyle name="Normal 34" xfId="18" xr:uid="{00000000-0005-0000-0000-00002B000000}"/>
    <cellStyle name="Normal 36" xfId="28" xr:uid="{00000000-0005-0000-0000-00002C000000}"/>
    <cellStyle name="Normal 37" xfId="37" xr:uid="{00000000-0005-0000-0000-00002D000000}"/>
    <cellStyle name="Normal 38" xfId="13" xr:uid="{00000000-0005-0000-0000-00002E000000}"/>
    <cellStyle name="Normal 39" xfId="25" xr:uid="{00000000-0005-0000-0000-00002F000000}"/>
    <cellStyle name="Normal 4" xfId="9" xr:uid="{00000000-0005-0000-0000-000030000000}"/>
    <cellStyle name="Normal 40" xfId="34" xr:uid="{00000000-0005-0000-0000-000031000000}"/>
    <cellStyle name="Normal 41" xfId="33" xr:uid="{00000000-0005-0000-0000-000032000000}"/>
    <cellStyle name="Normal 5" xfId="1" xr:uid="{00000000-0005-0000-0000-000033000000}"/>
    <cellStyle name="Normal 52" xfId="38" xr:uid="{00000000-0005-0000-0000-000034000000}"/>
    <cellStyle name="Normal 6" xfId="26" xr:uid="{00000000-0005-0000-0000-000035000000}"/>
    <cellStyle name="Normal 7" xfId="29" xr:uid="{00000000-0005-0000-0000-000036000000}"/>
    <cellStyle name="Normal 73" xfId="40" xr:uid="{00000000-0005-0000-0000-000037000000}"/>
    <cellStyle name="Normal 74" xfId="39" xr:uid="{00000000-0005-0000-0000-000038000000}"/>
    <cellStyle name="Normal 75" xfId="41" xr:uid="{00000000-0005-0000-0000-000039000000}"/>
    <cellStyle name="Normal 76" xfId="42" xr:uid="{00000000-0005-0000-0000-00003A000000}"/>
    <cellStyle name="Normal 77" xfId="43" xr:uid="{00000000-0005-0000-0000-00003B000000}"/>
    <cellStyle name="Normal 78" xfId="44" xr:uid="{00000000-0005-0000-0000-00003C000000}"/>
    <cellStyle name="Normal 79" xfId="45" xr:uid="{00000000-0005-0000-0000-00003D000000}"/>
    <cellStyle name="Normal 8" xfId="8" xr:uid="{00000000-0005-0000-0000-00003E000000}"/>
    <cellStyle name="Normal 80" xfId="46" xr:uid="{00000000-0005-0000-0000-00003F000000}"/>
    <cellStyle name="Normal 84" xfId="47" xr:uid="{00000000-0005-0000-0000-000040000000}"/>
    <cellStyle name="Normal 85" xfId="48" xr:uid="{00000000-0005-0000-0000-000041000000}"/>
    <cellStyle name="Normal 86" xfId="49" xr:uid="{00000000-0005-0000-0000-000042000000}"/>
    <cellStyle name="Normal 87" xfId="50" xr:uid="{00000000-0005-0000-0000-000043000000}"/>
    <cellStyle name="Normal 88" xfId="51" xr:uid="{00000000-0005-0000-0000-000044000000}"/>
    <cellStyle name="Normal 89" xfId="52" xr:uid="{00000000-0005-0000-0000-000045000000}"/>
    <cellStyle name="Normal 9" xfId="14" xr:uid="{00000000-0005-0000-0000-000046000000}"/>
    <cellStyle name="Normal 99" xfId="53" xr:uid="{00000000-0005-0000-0000-00004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2" Type="http://schemas.openxmlformats.org/officeDocument/2006/relationships/image" Target="cid:image002.jpg@01CC4623.CC4DEB4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2.jpg@01CC4623.CC4DEB4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2.jpg@01CC4623.CC4DEB4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2.jpg@01CC4623.CC4DEB4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730251</xdr:colOff>
      <xdr:row>0</xdr:row>
      <xdr:rowOff>111126</xdr:rowOff>
    </xdr:from>
    <xdr:to>
      <xdr:col>2</xdr:col>
      <xdr:colOff>682626</xdr:colOff>
      <xdr:row>4</xdr:row>
      <xdr:rowOff>85045</xdr:rowOff>
    </xdr:to>
    <xdr:pic>
      <xdr:nvPicPr>
        <xdr:cNvPr id="2" name="Picture 1" descr="cid:image001.jpg@01C9975F.5F50FC0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r:link="rId2"/>
        <a:srcRect/>
        <a:stretch>
          <a:fillRect/>
        </a:stretch>
      </xdr:blipFill>
      <xdr:spPr bwMode="auto">
        <a:xfrm>
          <a:off x="873126" y="111126"/>
          <a:ext cx="1016000" cy="85498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71438</xdr:colOff>
      <xdr:row>2</xdr:row>
      <xdr:rowOff>226218</xdr:rowOff>
    </xdr:from>
    <xdr:to>
      <xdr:col>0</xdr:col>
      <xdr:colOff>944563</xdr:colOff>
      <xdr:row>6</xdr:row>
      <xdr:rowOff>132668</xdr:rowOff>
    </xdr:to>
    <xdr:pic>
      <xdr:nvPicPr>
        <xdr:cNvPr id="2" name="Picture 1" descr="cid:image001.jpg@01C9975F.5F50FC00">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r:link="rId2"/>
        <a:srcRect/>
        <a:stretch>
          <a:fillRect/>
        </a:stretch>
      </xdr:blipFill>
      <xdr:spPr bwMode="auto">
        <a:xfrm>
          <a:off x="71438" y="845343"/>
          <a:ext cx="873125" cy="68035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254000</xdr:colOff>
      <xdr:row>1</xdr:row>
      <xdr:rowOff>148167</xdr:rowOff>
    </xdr:from>
    <xdr:to>
      <xdr:col>1</xdr:col>
      <xdr:colOff>206375</xdr:colOff>
      <xdr:row>4</xdr:row>
      <xdr:rowOff>182940</xdr:rowOff>
    </xdr:to>
    <xdr:pic>
      <xdr:nvPicPr>
        <xdr:cNvPr id="2" name="Picture 1" descr="cid:image001.jpg@01C9975F.5F50FC00">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r:link="rId2"/>
        <a:srcRect/>
        <a:stretch>
          <a:fillRect/>
        </a:stretch>
      </xdr:blipFill>
      <xdr:spPr bwMode="auto">
        <a:xfrm>
          <a:off x="254000" y="349250"/>
          <a:ext cx="873125" cy="68035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447675</xdr:colOff>
      <xdr:row>1</xdr:row>
      <xdr:rowOff>209550</xdr:rowOff>
    </xdr:from>
    <xdr:to>
      <xdr:col>2</xdr:col>
      <xdr:colOff>1471084</xdr:colOff>
      <xdr:row>5</xdr:row>
      <xdr:rowOff>52917</xdr:rowOff>
    </xdr:to>
    <xdr:pic>
      <xdr:nvPicPr>
        <xdr:cNvPr id="2" name="Picture 1" descr="cid:image001.jpg@01C9975F.5F50FC00">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r:link="rId2"/>
        <a:srcRect/>
        <a:stretch>
          <a:fillRect/>
        </a:stretch>
      </xdr:blipFill>
      <xdr:spPr bwMode="auto">
        <a:xfrm>
          <a:off x="521758" y="283633"/>
          <a:ext cx="1912409" cy="92286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vin.moleme/AppData/Local/Microsoft/Windows/INetCache/Content.Outlook/PWKTODL5/Councillors%20overpay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emuneration%20of%20Councillors%20WP%20-%20June%202018%20-%20(Review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HABO/Documents/Mangaung%20Metropolitan%20Municipality/2018%20FY/Employee%20related%20costs%20-%20PayDay%20Reconciliation/MMM/Remuneration%20of%20councillors/Remuneration%20of%20Councillors%20WP%20-%20June%202018%20-%20(Reviewed)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zette vs payday recon"/>
      <sheetName val="LISTING OF OVERPAYMENTS"/>
    </sheetNames>
    <sheetDataSet>
      <sheetData sheetId="0">
        <row r="78">
          <cell r="E78">
            <v>-2915.6699999999546</v>
          </cell>
        </row>
        <row r="90">
          <cell r="E90">
            <v>-11603.309999999969</v>
          </cell>
        </row>
        <row r="102">
          <cell r="E102">
            <v>-2963.2499999999127</v>
          </cell>
        </row>
        <row r="116">
          <cell r="E116">
            <v>-3529.239999999947</v>
          </cell>
        </row>
        <row r="128">
          <cell r="E128">
            <v>-2876.2899999999936</v>
          </cell>
        </row>
        <row r="140">
          <cell r="E140">
            <v>-2876.2899999999936</v>
          </cell>
        </row>
        <row r="153">
          <cell r="E153">
            <v>-2876.1700000000128</v>
          </cell>
        </row>
        <row r="166">
          <cell r="E166">
            <v>-728.74000000001979</v>
          </cell>
        </row>
        <row r="178">
          <cell r="E178">
            <v>-1458.7299999999377</v>
          </cell>
        </row>
        <row r="189">
          <cell r="E189">
            <v>-1458.6800000000003</v>
          </cell>
        </row>
        <row r="200">
          <cell r="E200">
            <v>-1458.6800000000003</v>
          </cell>
        </row>
        <row r="212">
          <cell r="E212">
            <v>-1458.6100000000006</v>
          </cell>
        </row>
        <row r="225">
          <cell r="E225">
            <v>-1098.6200000000026</v>
          </cell>
        </row>
        <row r="238">
          <cell r="E238">
            <v>-1458.4499999999971</v>
          </cell>
        </row>
        <row r="249">
          <cell r="E249">
            <v>-729.33000000000175</v>
          </cell>
        </row>
        <row r="260">
          <cell r="E260">
            <v>-1458.6100000000006</v>
          </cell>
        </row>
        <row r="272">
          <cell r="E272">
            <v>-1458.6100000000006</v>
          </cell>
        </row>
        <row r="283">
          <cell r="E283">
            <v>-1458.6100000000006</v>
          </cell>
        </row>
        <row r="294">
          <cell r="E294">
            <v>-1458.6100000000006</v>
          </cell>
        </row>
        <row r="305">
          <cell r="E305">
            <v>-1750.4099999999962</v>
          </cell>
        </row>
        <row r="316">
          <cell r="E316">
            <v>-1458.6800000000003</v>
          </cell>
        </row>
        <row r="327">
          <cell r="E327">
            <v>-1458.6100000000006</v>
          </cell>
        </row>
        <row r="338">
          <cell r="E338">
            <v>-1458.6699999999983</v>
          </cell>
        </row>
        <row r="349">
          <cell r="E349">
            <v>-729.27999999999884</v>
          </cell>
        </row>
        <row r="367">
          <cell r="E367">
            <v>-4210.0199999999895</v>
          </cell>
        </row>
        <row r="379">
          <cell r="E379">
            <v>-3609.3300000000017</v>
          </cell>
        </row>
        <row r="390">
          <cell r="E390">
            <v>-729.27999999999884</v>
          </cell>
        </row>
        <row r="401">
          <cell r="E401">
            <v>-729.33000000000175</v>
          </cell>
        </row>
        <row r="412">
          <cell r="E412">
            <v>-1458.7899999999936</v>
          </cell>
        </row>
        <row r="423">
          <cell r="E423">
            <v>-729.27999999999884</v>
          </cell>
        </row>
        <row r="436">
          <cell r="E436">
            <v>-608.03999999997905</v>
          </cell>
        </row>
        <row r="447">
          <cell r="E447">
            <v>-2880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chedule"/>
      <sheetName val="Gazette vs payday"/>
      <sheetName val="Disclosure Note for AFS"/>
      <sheetName val="Solar vs payday"/>
      <sheetName val="Differences investigation"/>
      <sheetName val="Top 4 - 201718 FY"/>
      <sheetName val="Sheet1"/>
      <sheetName val="Mayoral Committee 201718 FY"/>
      <sheetName val="Sheet2"/>
      <sheetName val="S79 Committees 201718 FY"/>
      <sheetName val="Sheet3"/>
      <sheetName val="Part-time councillors 201718 FY"/>
      <sheetName val="Sheet4"/>
      <sheetName val="Councillors list"/>
      <sheetName val="Composition of Committees"/>
      <sheetName val="TB 201718 FY"/>
      <sheetName val="TB 201617 FY"/>
      <sheetName val="GL 201718"/>
      <sheetName val="Payroll Report - June 2018"/>
    </sheetNames>
    <sheetDataSet>
      <sheetData sheetId="0" refreshError="1"/>
      <sheetData sheetId="1"/>
      <sheetData sheetId="2" refreshError="1"/>
      <sheetData sheetId="3" refreshError="1"/>
      <sheetData sheetId="4" refreshError="1"/>
      <sheetData sheetId="5">
        <row r="21">
          <cell r="P21">
            <v>44400</v>
          </cell>
        </row>
        <row r="22">
          <cell r="P22">
            <v>1342716.96</v>
          </cell>
        </row>
        <row r="31">
          <cell r="P31">
            <v>13205.160000000002</v>
          </cell>
        </row>
        <row r="32">
          <cell r="P32">
            <v>13205.160000000002</v>
          </cell>
        </row>
        <row r="52">
          <cell r="P52">
            <v>262136.50999999998</v>
          </cell>
        </row>
        <row r="55">
          <cell r="P55">
            <v>44400</v>
          </cell>
        </row>
        <row r="56">
          <cell r="P56">
            <v>979901.16999999993</v>
          </cell>
        </row>
        <row r="70">
          <cell r="P70">
            <v>8347.659999999998</v>
          </cell>
        </row>
        <row r="71">
          <cell r="P71">
            <v>121392.51999999999</v>
          </cell>
        </row>
        <row r="95">
          <cell r="P95">
            <v>262136.50999999998</v>
          </cell>
        </row>
        <row r="96">
          <cell r="J96">
            <v>87378.83</v>
          </cell>
          <cell r="K96">
            <v>87378.83</v>
          </cell>
          <cell r="L96">
            <v>87378.83</v>
          </cell>
          <cell r="M96">
            <v>62346.95</v>
          </cell>
        </row>
        <row r="98">
          <cell r="P98">
            <v>44400</v>
          </cell>
        </row>
        <row r="99">
          <cell r="P99">
            <v>1156521.6100000001</v>
          </cell>
        </row>
        <row r="117">
          <cell r="J117">
            <v>1440</v>
          </cell>
          <cell r="K117">
            <v>1440</v>
          </cell>
          <cell r="L117">
            <v>1440</v>
          </cell>
          <cell r="M117">
            <v>1440</v>
          </cell>
          <cell r="P117">
            <v>17280</v>
          </cell>
        </row>
        <row r="118">
          <cell r="P118">
            <v>10861.97</v>
          </cell>
        </row>
        <row r="119">
          <cell r="P119">
            <v>28141.97</v>
          </cell>
        </row>
        <row r="146">
          <cell r="P146">
            <v>246928.53000000003</v>
          </cell>
        </row>
        <row r="149">
          <cell r="P149">
            <v>44400</v>
          </cell>
        </row>
        <row r="150">
          <cell r="P150">
            <v>937790.4</v>
          </cell>
        </row>
        <row r="166">
          <cell r="P166">
            <v>2880</v>
          </cell>
        </row>
        <row r="167">
          <cell r="P167">
            <v>7826.19</v>
          </cell>
        </row>
        <row r="168">
          <cell r="P168">
            <v>105029.85</v>
          </cell>
        </row>
      </sheetData>
      <sheetData sheetId="6" refreshError="1"/>
      <sheetData sheetId="7">
        <row r="5">
          <cell r="P5">
            <v>2218510.42</v>
          </cell>
        </row>
        <row r="8">
          <cell r="P8">
            <v>399600</v>
          </cell>
        </row>
        <row r="10">
          <cell r="P10">
            <v>8993398.379999999</v>
          </cell>
        </row>
        <row r="14">
          <cell r="P14">
            <v>82256.53</v>
          </cell>
        </row>
        <row r="15">
          <cell r="P15">
            <v>369093.09</v>
          </cell>
        </row>
        <row r="154">
          <cell r="L154">
            <v>20577.38</v>
          </cell>
        </row>
        <row r="155">
          <cell r="L155">
            <v>61732.13</v>
          </cell>
        </row>
        <row r="158">
          <cell r="P158">
            <v>1027962.06</v>
          </cell>
        </row>
        <row r="173">
          <cell r="L173">
            <v>1384</v>
          </cell>
          <cell r="P173">
            <v>5536</v>
          </cell>
        </row>
        <row r="243">
          <cell r="P243">
            <v>78390</v>
          </cell>
        </row>
        <row r="247">
          <cell r="P247">
            <v>291685.64</v>
          </cell>
        </row>
        <row r="259">
          <cell r="P259">
            <v>30674.36</v>
          </cell>
        </row>
        <row r="399">
          <cell r="P399">
            <v>164692.18000000002</v>
          </cell>
        </row>
        <row r="403">
          <cell r="P403">
            <v>627422.02</v>
          </cell>
        </row>
        <row r="415">
          <cell r="P415">
            <v>61388.52</v>
          </cell>
        </row>
        <row r="416">
          <cell r="P416">
            <v>10767.98</v>
          </cell>
        </row>
      </sheetData>
      <sheetData sheetId="8" refreshError="1"/>
      <sheetData sheetId="9">
        <row r="5">
          <cell r="P5">
            <v>1195687.25</v>
          </cell>
        </row>
        <row r="8">
          <cell r="P8">
            <v>222000</v>
          </cell>
        </row>
        <row r="10">
          <cell r="P10">
            <v>4678333.540000001</v>
          </cell>
        </row>
        <row r="14">
          <cell r="P14">
            <v>33683.119999999995</v>
          </cell>
        </row>
        <row r="15">
          <cell r="P15">
            <v>378910.88</v>
          </cell>
        </row>
        <row r="60">
          <cell r="P60">
            <v>76090.52</v>
          </cell>
        </row>
        <row r="64">
          <cell r="P64">
            <v>278926.03999999998</v>
          </cell>
        </row>
        <row r="76">
          <cell r="P76">
            <v>29105.32</v>
          </cell>
        </row>
        <row r="77">
          <cell r="P77">
            <v>5130.6400000000003</v>
          </cell>
        </row>
        <row r="225">
          <cell r="P225">
            <v>166124.01</v>
          </cell>
        </row>
        <row r="229">
          <cell r="P229">
            <v>637391.5</v>
          </cell>
        </row>
        <row r="241">
          <cell r="P241">
            <v>62704.459999999992</v>
          </cell>
        </row>
      </sheetData>
      <sheetData sheetId="10" refreshError="1"/>
      <sheetData sheetId="11">
        <row r="5">
          <cell r="P5">
            <v>8649751.7799999993</v>
          </cell>
        </row>
        <row r="9">
          <cell r="P9">
            <v>3604858.06</v>
          </cell>
        </row>
        <row r="15">
          <cell r="P15">
            <v>42116891.879999995</v>
          </cell>
        </row>
        <row r="19">
          <cell r="P19">
            <v>345608.88</v>
          </cell>
        </row>
        <row r="22">
          <cell r="P22">
            <v>1620277.5499999986</v>
          </cell>
        </row>
        <row r="1780">
          <cell r="P1780">
            <v>497868.66000000015</v>
          </cell>
        </row>
        <row r="1795">
          <cell r="P1795">
            <v>24119.279999999995</v>
          </cell>
        </row>
        <row r="1796">
          <cell r="P1796">
            <v>17280</v>
          </cell>
        </row>
        <row r="2852">
          <cell r="P2852">
            <v>515236.07999999984</v>
          </cell>
        </row>
        <row r="2861">
          <cell r="P2861">
            <v>15898.62</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chedule"/>
      <sheetName val="Disclosure Note for AFS"/>
      <sheetName val="Disclosure Note Original"/>
      <sheetName val="Solar vs payday"/>
      <sheetName val="Differences investigation"/>
      <sheetName val="Gazette vs payday"/>
      <sheetName val="Overpayments"/>
      <sheetName val="Review Notes"/>
      <sheetName val="Top 4 - 201718 FY"/>
      <sheetName val="Sheet1"/>
      <sheetName val="Mayoral Committee 201718 FY"/>
      <sheetName val="Sheet2"/>
      <sheetName val="S79 Committees 201718 FY"/>
      <sheetName val="Sheet3"/>
      <sheetName val="Part-time councillors 201718 FY"/>
      <sheetName val="Sheet4"/>
      <sheetName val="Councillors list"/>
      <sheetName val="Composition of Committees"/>
      <sheetName val="TB 201718 FY"/>
      <sheetName val="TB 201617 FY"/>
      <sheetName val="GL 201718"/>
      <sheetName val="Payroll Report - June 20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54">
          <cell r="M154">
            <v>20577.38</v>
          </cell>
        </row>
        <row r="173">
          <cell r="M173">
            <v>1384</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view="pageBreakPreview" topLeftCell="A15" zoomScale="80" zoomScaleSheetLayoutView="80" workbookViewId="0">
      <selection activeCell="M35" sqref="M35"/>
    </sheetView>
  </sheetViews>
  <sheetFormatPr defaultRowHeight="14.4" x14ac:dyDescent="0.3"/>
  <cols>
    <col min="1" max="1" width="2.109375" customWidth="1"/>
    <col min="2" max="2" width="16" customWidth="1"/>
    <col min="3" max="3" width="19.88671875" customWidth="1"/>
    <col min="4" max="4" width="20.5546875" customWidth="1"/>
    <col min="5" max="5" width="25" customWidth="1"/>
    <col min="6" max="6" width="20.44140625" customWidth="1"/>
    <col min="7" max="7" width="22.33203125" bestFit="1" customWidth="1"/>
    <col min="8" max="8" width="25.109375" bestFit="1" customWidth="1"/>
    <col min="9" max="9" width="3.33203125" customWidth="1"/>
  </cols>
  <sheetData>
    <row r="1" spans="1:9" ht="24.75" customHeight="1" x14ac:dyDescent="0.4">
      <c r="A1" s="5"/>
      <c r="B1" s="6"/>
      <c r="C1" s="7"/>
      <c r="D1" s="224"/>
      <c r="E1" s="224"/>
      <c r="F1" s="224"/>
      <c r="G1" s="9" t="s">
        <v>2</v>
      </c>
      <c r="H1" s="784" t="s">
        <v>362</v>
      </c>
      <c r="I1" s="785"/>
    </row>
    <row r="2" spans="1:9" x14ac:dyDescent="0.3">
      <c r="A2" s="5"/>
      <c r="B2" s="10"/>
      <c r="C2" s="11"/>
      <c r="D2" s="8"/>
      <c r="E2" s="8"/>
      <c r="F2" s="8"/>
      <c r="G2" s="12" t="s">
        <v>3</v>
      </c>
      <c r="H2" s="786" t="s">
        <v>255</v>
      </c>
      <c r="I2" s="787"/>
    </row>
    <row r="3" spans="1:9" x14ac:dyDescent="0.3">
      <c r="A3" s="5"/>
      <c r="B3" s="10"/>
      <c r="C3" s="11"/>
      <c r="D3" s="8"/>
      <c r="E3" s="8"/>
      <c r="F3" s="8"/>
      <c r="G3" s="12" t="s">
        <v>4</v>
      </c>
      <c r="H3" s="788">
        <f ca="1">NOW()</f>
        <v>43857.495622106479</v>
      </c>
      <c r="I3" s="787"/>
    </row>
    <row r="4" spans="1:9" x14ac:dyDescent="0.3">
      <c r="A4" s="5"/>
      <c r="B4" s="10"/>
      <c r="C4" s="11"/>
      <c r="D4" s="13"/>
      <c r="E4" s="13"/>
      <c r="F4" s="14"/>
      <c r="G4" s="12" t="s">
        <v>5</v>
      </c>
      <c r="H4" s="786"/>
      <c r="I4" s="787"/>
    </row>
    <row r="5" spans="1:9" x14ac:dyDescent="0.3">
      <c r="A5" s="5"/>
      <c r="B5" s="10"/>
      <c r="C5" s="11"/>
      <c r="D5" s="13"/>
      <c r="E5" s="13"/>
      <c r="F5" s="14"/>
      <c r="G5" s="12" t="s">
        <v>4</v>
      </c>
      <c r="H5" s="789"/>
      <c r="I5" s="787"/>
    </row>
    <row r="6" spans="1:9" x14ac:dyDescent="0.3">
      <c r="A6" s="5"/>
      <c r="B6" s="10" t="s">
        <v>132</v>
      </c>
      <c r="C6" s="13" t="s">
        <v>133</v>
      </c>
      <c r="E6" s="13"/>
      <c r="F6" s="14"/>
      <c r="G6" s="12"/>
      <c r="H6" s="15"/>
      <c r="I6" s="16"/>
    </row>
    <row r="7" spans="1:9" x14ac:dyDescent="0.3">
      <c r="A7" s="5"/>
      <c r="B7" s="10" t="s">
        <v>6</v>
      </c>
      <c r="C7" s="17" t="s">
        <v>621</v>
      </c>
      <c r="E7" s="13"/>
      <c r="F7" s="13"/>
      <c r="G7" s="13"/>
      <c r="H7" s="12"/>
      <c r="I7" s="18"/>
    </row>
    <row r="8" spans="1:9" x14ac:dyDescent="0.3">
      <c r="A8" s="5"/>
      <c r="B8" s="10" t="s">
        <v>7</v>
      </c>
      <c r="C8" s="13" t="s">
        <v>136</v>
      </c>
      <c r="E8" s="13"/>
      <c r="F8" s="13"/>
      <c r="G8" s="13"/>
      <c r="H8" s="13"/>
      <c r="I8" s="19"/>
    </row>
    <row r="9" spans="1:9" ht="15" thickBot="1" x14ac:dyDescent="0.35">
      <c r="A9" s="5"/>
      <c r="B9" s="20"/>
      <c r="C9" s="21"/>
      <c r="D9" s="21"/>
      <c r="E9" s="21"/>
      <c r="F9" s="21"/>
      <c r="G9" s="21"/>
      <c r="H9" s="21"/>
      <c r="I9" s="22"/>
    </row>
    <row r="10" spans="1:9" ht="15" thickBot="1" x14ac:dyDescent="0.35">
      <c r="A10" s="5"/>
      <c r="B10" s="13"/>
      <c r="C10" s="13"/>
      <c r="D10" s="13"/>
      <c r="E10" s="13"/>
      <c r="F10" s="13"/>
      <c r="G10" s="13"/>
      <c r="H10" s="13"/>
      <c r="I10" s="13"/>
    </row>
    <row r="11" spans="1:9" ht="21.6" thickBot="1" x14ac:dyDescent="0.45">
      <c r="A11" s="5"/>
      <c r="B11" s="781" t="s">
        <v>8</v>
      </c>
      <c r="C11" s="782"/>
      <c r="D11" s="782"/>
      <c r="E11" s="782"/>
      <c r="F11" s="782"/>
      <c r="G11" s="782"/>
      <c r="H11" s="782"/>
      <c r="I11" s="783"/>
    </row>
    <row r="12" spans="1:9" ht="15" thickBot="1" x14ac:dyDescent="0.35">
      <c r="A12" s="5"/>
      <c r="B12" s="23"/>
      <c r="C12" s="23"/>
      <c r="D12" s="13"/>
      <c r="E12" s="13"/>
      <c r="F12" s="13"/>
      <c r="G12" s="13"/>
      <c r="H12" s="13"/>
      <c r="I12" s="13"/>
    </row>
    <row r="13" spans="1:9" ht="21" x14ac:dyDescent="0.4">
      <c r="A13" s="13"/>
      <c r="B13" s="24" t="s">
        <v>9</v>
      </c>
      <c r="C13" s="7"/>
      <c r="D13" s="25"/>
      <c r="E13" s="25"/>
      <c r="F13" s="25"/>
      <c r="G13" s="25"/>
      <c r="H13" s="25"/>
      <c r="I13" s="26"/>
    </row>
    <row r="14" spans="1:9" x14ac:dyDescent="0.3">
      <c r="A14" s="5"/>
      <c r="B14" s="27">
        <v>1</v>
      </c>
      <c r="C14" s="28" t="s">
        <v>27</v>
      </c>
      <c r="D14" s="28"/>
      <c r="E14" s="28"/>
      <c r="F14" s="28"/>
      <c r="G14" s="28"/>
      <c r="H14" s="28"/>
      <c r="I14" s="29"/>
    </row>
    <row r="15" spans="1:9" x14ac:dyDescent="0.3">
      <c r="A15" s="5"/>
      <c r="B15" s="27">
        <v>2</v>
      </c>
      <c r="C15" s="28" t="s">
        <v>10</v>
      </c>
      <c r="D15" s="30"/>
      <c r="E15" s="30"/>
      <c r="F15" s="30"/>
      <c r="G15" s="30"/>
      <c r="H15" s="30"/>
      <c r="I15" s="29"/>
    </row>
    <row r="16" spans="1:9" x14ac:dyDescent="0.3">
      <c r="A16" s="5"/>
      <c r="B16" s="27">
        <v>3</v>
      </c>
      <c r="C16" s="28" t="s">
        <v>28</v>
      </c>
      <c r="D16" s="30"/>
      <c r="E16" s="30"/>
      <c r="F16" s="30"/>
      <c r="G16" s="30"/>
      <c r="H16" s="30"/>
      <c r="I16" s="29"/>
    </row>
    <row r="17" spans="1:9" x14ac:dyDescent="0.3">
      <c r="A17" s="5"/>
      <c r="B17" s="27">
        <v>4</v>
      </c>
      <c r="C17" s="28" t="s">
        <v>29</v>
      </c>
      <c r="D17" s="30"/>
      <c r="E17" s="30"/>
      <c r="F17" s="30"/>
      <c r="G17" s="30"/>
      <c r="H17" s="30"/>
      <c r="I17" s="29"/>
    </row>
    <row r="18" spans="1:9" ht="15" thickBot="1" x14ac:dyDescent="0.35">
      <c r="A18" s="5"/>
      <c r="B18" s="20"/>
      <c r="C18" s="31"/>
      <c r="D18" s="21"/>
      <c r="E18" s="21"/>
      <c r="F18" s="21"/>
      <c r="G18" s="21"/>
      <c r="H18" s="21"/>
      <c r="I18" s="22"/>
    </row>
    <row r="19" spans="1:9" x14ac:dyDescent="0.3">
      <c r="A19" s="5"/>
      <c r="B19" s="11"/>
      <c r="C19" s="11"/>
      <c r="D19" s="5"/>
      <c r="E19" s="13"/>
      <c r="F19" s="13"/>
      <c r="G19" s="13"/>
      <c r="H19" s="13"/>
      <c r="I19" s="13"/>
    </row>
    <row r="20" spans="1:9" ht="15" thickBot="1" x14ac:dyDescent="0.35">
      <c r="A20" s="5"/>
      <c r="B20" s="13"/>
      <c r="C20" s="13"/>
      <c r="D20" s="13"/>
      <c r="E20" s="13"/>
      <c r="F20" s="13"/>
      <c r="G20" s="13"/>
      <c r="H20" s="13"/>
      <c r="I20" s="13"/>
    </row>
    <row r="21" spans="1:9" ht="21" x14ac:dyDescent="0.4">
      <c r="A21" s="5"/>
      <c r="B21" s="24" t="s">
        <v>11</v>
      </c>
      <c r="C21" s="7"/>
      <c r="D21" s="25"/>
      <c r="E21" s="32"/>
      <c r="F21" s="32"/>
      <c r="G21" s="32"/>
      <c r="H21" s="25"/>
      <c r="I21" s="33"/>
    </row>
    <row r="22" spans="1:9" ht="21" x14ac:dyDescent="0.4">
      <c r="A22" s="5"/>
      <c r="B22" s="34"/>
      <c r="C22" s="35" t="s">
        <v>12</v>
      </c>
      <c r="D22" s="35" t="s">
        <v>13</v>
      </c>
      <c r="E22" s="36"/>
      <c r="F22" s="23"/>
      <c r="G22" s="23"/>
      <c r="H22" s="13"/>
      <c r="I22" s="37"/>
    </row>
    <row r="23" spans="1:9" x14ac:dyDescent="0.3">
      <c r="A23" s="5"/>
      <c r="B23" s="38">
        <v>1</v>
      </c>
      <c r="C23" s="39" t="s">
        <v>255</v>
      </c>
      <c r="D23" s="13" t="s">
        <v>269</v>
      </c>
      <c r="E23" s="23"/>
      <c r="F23" s="40"/>
      <c r="G23" s="23"/>
      <c r="H23" s="13"/>
      <c r="I23" s="41"/>
    </row>
    <row r="24" spans="1:9" ht="15" thickBot="1" x14ac:dyDescent="0.35">
      <c r="A24" s="5"/>
      <c r="B24" s="20"/>
      <c r="C24" s="21"/>
      <c r="D24" s="21"/>
      <c r="E24" s="42"/>
      <c r="F24" s="42"/>
      <c r="G24" s="42"/>
      <c r="H24" s="21"/>
      <c r="I24" s="43"/>
    </row>
    <row r="25" spans="1:9" ht="15" thickBot="1" x14ac:dyDescent="0.35">
      <c r="A25" s="5"/>
      <c r="B25" s="13"/>
      <c r="C25" s="13"/>
      <c r="D25" s="13"/>
      <c r="E25" s="13"/>
      <c r="F25" s="13"/>
      <c r="G25" s="13"/>
      <c r="H25" s="13"/>
      <c r="I25" s="13"/>
    </row>
    <row r="26" spans="1:9" ht="21" x14ac:dyDescent="0.4">
      <c r="A26" s="5"/>
      <c r="B26" s="24" t="s">
        <v>14</v>
      </c>
      <c r="C26" s="44"/>
      <c r="D26" s="45"/>
      <c r="E26" s="32"/>
      <c r="F26" s="32"/>
      <c r="G26" s="32"/>
      <c r="H26" s="25"/>
      <c r="I26" s="26"/>
    </row>
    <row r="27" spans="1:9" x14ac:dyDescent="0.3">
      <c r="A27" s="5"/>
      <c r="B27" s="38">
        <v>1</v>
      </c>
      <c r="C27" s="13" t="s">
        <v>363</v>
      </c>
      <c r="D27" s="46"/>
      <c r="E27" s="23"/>
      <c r="F27" s="23"/>
      <c r="G27" s="23"/>
      <c r="H27" s="13"/>
      <c r="I27" s="47"/>
    </row>
    <row r="28" spans="1:9" x14ac:dyDescent="0.3">
      <c r="A28" s="5"/>
      <c r="B28" s="38">
        <v>2</v>
      </c>
      <c r="C28" s="13" t="s">
        <v>25</v>
      </c>
      <c r="D28" s="46"/>
      <c r="E28" s="23"/>
      <c r="F28" s="23"/>
      <c r="G28" s="23"/>
      <c r="H28" s="84"/>
      <c r="I28" s="47"/>
    </row>
    <row r="29" spans="1:9" x14ac:dyDescent="0.3">
      <c r="A29" s="5"/>
      <c r="B29" s="38">
        <v>3</v>
      </c>
      <c r="C29" s="13" t="s">
        <v>622</v>
      </c>
      <c r="D29" s="46"/>
      <c r="E29" s="23"/>
      <c r="F29" s="23"/>
      <c r="G29" s="23"/>
      <c r="H29" s="84"/>
      <c r="I29" s="47"/>
    </row>
    <row r="30" spans="1:9" ht="15" thickBot="1" x14ac:dyDescent="0.35">
      <c r="A30" s="5"/>
      <c r="B30" s="20"/>
      <c r="C30" s="48"/>
      <c r="D30" s="49"/>
      <c r="E30" s="50"/>
      <c r="F30" s="51"/>
      <c r="G30" s="51"/>
      <c r="H30" s="51"/>
      <c r="I30" s="52"/>
    </row>
    <row r="31" spans="1:9" ht="15" thickBot="1" x14ac:dyDescent="0.35">
      <c r="A31" s="5"/>
      <c r="B31" s="53"/>
      <c r="C31" s="53"/>
      <c r="D31" s="54"/>
      <c r="E31" s="54"/>
      <c r="F31" s="54"/>
      <c r="G31" s="54"/>
      <c r="H31" s="54"/>
      <c r="I31" s="54"/>
    </row>
    <row r="32" spans="1:9" ht="21" x14ac:dyDescent="0.4">
      <c r="A32" s="5"/>
      <c r="B32" s="55" t="s">
        <v>15</v>
      </c>
      <c r="C32" s="56"/>
      <c r="D32" s="57"/>
      <c r="E32" s="57"/>
      <c r="F32" s="57"/>
      <c r="G32" s="57"/>
      <c r="H32" s="57"/>
      <c r="I32" s="58"/>
    </row>
    <row r="33" spans="1:9" x14ac:dyDescent="0.3">
      <c r="A33" s="5"/>
      <c r="B33" s="59"/>
      <c r="C33" s="60"/>
      <c r="D33" s="60"/>
      <c r="E33" s="60"/>
      <c r="F33" s="60"/>
      <c r="G33" s="60"/>
      <c r="H33" s="60"/>
      <c r="I33" s="61"/>
    </row>
    <row r="34" spans="1:9" x14ac:dyDescent="0.3">
      <c r="A34" s="5"/>
      <c r="B34" s="69">
        <v>1</v>
      </c>
      <c r="C34" s="97" t="s">
        <v>704</v>
      </c>
      <c r="D34" s="62"/>
      <c r="E34" s="62"/>
      <c r="F34" s="62"/>
      <c r="G34" s="60"/>
      <c r="H34" s="62"/>
      <c r="I34" s="19"/>
    </row>
    <row r="35" spans="1:9" x14ac:dyDescent="0.3">
      <c r="A35" s="5"/>
      <c r="B35" s="63"/>
      <c r="C35" s="64"/>
      <c r="D35" s="60"/>
      <c r="E35" s="65"/>
      <c r="F35" s="66"/>
      <c r="G35" s="67"/>
      <c r="H35" s="66"/>
      <c r="I35" s="68"/>
    </row>
    <row r="36" spans="1:9" x14ac:dyDescent="0.3">
      <c r="A36" s="5"/>
      <c r="B36" s="63"/>
      <c r="C36" s="64"/>
      <c r="D36" s="60"/>
      <c r="E36" s="65"/>
      <c r="F36" s="66"/>
      <c r="G36" s="67"/>
      <c r="H36" s="66"/>
      <c r="I36" s="19"/>
    </row>
    <row r="37" spans="1:9" x14ac:dyDescent="0.3">
      <c r="A37" s="5"/>
      <c r="B37" s="69"/>
      <c r="C37" s="60"/>
      <c r="D37" s="60"/>
      <c r="E37" s="60"/>
      <c r="F37" s="66"/>
      <c r="G37" s="67"/>
      <c r="H37" s="66"/>
      <c r="I37" s="70"/>
    </row>
    <row r="38" spans="1:9" x14ac:dyDescent="0.3">
      <c r="A38" s="5"/>
      <c r="B38" s="71"/>
      <c r="C38" s="60"/>
      <c r="D38" s="60"/>
      <c r="E38" s="60"/>
      <c r="F38" s="72"/>
      <c r="G38" s="73"/>
      <c r="H38" s="72"/>
      <c r="I38" s="70"/>
    </row>
    <row r="39" spans="1:9" x14ac:dyDescent="0.3">
      <c r="A39" s="5"/>
      <c r="B39" s="74"/>
      <c r="C39" s="60"/>
      <c r="D39" s="60"/>
      <c r="E39" s="60"/>
      <c r="F39" s="60"/>
      <c r="G39" s="60"/>
      <c r="H39" s="60"/>
      <c r="I39" s="19"/>
    </row>
    <row r="40" spans="1:9" ht="15" thickBot="1" x14ac:dyDescent="0.35">
      <c r="A40" s="5"/>
      <c r="B40" s="75"/>
      <c r="C40" s="76"/>
      <c r="D40" s="77"/>
      <c r="E40" s="77"/>
      <c r="F40" s="78"/>
      <c r="G40" s="76"/>
      <c r="H40" s="78"/>
      <c r="I40" s="79"/>
    </row>
    <row r="41" spans="1:9" x14ac:dyDescent="0.3">
      <c r="A41" s="80"/>
      <c r="B41" s="81"/>
      <c r="C41" s="81"/>
      <c r="D41" s="81"/>
      <c r="E41" s="81"/>
      <c r="F41" s="81"/>
      <c r="G41" s="82"/>
      <c r="H41" s="81"/>
      <c r="I41" s="81"/>
    </row>
  </sheetData>
  <mergeCells count="6">
    <mergeCell ref="B11:I11"/>
    <mergeCell ref="H1:I1"/>
    <mergeCell ref="H2:I2"/>
    <mergeCell ref="H3:I3"/>
    <mergeCell ref="H4:I4"/>
    <mergeCell ref="H5:I5"/>
  </mergeCells>
  <pageMargins left="0.70866141732283472" right="0.70866141732283472" top="0.74803149606299213" bottom="0.7480314960629921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H10"/>
  <sheetViews>
    <sheetView workbookViewId="0">
      <selection activeCell="B7" sqref="B7"/>
    </sheetView>
  </sheetViews>
  <sheetFormatPr defaultColWidth="9.109375" defaultRowHeight="14.4" x14ac:dyDescent="0.3"/>
  <cols>
    <col min="1" max="1" width="29.6640625" style="1" bestFit="1" customWidth="1"/>
    <col min="2" max="2" width="9"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773" t="s">
        <v>846</v>
      </c>
      <c r="C7" s="291" t="s">
        <v>844</v>
      </c>
      <c r="D7" s="296" t="s">
        <v>845</v>
      </c>
      <c r="E7" s="293" t="s">
        <v>147</v>
      </c>
      <c r="F7" s="278">
        <v>424</v>
      </c>
      <c r="G7" s="295" t="s">
        <v>148</v>
      </c>
      <c r="H7" s="338" t="s">
        <v>158</v>
      </c>
    </row>
    <row r="8" spans="1:8" s="80" customFormat="1" x14ac:dyDescent="0.3">
      <c r="A8" s="289"/>
      <c r="B8" s="290"/>
      <c r="C8" s="291"/>
      <c r="D8" s="296"/>
      <c r="E8" s="425"/>
      <c r="F8" s="278"/>
      <c r="G8" s="295"/>
      <c r="H8" s="338"/>
    </row>
    <row r="9" spans="1:8" ht="15" thickBot="1" x14ac:dyDescent="0.35">
      <c r="F9" s="374">
        <f>SUM(F7:F8)</f>
        <v>424</v>
      </c>
    </row>
    <row r="10" spans="1:8" ht="15" thickTop="1" x14ac:dyDescent="0.3"/>
  </sheetData>
  <hyperlinks>
    <hyperlink ref="A1" location="'C.5.11.1 F&amp;W Register'!A1" display="Back to MFMA-7.1 F&amp;W Register"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H10"/>
  <sheetViews>
    <sheetView workbookViewId="0"/>
  </sheetViews>
  <sheetFormatPr defaultColWidth="9.109375" defaultRowHeight="14.4" x14ac:dyDescent="0.3"/>
  <cols>
    <col min="1" max="1" width="29.6640625" style="1" bestFit="1" customWidth="1"/>
    <col min="2" max="2" width="9"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773" t="s">
        <v>851</v>
      </c>
      <c r="C7" s="291" t="s">
        <v>847</v>
      </c>
      <c r="D7" s="296" t="s">
        <v>848</v>
      </c>
      <c r="E7" s="293" t="s">
        <v>147</v>
      </c>
      <c r="F7" s="278">
        <v>125</v>
      </c>
      <c r="G7" s="295" t="s">
        <v>148</v>
      </c>
      <c r="H7" s="338" t="s">
        <v>158</v>
      </c>
    </row>
    <row r="8" spans="1:8" s="80" customFormat="1" x14ac:dyDescent="0.3">
      <c r="A8" s="289"/>
      <c r="B8" s="290"/>
      <c r="C8" s="291"/>
      <c r="D8" s="296"/>
      <c r="E8" s="425"/>
      <c r="F8" s="278"/>
      <c r="G8" s="295"/>
      <c r="H8" s="338"/>
    </row>
    <row r="9" spans="1:8" ht="15" thickBot="1" x14ac:dyDescent="0.35">
      <c r="F9" s="374">
        <f>SUM(F7:F8)</f>
        <v>125</v>
      </c>
    </row>
    <row r="10" spans="1:8" ht="15" thickTop="1" x14ac:dyDescent="0.3"/>
  </sheetData>
  <hyperlinks>
    <hyperlink ref="A1" location="'C.5.11.1 F&amp;W Register'!A1" display="Back to MFMA-7.1 F&amp;W Register"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635</v>
      </c>
      <c r="C7" s="291" t="s">
        <v>636</v>
      </c>
      <c r="D7" s="296">
        <v>139478</v>
      </c>
      <c r="E7" s="293" t="s">
        <v>147</v>
      </c>
      <c r="F7" s="278">
        <v>207608.4</v>
      </c>
      <c r="G7" s="295" t="s">
        <v>148</v>
      </c>
      <c r="H7" s="338" t="s">
        <v>158</v>
      </c>
    </row>
    <row r="8" spans="1:8" s="80" customFormat="1" x14ac:dyDescent="0.3">
      <c r="A8" s="289"/>
      <c r="B8" s="290"/>
      <c r="C8" s="291"/>
      <c r="D8" s="296"/>
      <c r="E8" s="425"/>
      <c r="F8" s="278"/>
      <c r="G8" s="295"/>
      <c r="H8" s="338"/>
    </row>
    <row r="9" spans="1:8" ht="15" thickBot="1" x14ac:dyDescent="0.35">
      <c r="F9" s="374">
        <f>SUM(F7:F8)</f>
        <v>207608.4</v>
      </c>
    </row>
    <row r="10" spans="1:8" ht="15" thickTop="1" x14ac:dyDescent="0.3"/>
  </sheetData>
  <hyperlinks>
    <hyperlink ref="A1" location="'C.5.11.1 F&amp;W Register'!A1" display="Back to MFMA-7.1 F&amp;W Register"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H10"/>
  <sheetViews>
    <sheetView workbookViewId="0">
      <selection activeCell="B8" sqref="B8"/>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851</v>
      </c>
      <c r="C7" s="291" t="s">
        <v>663</v>
      </c>
      <c r="D7" s="296" t="s">
        <v>859</v>
      </c>
      <c r="E7" s="293" t="s">
        <v>147</v>
      </c>
      <c r="F7" s="278">
        <v>1635.66</v>
      </c>
      <c r="G7" s="295" t="s">
        <v>148</v>
      </c>
      <c r="H7" s="338" t="s">
        <v>158</v>
      </c>
    </row>
    <row r="8" spans="1:8" s="80" customFormat="1" x14ac:dyDescent="0.3">
      <c r="A8" s="289"/>
      <c r="B8" s="290"/>
      <c r="C8" s="291"/>
      <c r="D8" s="296"/>
      <c r="E8" s="425"/>
      <c r="F8" s="278"/>
      <c r="G8" s="295"/>
      <c r="H8" s="338"/>
    </row>
    <row r="9" spans="1:8" ht="15" thickBot="1" x14ac:dyDescent="0.35">
      <c r="F9" s="374">
        <f>SUM(F7:F8)</f>
        <v>1635.66</v>
      </c>
    </row>
    <row r="10" spans="1:8" ht="15" thickTop="1" x14ac:dyDescent="0.3"/>
  </sheetData>
  <hyperlinks>
    <hyperlink ref="A1" location="'C.5.11.1 F&amp;W Register'!A1" display="Back to MFMA-7.1 F&amp;W Register"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H10"/>
  <sheetViews>
    <sheetView workbookViewId="0">
      <selection activeCell="C19" sqref="C19"/>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3.109375"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689</v>
      </c>
      <c r="E6" s="286" t="s">
        <v>142</v>
      </c>
      <c r="F6" s="287" t="s">
        <v>143</v>
      </c>
      <c r="G6" s="288" t="s">
        <v>144</v>
      </c>
      <c r="H6" s="288" t="s">
        <v>157</v>
      </c>
    </row>
    <row r="7" spans="1:8" s="80" customFormat="1" x14ac:dyDescent="0.3">
      <c r="A7" s="289" t="s">
        <v>145</v>
      </c>
      <c r="B7" s="290" t="s">
        <v>639</v>
      </c>
      <c r="C7" s="291" t="s">
        <v>17</v>
      </c>
      <c r="D7" s="296">
        <v>523492</v>
      </c>
      <c r="E7" s="293" t="s">
        <v>147</v>
      </c>
      <c r="F7" s="278">
        <v>7771.13</v>
      </c>
      <c r="G7" s="295" t="s">
        <v>148</v>
      </c>
      <c r="H7" s="338" t="s">
        <v>158</v>
      </c>
    </row>
    <row r="8" spans="1:8" s="80" customFormat="1" x14ac:dyDescent="0.3">
      <c r="A8" s="289"/>
      <c r="B8" s="290"/>
      <c r="C8" s="291"/>
      <c r="D8" s="296"/>
      <c r="E8" s="425"/>
      <c r="F8" s="278"/>
      <c r="G8" s="295"/>
      <c r="H8" s="338"/>
    </row>
    <row r="9" spans="1:8" ht="15" thickBot="1" x14ac:dyDescent="0.35">
      <c r="F9" s="374">
        <f>SUM(F7:F8)</f>
        <v>7771.13</v>
      </c>
    </row>
    <row r="10" spans="1:8" ht="15" thickTop="1" x14ac:dyDescent="0.3"/>
  </sheetData>
  <hyperlinks>
    <hyperlink ref="A1" location="'C.5.11.1 F&amp;W Register'!A1" display="Back to MFMA-7.1 F&amp;W Register"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659</v>
      </c>
      <c r="C7" s="291" t="s">
        <v>826</v>
      </c>
      <c r="D7" s="296">
        <v>141725</v>
      </c>
      <c r="E7" s="293" t="s">
        <v>147</v>
      </c>
      <c r="F7" s="278">
        <v>635.49</v>
      </c>
      <c r="G7" s="295" t="s">
        <v>148</v>
      </c>
      <c r="H7" s="338" t="s">
        <v>158</v>
      </c>
    </row>
    <row r="8" spans="1:8" s="80" customFormat="1" x14ac:dyDescent="0.3">
      <c r="A8" s="289"/>
      <c r="B8" s="290" t="s">
        <v>851</v>
      </c>
      <c r="C8" s="291" t="s">
        <v>826</v>
      </c>
      <c r="D8" s="385" t="s">
        <v>852</v>
      </c>
      <c r="E8" s="425" t="s">
        <v>147</v>
      </c>
      <c r="F8" s="278">
        <v>6564.53</v>
      </c>
      <c r="G8" s="295"/>
      <c r="H8" s="338"/>
    </row>
    <row r="9" spans="1:8" ht="15" thickBot="1" x14ac:dyDescent="0.35">
      <c r="F9" s="374">
        <f>SUM(F7:F8)</f>
        <v>7200.0199999999995</v>
      </c>
    </row>
    <row r="10" spans="1:8" ht="15" thickTop="1" x14ac:dyDescent="0.3"/>
  </sheetData>
  <hyperlinks>
    <hyperlink ref="A1" location="'C.5.11.1 F&amp;W Register'!A1" display="Back to MFMA-7.1 F&amp;W Register"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H10"/>
  <sheetViews>
    <sheetView workbookViewId="0">
      <selection activeCell="C15" sqref="C15"/>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667</v>
      </c>
      <c r="E6" s="286" t="s">
        <v>142</v>
      </c>
      <c r="F6" s="287" t="s">
        <v>143</v>
      </c>
      <c r="G6" s="288" t="s">
        <v>144</v>
      </c>
      <c r="H6" s="288" t="s">
        <v>157</v>
      </c>
    </row>
    <row r="7" spans="1:8" s="80" customFormat="1" x14ac:dyDescent="0.3">
      <c r="A7" s="289" t="s">
        <v>145</v>
      </c>
      <c r="B7" s="290" t="s">
        <v>827</v>
      </c>
      <c r="C7" s="291" t="s">
        <v>828</v>
      </c>
      <c r="D7" s="385" t="s">
        <v>829</v>
      </c>
      <c r="E7" s="293" t="s">
        <v>147</v>
      </c>
      <c r="F7" s="278">
        <v>205791.94</v>
      </c>
      <c r="G7" s="295" t="s">
        <v>148</v>
      </c>
      <c r="H7" s="338" t="s">
        <v>158</v>
      </c>
    </row>
    <row r="8" spans="1:8" s="80" customFormat="1" x14ac:dyDescent="0.3">
      <c r="A8" s="289"/>
      <c r="B8" s="290"/>
      <c r="C8" s="291"/>
      <c r="D8" s="296"/>
      <c r="E8" s="425"/>
      <c r="F8" s="278"/>
      <c r="G8" s="295"/>
      <c r="H8" s="338"/>
    </row>
    <row r="9" spans="1:8" ht="15" thickBot="1" x14ac:dyDescent="0.35">
      <c r="F9" s="374">
        <f>SUM(F7:F8)</f>
        <v>205791.94</v>
      </c>
    </row>
    <row r="10" spans="1:8" ht="15" thickTop="1" x14ac:dyDescent="0.3"/>
  </sheetData>
  <hyperlinks>
    <hyperlink ref="A1" location="'C.5.11.1 F&amp;W Register'!A1" display="Back to MFMA-7.1 F&amp;W Register"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H10"/>
  <sheetViews>
    <sheetView workbookViewId="0">
      <selection activeCell="B17" sqref="B1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667</v>
      </c>
      <c r="E6" s="286" t="s">
        <v>142</v>
      </c>
      <c r="F6" s="287" t="s">
        <v>143</v>
      </c>
      <c r="G6" s="288" t="s">
        <v>144</v>
      </c>
      <c r="H6" s="288" t="s">
        <v>157</v>
      </c>
    </row>
    <row r="7" spans="1:8" s="80" customFormat="1" x14ac:dyDescent="0.3">
      <c r="A7" s="289" t="s">
        <v>145</v>
      </c>
      <c r="B7" s="290" t="s">
        <v>669</v>
      </c>
      <c r="C7" s="291" t="s">
        <v>666</v>
      </c>
      <c r="D7" s="385" t="s">
        <v>668</v>
      </c>
      <c r="E7" s="293" t="s">
        <v>147</v>
      </c>
      <c r="F7" s="278">
        <v>2725404.1</v>
      </c>
      <c r="G7" s="295" t="s">
        <v>148</v>
      </c>
      <c r="H7" s="338" t="s">
        <v>158</v>
      </c>
    </row>
    <row r="8" spans="1:8" s="80" customFormat="1" x14ac:dyDescent="0.3">
      <c r="A8" s="289"/>
      <c r="B8" s="290"/>
      <c r="C8" s="291"/>
      <c r="D8" s="296"/>
      <c r="E8" s="425"/>
      <c r="F8" s="278"/>
      <c r="G8" s="295"/>
      <c r="H8" s="338"/>
    </row>
    <row r="9" spans="1:8" ht="15" thickBot="1" x14ac:dyDescent="0.35">
      <c r="F9" s="374">
        <f>SUM(F7:F8)</f>
        <v>2725404.1</v>
      </c>
    </row>
    <row r="10" spans="1:8" ht="15" thickTop="1" x14ac:dyDescent="0.3"/>
  </sheetData>
  <hyperlinks>
    <hyperlink ref="A1" location="'C.5.11.1 F&amp;W Register'!A1" display="Back to MFMA-7.1 F&amp;W Register"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H10"/>
  <sheetViews>
    <sheetView workbookViewId="0">
      <selection activeCell="F9" sqref="F9"/>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667</v>
      </c>
      <c r="E6" s="286" t="s">
        <v>142</v>
      </c>
      <c r="F6" s="287" t="s">
        <v>143</v>
      </c>
      <c r="G6" s="288" t="s">
        <v>144</v>
      </c>
      <c r="H6" s="288" t="s">
        <v>157</v>
      </c>
    </row>
    <row r="7" spans="1:8" s="80" customFormat="1" x14ac:dyDescent="0.3">
      <c r="A7" s="289" t="s">
        <v>145</v>
      </c>
      <c r="B7" s="290" t="s">
        <v>670</v>
      </c>
      <c r="C7" s="291" t="s">
        <v>671</v>
      </c>
      <c r="D7" s="385" t="s">
        <v>672</v>
      </c>
      <c r="E7" s="293" t="s">
        <v>147</v>
      </c>
      <c r="F7" s="278">
        <v>250268.24</v>
      </c>
      <c r="G7" s="295" t="s">
        <v>148</v>
      </c>
      <c r="H7" s="338" t="s">
        <v>158</v>
      </c>
    </row>
    <row r="8" spans="1:8" s="80" customFormat="1" x14ac:dyDescent="0.3">
      <c r="A8" s="289"/>
      <c r="B8" s="290"/>
      <c r="C8" s="291"/>
      <c r="D8" s="296"/>
      <c r="E8" s="425"/>
      <c r="F8" s="278"/>
      <c r="G8" s="295"/>
      <c r="H8" s="338"/>
    </row>
    <row r="9" spans="1:8" ht="15" thickBot="1" x14ac:dyDescent="0.35">
      <c r="F9" s="374">
        <f>SUM(F7:F8)</f>
        <v>250268.24</v>
      </c>
    </row>
    <row r="10" spans="1:8" ht="15" thickTop="1" x14ac:dyDescent="0.3"/>
  </sheetData>
  <hyperlinks>
    <hyperlink ref="A1" location="'C.5.11.1 F&amp;W Register'!A1" display="Back to MFMA-7.1 F&amp;W Register"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H10"/>
  <sheetViews>
    <sheetView workbookViewId="0">
      <selection activeCell="C15" sqref="C15"/>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667</v>
      </c>
      <c r="E6" s="286" t="s">
        <v>142</v>
      </c>
      <c r="F6" s="287" t="s">
        <v>143</v>
      </c>
      <c r="G6" s="288" t="s">
        <v>144</v>
      </c>
      <c r="H6" s="288" t="s">
        <v>157</v>
      </c>
    </row>
    <row r="7" spans="1:8" s="80" customFormat="1" x14ac:dyDescent="0.3">
      <c r="A7" s="289" t="s">
        <v>145</v>
      </c>
      <c r="B7" s="290" t="s">
        <v>673</v>
      </c>
      <c r="C7" s="291" t="s">
        <v>674</v>
      </c>
      <c r="D7" s="385" t="s">
        <v>675</v>
      </c>
      <c r="E7" s="293" t="s">
        <v>147</v>
      </c>
      <c r="F7" s="278">
        <v>793871.98</v>
      </c>
      <c r="G7" s="295" t="s">
        <v>148</v>
      </c>
      <c r="H7" s="338" t="s">
        <v>158</v>
      </c>
    </row>
    <row r="8" spans="1:8" s="80" customFormat="1" x14ac:dyDescent="0.3">
      <c r="A8" s="289"/>
      <c r="B8" s="290"/>
      <c r="C8" s="291"/>
      <c r="D8" s="296"/>
      <c r="E8" s="425"/>
      <c r="F8" s="278"/>
      <c r="G8" s="295"/>
      <c r="H8" s="338"/>
    </row>
    <row r="9" spans="1:8" ht="15" thickBot="1" x14ac:dyDescent="0.35">
      <c r="F9" s="374">
        <f>SUM(F7:F8)</f>
        <v>793871.98</v>
      </c>
    </row>
    <row r="10" spans="1:8" ht="15" thickTop="1" x14ac:dyDescent="0.3"/>
  </sheetData>
  <hyperlinks>
    <hyperlink ref="A1" location="'C.5.11.1 F&amp;W Register'!A1" display="Back to MFMA-7.1 F&amp;W Register"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5"/>
  <sheetViews>
    <sheetView view="pageBreakPreview" topLeftCell="A141" zoomScale="80" zoomScaleNormal="100" zoomScaleSheetLayoutView="80" zoomScalePageLayoutView="80" workbookViewId="0">
      <selection activeCell="D157" sqref="D157"/>
    </sheetView>
  </sheetViews>
  <sheetFormatPr defaultColWidth="21" defaultRowHeight="13.2" x14ac:dyDescent="0.25"/>
  <cols>
    <col min="1" max="1" width="43.5546875" style="100" customWidth="1"/>
    <col min="2" max="2" width="11.33203125" style="99" customWidth="1"/>
    <col min="3" max="3" width="22.109375" style="100" bestFit="1" customWidth="1"/>
    <col min="4" max="4" width="36.109375" style="100" bestFit="1" customWidth="1"/>
    <col min="5" max="5" width="88.44140625" style="100" customWidth="1"/>
    <col min="6" max="6" width="44.44140625" style="100" bestFit="1" customWidth="1"/>
    <col min="7" max="7" width="34.6640625" style="100" bestFit="1" customWidth="1"/>
    <col min="8" max="16384" width="21" style="100"/>
  </cols>
  <sheetData>
    <row r="1" spans="1:13" ht="18" x14ac:dyDescent="0.35">
      <c r="E1" s="12" t="s">
        <v>2</v>
      </c>
      <c r="F1" s="390" t="s">
        <v>361</v>
      </c>
      <c r="G1" s="253"/>
    </row>
    <row r="2" spans="1:13" ht="17.399999999999999" x14ac:dyDescent="0.3">
      <c r="A2" s="98" t="s">
        <v>31</v>
      </c>
      <c r="E2" s="12" t="s">
        <v>3</v>
      </c>
      <c r="F2" s="794" t="s">
        <v>255</v>
      </c>
      <c r="G2" s="795"/>
    </row>
    <row r="3" spans="1:13" ht="17.399999999999999" x14ac:dyDescent="0.3">
      <c r="A3" s="98" t="s">
        <v>32</v>
      </c>
      <c r="B3" s="101"/>
      <c r="C3" s="102"/>
      <c r="D3" s="102"/>
      <c r="E3" s="12" t="s">
        <v>4</v>
      </c>
      <c r="F3" s="238">
        <f ca="1">NOW()</f>
        <v>43857.495622106479</v>
      </c>
      <c r="G3" s="90"/>
      <c r="H3" s="102"/>
      <c r="I3" s="102"/>
      <c r="J3" s="102"/>
      <c r="K3" s="102"/>
      <c r="L3" s="102"/>
      <c r="M3" s="102"/>
    </row>
    <row r="4" spans="1:13" ht="13.8" x14ac:dyDescent="0.25">
      <c r="A4" s="103"/>
      <c r="B4" s="101"/>
      <c r="C4" s="102"/>
      <c r="D4" s="102"/>
      <c r="E4" s="12" t="s">
        <v>5</v>
      </c>
      <c r="F4" s="90"/>
      <c r="G4" s="90"/>
      <c r="H4" s="102"/>
      <c r="I4" s="102"/>
      <c r="J4" s="102"/>
      <c r="K4" s="102"/>
      <c r="L4" s="102"/>
      <c r="M4" s="102"/>
    </row>
    <row r="5" spans="1:13" ht="13.8" x14ac:dyDescent="0.25">
      <c r="A5" s="104"/>
      <c r="B5" s="101"/>
      <c r="C5" s="102"/>
      <c r="D5" s="102"/>
      <c r="E5" s="12" t="s">
        <v>4</v>
      </c>
      <c r="F5" s="91"/>
      <c r="G5" s="90"/>
      <c r="H5" s="102"/>
      <c r="I5" s="102"/>
      <c r="J5" s="102"/>
      <c r="K5" s="102"/>
      <c r="L5" s="102"/>
      <c r="M5" s="102"/>
    </row>
    <row r="6" spans="1:13" ht="13.8" x14ac:dyDescent="0.25">
      <c r="A6" s="104"/>
      <c r="B6" s="101"/>
      <c r="C6" s="102"/>
      <c r="D6" s="102"/>
      <c r="E6" s="102"/>
      <c r="F6" s="102"/>
      <c r="G6" s="102"/>
      <c r="H6" s="102"/>
      <c r="I6" s="102"/>
      <c r="J6" s="102"/>
      <c r="K6" s="102"/>
      <c r="L6" s="102"/>
      <c r="M6" s="102"/>
    </row>
    <row r="7" spans="1:13" ht="14.4" thickBot="1" x14ac:dyDescent="0.3">
      <c r="A7" s="104"/>
      <c r="B7" s="101"/>
      <c r="C7" s="102"/>
      <c r="D7" s="102"/>
      <c r="E7" s="102"/>
      <c r="F7" s="102"/>
      <c r="G7" s="102"/>
      <c r="H7" s="102"/>
      <c r="I7" s="102"/>
      <c r="J7" s="102"/>
      <c r="K7" s="102"/>
      <c r="L7" s="102"/>
      <c r="M7" s="102"/>
    </row>
    <row r="8" spans="1:13" ht="28.2" thickBot="1" x14ac:dyDescent="0.3">
      <c r="A8" s="105" t="s">
        <v>33</v>
      </c>
      <c r="B8" s="106" t="s">
        <v>34</v>
      </c>
      <c r="C8" s="106" t="s">
        <v>35</v>
      </c>
      <c r="D8" s="107" t="s">
        <v>36</v>
      </c>
      <c r="E8" s="108" t="s">
        <v>37</v>
      </c>
      <c r="F8" s="107" t="s">
        <v>80</v>
      </c>
      <c r="G8" s="102"/>
      <c r="H8" s="102"/>
      <c r="I8" s="102"/>
      <c r="J8" s="102"/>
      <c r="K8" s="102"/>
      <c r="L8" s="102"/>
      <c r="M8" s="102"/>
    </row>
    <row r="9" spans="1:13" ht="15" thickBot="1" x14ac:dyDescent="0.35">
      <c r="A9" s="799" t="s">
        <v>38</v>
      </c>
      <c r="B9" s="800"/>
      <c r="C9" s="800"/>
      <c r="D9" s="800"/>
      <c r="E9" s="800"/>
      <c r="F9" s="800"/>
      <c r="G9" s="102"/>
      <c r="H9" s="102"/>
      <c r="I9" s="102"/>
      <c r="J9" s="102"/>
      <c r="K9" s="102"/>
      <c r="L9" s="102"/>
      <c r="M9" s="102"/>
    </row>
    <row r="10" spans="1:13" ht="84" thickBot="1" x14ac:dyDescent="0.35">
      <c r="A10" s="109" t="s">
        <v>39</v>
      </c>
      <c r="B10" s="110" t="s">
        <v>38</v>
      </c>
      <c r="C10" s="111">
        <v>41490</v>
      </c>
      <c r="D10" s="111"/>
      <c r="E10" s="112" t="s">
        <v>40</v>
      </c>
      <c r="F10" s="113" t="s">
        <v>41</v>
      </c>
      <c r="G10" s="102"/>
      <c r="H10" s="102"/>
      <c r="I10" s="102"/>
      <c r="J10" s="102"/>
      <c r="K10" s="102"/>
      <c r="L10" s="102"/>
      <c r="M10" s="102"/>
    </row>
    <row r="11" spans="1:13" ht="15" thickBot="1" x14ac:dyDescent="0.35">
      <c r="A11" s="109" t="s">
        <v>42</v>
      </c>
      <c r="B11" s="110" t="s">
        <v>38</v>
      </c>
      <c r="C11" s="111">
        <v>949</v>
      </c>
      <c r="D11" s="114"/>
      <c r="E11" s="801" t="s">
        <v>43</v>
      </c>
      <c r="F11" s="113" t="s">
        <v>41</v>
      </c>
      <c r="G11" s="102"/>
      <c r="H11" s="102"/>
      <c r="I11" s="102"/>
      <c r="J11" s="102"/>
      <c r="K11" s="102"/>
      <c r="L11" s="102"/>
      <c r="M11" s="102"/>
    </row>
    <row r="12" spans="1:13" ht="15" thickBot="1" x14ac:dyDescent="0.35">
      <c r="A12" s="115" t="s">
        <v>42</v>
      </c>
      <c r="B12" s="116" t="s">
        <v>38</v>
      </c>
      <c r="C12" s="117">
        <v>691.56</v>
      </c>
      <c r="D12" s="118"/>
      <c r="E12" s="802"/>
      <c r="F12" s="119" t="s">
        <v>41</v>
      </c>
      <c r="G12" s="102"/>
      <c r="H12" s="102"/>
      <c r="I12" s="102"/>
      <c r="J12" s="102"/>
      <c r="K12" s="102"/>
      <c r="L12" s="102"/>
      <c r="M12" s="102"/>
    </row>
    <row r="13" spans="1:13" ht="15" thickBot="1" x14ac:dyDescent="0.35">
      <c r="A13" s="115" t="s">
        <v>42</v>
      </c>
      <c r="B13" s="120" t="s">
        <v>38</v>
      </c>
      <c r="C13" s="117">
        <v>479.18</v>
      </c>
      <c r="D13" s="118"/>
      <c r="E13" s="802"/>
      <c r="F13" s="119" t="s">
        <v>41</v>
      </c>
      <c r="G13" s="102"/>
      <c r="H13" s="102"/>
      <c r="I13" s="102"/>
      <c r="J13" s="102"/>
      <c r="K13" s="102"/>
      <c r="L13" s="102"/>
      <c r="M13" s="102"/>
    </row>
    <row r="14" spans="1:13" ht="15" thickBot="1" x14ac:dyDescent="0.35">
      <c r="A14" s="115" t="s">
        <v>42</v>
      </c>
      <c r="B14" s="120" t="s">
        <v>38</v>
      </c>
      <c r="C14" s="117">
        <v>3114.75</v>
      </c>
      <c r="D14" s="118"/>
      <c r="E14" s="803"/>
      <c r="F14" s="119" t="s">
        <v>41</v>
      </c>
      <c r="G14" s="102"/>
      <c r="H14" s="102"/>
      <c r="I14" s="102"/>
      <c r="J14" s="102"/>
      <c r="K14" s="102"/>
      <c r="L14" s="102"/>
      <c r="M14" s="102"/>
    </row>
    <row r="15" spans="1:13" ht="43.8" thickBot="1" x14ac:dyDescent="0.3">
      <c r="A15" s="121" t="s">
        <v>44</v>
      </c>
      <c r="B15" s="122" t="s">
        <v>38</v>
      </c>
      <c r="C15" s="123">
        <v>2010</v>
      </c>
      <c r="D15" s="123"/>
      <c r="E15" s="124" t="s">
        <v>45</v>
      </c>
      <c r="F15" s="125" t="s">
        <v>41</v>
      </c>
      <c r="G15" s="102"/>
      <c r="H15" s="102"/>
      <c r="I15" s="102"/>
      <c r="J15" s="102"/>
      <c r="K15" s="102"/>
      <c r="L15" s="102"/>
      <c r="M15" s="102"/>
    </row>
    <row r="16" spans="1:13" ht="29.4" thickBot="1" x14ac:dyDescent="0.3">
      <c r="A16" s="126" t="s">
        <v>46</v>
      </c>
      <c r="B16" s="127" t="s">
        <v>38</v>
      </c>
      <c r="C16" s="123">
        <v>3573.52</v>
      </c>
      <c r="D16" s="123"/>
      <c r="E16" s="124" t="s">
        <v>47</v>
      </c>
      <c r="F16" s="125" t="s">
        <v>41</v>
      </c>
      <c r="G16" s="102"/>
      <c r="H16" s="102"/>
      <c r="I16" s="102"/>
      <c r="J16" s="102"/>
      <c r="K16" s="102"/>
      <c r="L16" s="102"/>
      <c r="M16" s="102"/>
    </row>
    <row r="17" spans="1:13" ht="15" thickBot="1" x14ac:dyDescent="0.3">
      <c r="A17" s="128" t="s">
        <v>48</v>
      </c>
      <c r="B17" s="129" t="s">
        <v>38</v>
      </c>
      <c r="C17" s="130">
        <v>276394.26</v>
      </c>
      <c r="D17" s="131"/>
      <c r="E17" s="804" t="s">
        <v>49</v>
      </c>
      <c r="F17" s="132" t="s">
        <v>41</v>
      </c>
      <c r="G17" s="102"/>
      <c r="H17" s="102"/>
      <c r="I17" s="102"/>
      <c r="J17" s="102"/>
      <c r="K17" s="102"/>
      <c r="L17" s="102"/>
      <c r="M17" s="102"/>
    </row>
    <row r="18" spans="1:13" ht="15" thickBot="1" x14ac:dyDescent="0.3">
      <c r="A18" s="128" t="s">
        <v>50</v>
      </c>
      <c r="B18" s="129" t="s">
        <v>38</v>
      </c>
      <c r="C18" s="133">
        <v>48735</v>
      </c>
      <c r="D18" s="134"/>
      <c r="E18" s="805"/>
      <c r="F18" s="132" t="s">
        <v>41</v>
      </c>
      <c r="G18" s="102"/>
      <c r="H18" s="102"/>
      <c r="I18" s="102"/>
      <c r="J18" s="102"/>
      <c r="K18" s="102"/>
      <c r="L18" s="102"/>
      <c r="M18" s="102"/>
    </row>
    <row r="19" spans="1:13" ht="15" thickBot="1" x14ac:dyDescent="0.3">
      <c r="A19" s="128" t="s">
        <v>50</v>
      </c>
      <c r="B19" s="129" t="s">
        <v>38</v>
      </c>
      <c r="C19" s="133">
        <v>92568</v>
      </c>
      <c r="D19" s="134"/>
      <c r="E19" s="805"/>
      <c r="F19" s="132" t="s">
        <v>41</v>
      </c>
      <c r="G19" s="102"/>
      <c r="H19" s="102"/>
      <c r="I19" s="102"/>
      <c r="J19" s="102"/>
      <c r="K19" s="102"/>
      <c r="L19" s="102"/>
      <c r="M19" s="102"/>
    </row>
    <row r="20" spans="1:13" ht="15" thickBot="1" x14ac:dyDescent="0.3">
      <c r="A20" s="128" t="s">
        <v>50</v>
      </c>
      <c r="B20" s="129" t="s">
        <v>38</v>
      </c>
      <c r="C20" s="133">
        <v>46516.67</v>
      </c>
      <c r="D20" s="134"/>
      <c r="E20" s="805"/>
      <c r="F20" s="132" t="s">
        <v>41</v>
      </c>
      <c r="G20" s="102"/>
      <c r="H20" s="102"/>
      <c r="I20" s="102"/>
      <c r="J20" s="102"/>
      <c r="K20" s="102"/>
      <c r="L20" s="102"/>
      <c r="M20" s="102"/>
    </row>
    <row r="21" spans="1:13" ht="15" thickBot="1" x14ac:dyDescent="0.3">
      <c r="A21" s="135" t="s">
        <v>51</v>
      </c>
      <c r="B21" s="136" t="s">
        <v>38</v>
      </c>
      <c r="C21" s="134">
        <v>2280000</v>
      </c>
      <c r="D21" s="134"/>
      <c r="E21" s="805"/>
      <c r="F21" s="137" t="s">
        <v>41</v>
      </c>
      <c r="G21" s="102"/>
      <c r="H21" s="102"/>
      <c r="I21" s="102"/>
      <c r="J21" s="102"/>
      <c r="K21" s="102"/>
      <c r="L21" s="102"/>
      <c r="M21" s="102"/>
    </row>
    <row r="22" spans="1:13" ht="15" thickBot="1" x14ac:dyDescent="0.3">
      <c r="A22" s="166" t="s">
        <v>841</v>
      </c>
      <c r="B22" s="138"/>
      <c r="C22" s="770">
        <f>SUM(C10:C21)</f>
        <v>2796521.94</v>
      </c>
      <c r="D22" s="139"/>
      <c r="E22" s="140"/>
      <c r="F22" s="141"/>
      <c r="G22" s="102"/>
      <c r="H22" s="102"/>
      <c r="I22" s="102"/>
      <c r="J22" s="102"/>
      <c r="K22" s="102"/>
      <c r="L22" s="102"/>
      <c r="M22" s="102"/>
    </row>
    <row r="23" spans="1:13" ht="15" thickBot="1" x14ac:dyDescent="0.35">
      <c r="A23" s="806" t="s">
        <v>52</v>
      </c>
      <c r="B23" s="807"/>
      <c r="C23" s="807"/>
      <c r="D23" s="807"/>
      <c r="E23" s="807"/>
      <c r="F23" s="807"/>
      <c r="G23" s="102"/>
      <c r="H23" s="102"/>
      <c r="I23" s="102"/>
      <c r="J23" s="102"/>
      <c r="K23" s="102"/>
      <c r="L23" s="102"/>
      <c r="M23" s="102"/>
    </row>
    <row r="24" spans="1:13" ht="29.4" thickBot="1" x14ac:dyDescent="0.3">
      <c r="A24" s="128" t="s">
        <v>53</v>
      </c>
      <c r="B24" s="129" t="s">
        <v>52</v>
      </c>
      <c r="C24" s="133">
        <v>1099158</v>
      </c>
      <c r="D24" s="133"/>
      <c r="E24" s="143" t="s">
        <v>54</v>
      </c>
      <c r="F24" s="137" t="s">
        <v>41</v>
      </c>
      <c r="G24" s="102"/>
      <c r="H24" s="102"/>
      <c r="I24" s="102"/>
      <c r="J24" s="102"/>
      <c r="K24" s="102"/>
      <c r="L24" s="102"/>
      <c r="M24" s="102"/>
    </row>
    <row r="25" spans="1:13" ht="43.8" thickBot="1" x14ac:dyDescent="0.3">
      <c r="A25" s="128" t="s">
        <v>55</v>
      </c>
      <c r="B25" s="129" t="s">
        <v>52</v>
      </c>
      <c r="C25" s="133">
        <v>191066</v>
      </c>
      <c r="D25" s="133"/>
      <c r="E25" s="143" t="s">
        <v>56</v>
      </c>
      <c r="F25" s="137" t="s">
        <v>41</v>
      </c>
      <c r="G25" s="102"/>
      <c r="H25" s="102"/>
      <c r="I25" s="102"/>
      <c r="J25" s="102"/>
      <c r="K25" s="102"/>
      <c r="L25" s="102"/>
      <c r="M25" s="102"/>
    </row>
    <row r="26" spans="1:13" ht="15" thickBot="1" x14ac:dyDescent="0.3">
      <c r="A26" s="128" t="s">
        <v>57</v>
      </c>
      <c r="B26" s="129" t="s">
        <v>52</v>
      </c>
      <c r="C26" s="133">
        <v>36606</v>
      </c>
      <c r="D26" s="134"/>
      <c r="E26" s="144" t="s">
        <v>58</v>
      </c>
      <c r="F26" s="137" t="s">
        <v>41</v>
      </c>
      <c r="G26" s="102"/>
      <c r="H26" s="102"/>
      <c r="I26" s="102"/>
      <c r="J26" s="102"/>
      <c r="K26" s="102"/>
      <c r="L26" s="102"/>
      <c r="M26" s="102"/>
    </row>
    <row r="27" spans="1:13" ht="15" thickBot="1" x14ac:dyDescent="0.3">
      <c r="A27" s="128" t="s">
        <v>59</v>
      </c>
      <c r="B27" s="129" t="s">
        <v>52</v>
      </c>
      <c r="C27" s="145">
        <v>1707.23</v>
      </c>
      <c r="D27" s="142"/>
      <c r="E27" s="146" t="s">
        <v>60</v>
      </c>
      <c r="F27" s="137" t="s">
        <v>41</v>
      </c>
      <c r="G27" s="102"/>
      <c r="H27" s="102"/>
      <c r="I27" s="102"/>
      <c r="J27" s="102"/>
      <c r="K27" s="102"/>
      <c r="L27" s="102"/>
      <c r="M27" s="102"/>
    </row>
    <row r="28" spans="1:13" ht="29.4" thickBot="1" x14ac:dyDescent="0.3">
      <c r="A28" s="135" t="s">
        <v>61</v>
      </c>
      <c r="B28" s="136" t="s">
        <v>52</v>
      </c>
      <c r="C28" s="134">
        <v>3271.52</v>
      </c>
      <c r="D28" s="134"/>
      <c r="E28" s="144" t="s">
        <v>62</v>
      </c>
      <c r="F28" s="137" t="s">
        <v>41</v>
      </c>
      <c r="G28" s="102"/>
      <c r="H28" s="102"/>
      <c r="I28" s="102"/>
      <c r="J28" s="102"/>
      <c r="K28" s="102"/>
      <c r="L28" s="102"/>
      <c r="M28" s="102"/>
    </row>
    <row r="29" spans="1:13" ht="15" thickBot="1" x14ac:dyDescent="0.3">
      <c r="A29" s="147" t="s">
        <v>63</v>
      </c>
      <c r="B29" s="148" t="s">
        <v>52</v>
      </c>
      <c r="C29" s="149">
        <v>5099888.33</v>
      </c>
      <c r="D29" s="150"/>
      <c r="E29" s="151" t="s">
        <v>64</v>
      </c>
      <c r="F29" s="137" t="s">
        <v>41</v>
      </c>
      <c r="G29" s="102"/>
      <c r="H29" s="102"/>
      <c r="I29" s="102"/>
      <c r="J29" s="102"/>
      <c r="K29" s="102"/>
      <c r="L29" s="102"/>
      <c r="M29" s="102"/>
    </row>
    <row r="30" spans="1:13" ht="14.4" x14ac:dyDescent="0.25">
      <c r="A30" s="166" t="s">
        <v>840</v>
      </c>
      <c r="B30" s="152"/>
      <c r="C30" s="769">
        <f>SUM(C24:C29)</f>
        <v>6431697.0800000001</v>
      </c>
      <c r="D30" s="153"/>
      <c r="E30" s="154"/>
      <c r="F30" s="155"/>
      <c r="G30" s="102"/>
      <c r="H30" s="102"/>
      <c r="I30" s="102"/>
      <c r="J30" s="102"/>
      <c r="K30" s="102"/>
      <c r="L30" s="102"/>
      <c r="M30" s="102"/>
    </row>
    <row r="31" spans="1:13" ht="14.4" x14ac:dyDescent="0.3">
      <c r="A31" s="796" t="s">
        <v>838</v>
      </c>
      <c r="B31" s="797"/>
      <c r="C31" s="797"/>
      <c r="D31" s="797"/>
      <c r="E31" s="797"/>
      <c r="F31" s="797"/>
      <c r="G31" s="102"/>
      <c r="H31" s="102"/>
      <c r="I31" s="102"/>
      <c r="J31" s="102"/>
      <c r="K31" s="102"/>
      <c r="L31" s="102"/>
      <c r="M31" s="102"/>
    </row>
    <row r="32" spans="1:13" ht="28.8" x14ac:dyDescent="0.25">
      <c r="A32" s="400" t="s">
        <v>65</v>
      </c>
      <c r="B32" s="759" t="s">
        <v>838</v>
      </c>
      <c r="C32" s="161">
        <v>7729134</v>
      </c>
      <c r="D32" s="760"/>
      <c r="E32" s="400" t="s">
        <v>65</v>
      </c>
      <c r="F32" s="137" t="s">
        <v>41</v>
      </c>
      <c r="G32" s="102"/>
      <c r="H32" s="102"/>
      <c r="I32" s="102"/>
      <c r="J32" s="102"/>
      <c r="K32" s="102"/>
      <c r="L32" s="102"/>
      <c r="M32" s="102"/>
    </row>
    <row r="33" spans="1:13" ht="28.8" x14ac:dyDescent="0.25">
      <c r="A33" s="761" t="s">
        <v>79</v>
      </c>
      <c r="B33" s="759" t="s">
        <v>838</v>
      </c>
      <c r="C33" s="161">
        <v>171147</v>
      </c>
      <c r="D33" s="760"/>
      <c r="E33" s="400" t="s">
        <v>79</v>
      </c>
      <c r="F33" s="137" t="s">
        <v>41</v>
      </c>
      <c r="G33" s="102"/>
      <c r="H33" s="102"/>
      <c r="I33" s="102"/>
      <c r="J33" s="102"/>
      <c r="K33" s="102"/>
      <c r="L33" s="102"/>
      <c r="M33" s="102"/>
    </row>
    <row r="34" spans="1:13" ht="15" thickBot="1" x14ac:dyDescent="0.3">
      <c r="A34" s="166" t="s">
        <v>839</v>
      </c>
      <c r="B34" s="179"/>
      <c r="C34" s="768">
        <f>SUM(C32:C33)</f>
        <v>7900281</v>
      </c>
      <c r="D34" s="139"/>
      <c r="E34" s="177"/>
      <c r="F34" s="141"/>
      <c r="G34" s="102"/>
      <c r="H34" s="102"/>
      <c r="I34" s="102"/>
      <c r="J34" s="102"/>
      <c r="K34" s="102"/>
      <c r="L34" s="102"/>
      <c r="M34" s="102"/>
    </row>
    <row r="35" spans="1:13" ht="14.4" x14ac:dyDescent="0.25">
      <c r="A35" s="178"/>
      <c r="B35" s="179"/>
      <c r="C35" s="139"/>
      <c r="D35" s="139"/>
      <c r="E35" s="177"/>
      <c r="F35" s="141"/>
      <c r="G35" s="102"/>
      <c r="H35" s="102"/>
      <c r="I35" s="102"/>
      <c r="J35" s="102"/>
      <c r="K35" s="102"/>
      <c r="L35" s="102"/>
      <c r="M35" s="102"/>
    </row>
    <row r="36" spans="1:13" ht="14.4" x14ac:dyDescent="0.3">
      <c r="A36" s="796" t="s">
        <v>66</v>
      </c>
      <c r="B36" s="797"/>
      <c r="C36" s="797"/>
      <c r="D36" s="797"/>
      <c r="E36" s="797"/>
      <c r="F36" s="797"/>
      <c r="G36" s="102"/>
      <c r="H36" s="102"/>
      <c r="I36" s="102"/>
      <c r="J36" s="102"/>
      <c r="K36" s="102"/>
      <c r="L36" s="102"/>
      <c r="M36" s="102"/>
    </row>
    <row r="37" spans="1:13" ht="28.8" x14ac:dyDescent="0.25">
      <c r="A37" s="159" t="s">
        <v>65</v>
      </c>
      <c r="B37" s="157" t="s">
        <v>66</v>
      </c>
      <c r="C37" s="158">
        <v>113832</v>
      </c>
      <c r="D37" s="173"/>
      <c r="E37" s="159" t="s">
        <v>65</v>
      </c>
      <c r="F37" s="137" t="s">
        <v>41</v>
      </c>
      <c r="G37" s="102"/>
      <c r="H37" s="102"/>
      <c r="I37" s="102"/>
      <c r="J37" s="102"/>
      <c r="K37" s="102"/>
      <c r="L37" s="102"/>
      <c r="M37" s="102"/>
    </row>
    <row r="38" spans="1:13" ht="28.8" x14ac:dyDescent="0.25">
      <c r="A38" s="400" t="s">
        <v>111</v>
      </c>
      <c r="B38" s="157" t="s">
        <v>66</v>
      </c>
      <c r="C38" s="161">
        <v>13816522</v>
      </c>
      <c r="D38" s="174"/>
      <c r="E38" s="162" t="s">
        <v>111</v>
      </c>
      <c r="F38" s="137" t="s">
        <v>41</v>
      </c>
      <c r="G38" s="102"/>
      <c r="H38" s="102"/>
      <c r="I38" s="102"/>
      <c r="J38" s="102"/>
      <c r="K38" s="102"/>
      <c r="L38" s="102"/>
      <c r="M38" s="102"/>
    </row>
    <row r="39" spans="1:13" ht="14.4" x14ac:dyDescent="0.25">
      <c r="A39" s="160" t="s">
        <v>113</v>
      </c>
      <c r="B39" s="157" t="s">
        <v>66</v>
      </c>
      <c r="C39" s="161">
        <v>38520</v>
      </c>
      <c r="D39" s="174"/>
      <c r="E39" s="162" t="s">
        <v>113</v>
      </c>
      <c r="F39" s="137" t="s">
        <v>41</v>
      </c>
      <c r="G39" s="102"/>
      <c r="H39" s="102"/>
      <c r="I39" s="102"/>
      <c r="J39" s="102"/>
      <c r="K39" s="102"/>
      <c r="L39" s="102"/>
      <c r="M39" s="102"/>
    </row>
    <row r="40" spans="1:13" ht="14.4" x14ac:dyDescent="0.25">
      <c r="A40" s="163" t="s">
        <v>112</v>
      </c>
      <c r="B40" s="157" t="s">
        <v>66</v>
      </c>
      <c r="C40" s="161">
        <v>31162</v>
      </c>
      <c r="D40" s="165"/>
      <c r="E40" s="162" t="s">
        <v>112</v>
      </c>
      <c r="F40" s="137" t="s">
        <v>41</v>
      </c>
      <c r="G40" s="102"/>
      <c r="H40" s="102"/>
      <c r="I40" s="102"/>
      <c r="J40" s="102"/>
      <c r="K40" s="102"/>
      <c r="L40" s="102"/>
      <c r="M40" s="102"/>
    </row>
    <row r="41" spans="1:13" ht="43.2" x14ac:dyDescent="0.25">
      <c r="A41" s="162" t="s">
        <v>130</v>
      </c>
      <c r="B41" s="157" t="s">
        <v>66</v>
      </c>
      <c r="C41" s="161">
        <v>378248.59</v>
      </c>
      <c r="D41" s="165"/>
      <c r="E41" s="162" t="s">
        <v>130</v>
      </c>
      <c r="F41" s="137" t="s">
        <v>41</v>
      </c>
      <c r="G41" s="102"/>
      <c r="H41" s="102"/>
      <c r="I41" s="102"/>
      <c r="J41" s="102"/>
      <c r="K41" s="102"/>
      <c r="L41" s="102"/>
      <c r="M41" s="102"/>
    </row>
    <row r="42" spans="1:13" ht="14.4" x14ac:dyDescent="0.3">
      <c r="A42" s="218"/>
      <c r="B42" s="209"/>
      <c r="C42" s="215"/>
      <c r="D42" s="219"/>
      <c r="E42" s="214"/>
      <c r="F42" s="212"/>
      <c r="G42" s="102"/>
      <c r="H42" s="102"/>
      <c r="I42" s="102"/>
      <c r="J42" s="102"/>
      <c r="K42" s="102"/>
      <c r="L42" s="102"/>
      <c r="M42" s="102"/>
    </row>
    <row r="43" spans="1:13" ht="14.4" x14ac:dyDescent="0.3">
      <c r="A43" s="163"/>
      <c r="B43" s="205"/>
      <c r="C43" s="164"/>
      <c r="D43" s="165"/>
      <c r="E43" s="162"/>
      <c r="F43" s="202"/>
      <c r="G43" s="1"/>
      <c r="H43" s="102"/>
      <c r="I43" s="102"/>
      <c r="J43" s="102"/>
      <c r="K43" s="102"/>
      <c r="L43" s="102"/>
      <c r="M43" s="102"/>
    </row>
    <row r="44" spans="1:13" s="171" customFormat="1" ht="15" thickBot="1" x14ac:dyDescent="0.35">
      <c r="A44" s="166" t="s">
        <v>69</v>
      </c>
      <c r="B44" s="167"/>
      <c r="C44" s="767">
        <f>SUM(C37:C42)</f>
        <v>14378284.59</v>
      </c>
      <c r="D44" s="139"/>
      <c r="E44" s="168"/>
      <c r="F44" s="169"/>
      <c r="G44" s="1"/>
      <c r="H44" s="170"/>
      <c r="I44" s="170"/>
      <c r="J44" s="170"/>
      <c r="K44" s="170"/>
      <c r="L44" s="170"/>
      <c r="M44" s="170"/>
    </row>
    <row r="45" spans="1:13" ht="15" thickTop="1" x14ac:dyDescent="0.3">
      <c r="A45" s="796" t="s">
        <v>89</v>
      </c>
      <c r="B45" s="797"/>
      <c r="C45" s="798"/>
      <c r="D45" s="797"/>
      <c r="E45" s="797"/>
      <c r="F45" s="797"/>
      <c r="G45" s="1"/>
      <c r="H45" s="102"/>
      <c r="I45" s="102"/>
      <c r="J45" s="102"/>
      <c r="K45" s="102"/>
      <c r="L45" s="102"/>
      <c r="M45" s="102"/>
    </row>
    <row r="46" spans="1:13" ht="14.4" x14ac:dyDescent="0.3">
      <c r="A46" s="216" t="s">
        <v>90</v>
      </c>
      <c r="B46" s="172" t="s">
        <v>89</v>
      </c>
      <c r="C46" s="239">
        <v>42879.32</v>
      </c>
      <c r="D46" s="219" t="s">
        <v>120</v>
      </c>
      <c r="E46" s="159" t="s">
        <v>83</v>
      </c>
      <c r="F46" s="202" t="s">
        <v>41</v>
      </c>
      <c r="G46" s="1"/>
      <c r="H46" s="102"/>
      <c r="I46" s="102"/>
      <c r="J46" s="102"/>
      <c r="K46" s="102"/>
      <c r="L46" s="102"/>
      <c r="M46" s="102"/>
    </row>
    <row r="47" spans="1:13" ht="14.4" x14ac:dyDescent="0.3">
      <c r="A47" s="216" t="s">
        <v>91</v>
      </c>
      <c r="B47" s="172" t="s">
        <v>89</v>
      </c>
      <c r="C47" s="239">
        <v>41414.830000000009</v>
      </c>
      <c r="D47" s="220" t="s">
        <v>67</v>
      </c>
      <c r="E47" s="159" t="s">
        <v>84</v>
      </c>
      <c r="F47" s="202" t="s">
        <v>41</v>
      </c>
      <c r="G47" s="1"/>
      <c r="H47" s="102"/>
      <c r="I47" s="102"/>
      <c r="J47" s="102"/>
      <c r="K47" s="102"/>
      <c r="L47" s="102"/>
      <c r="M47" s="102"/>
    </row>
    <row r="48" spans="1:13" ht="14.4" x14ac:dyDescent="0.3">
      <c r="A48" s="216" t="s">
        <v>96</v>
      </c>
      <c r="B48" s="172" t="s">
        <v>89</v>
      </c>
      <c r="C48" s="239">
        <v>803.6099999999999</v>
      </c>
      <c r="D48" s="219" t="s">
        <v>121</v>
      </c>
      <c r="E48" s="159" t="s">
        <v>82</v>
      </c>
      <c r="F48" s="202" t="s">
        <v>41</v>
      </c>
      <c r="G48" s="1"/>
      <c r="H48" s="102"/>
      <c r="I48" s="102"/>
      <c r="J48" s="102"/>
      <c r="K48" s="102"/>
      <c r="L48" s="102"/>
      <c r="M48" s="102"/>
    </row>
    <row r="49" spans="1:13" ht="14.4" x14ac:dyDescent="0.3">
      <c r="A49" s="216" t="s">
        <v>92</v>
      </c>
      <c r="B49" s="172" t="s">
        <v>89</v>
      </c>
      <c r="C49" s="239">
        <v>389.96</v>
      </c>
      <c r="D49" s="220" t="s">
        <v>122</v>
      </c>
      <c r="E49" s="159" t="s">
        <v>85</v>
      </c>
      <c r="F49" s="202" t="s">
        <v>41</v>
      </c>
      <c r="G49" s="1"/>
      <c r="H49" s="102"/>
      <c r="I49" s="102"/>
      <c r="J49" s="102"/>
      <c r="K49" s="102"/>
      <c r="L49" s="102"/>
      <c r="M49" s="102"/>
    </row>
    <row r="50" spans="1:13" ht="14.4" x14ac:dyDescent="0.3">
      <c r="A50" s="216" t="s">
        <v>93</v>
      </c>
      <c r="B50" s="172" t="s">
        <v>89</v>
      </c>
      <c r="C50" s="239">
        <v>57.180000000000007</v>
      </c>
      <c r="D50" s="219" t="s">
        <v>123</v>
      </c>
      <c r="E50" s="159" t="s">
        <v>131</v>
      </c>
      <c r="F50" s="202" t="s">
        <v>41</v>
      </c>
      <c r="G50" s="102"/>
      <c r="H50" s="102"/>
      <c r="I50" s="102"/>
      <c r="J50" s="102"/>
      <c r="K50" s="102"/>
      <c r="L50" s="102"/>
      <c r="M50" s="102"/>
    </row>
    <row r="51" spans="1:13" ht="14.4" x14ac:dyDescent="0.3">
      <c r="A51" s="217" t="s">
        <v>94</v>
      </c>
      <c r="B51" s="172" t="s">
        <v>89</v>
      </c>
      <c r="C51" s="239">
        <v>12247</v>
      </c>
      <c r="D51" s="220" t="s">
        <v>124</v>
      </c>
      <c r="E51" s="159" t="s">
        <v>86</v>
      </c>
      <c r="F51" s="202" t="s">
        <v>41</v>
      </c>
      <c r="G51" s="102"/>
      <c r="H51" s="102"/>
      <c r="I51" s="102"/>
      <c r="J51" s="102"/>
      <c r="K51" s="102"/>
      <c r="L51" s="102"/>
      <c r="M51" s="102"/>
    </row>
    <row r="52" spans="1:13" ht="14.4" x14ac:dyDescent="0.3">
      <c r="A52" s="217" t="s">
        <v>95</v>
      </c>
      <c r="B52" s="172" t="s">
        <v>89</v>
      </c>
      <c r="C52" s="239">
        <v>164.64</v>
      </c>
      <c r="D52" s="219" t="s">
        <v>125</v>
      </c>
      <c r="E52" s="159" t="s">
        <v>98</v>
      </c>
      <c r="F52" s="202" t="s">
        <v>41</v>
      </c>
      <c r="G52" s="102"/>
      <c r="H52" s="102"/>
      <c r="I52" s="102"/>
      <c r="J52" s="102"/>
      <c r="K52" s="102"/>
      <c r="L52" s="102"/>
      <c r="M52" s="102"/>
    </row>
    <row r="53" spans="1:13" ht="14.4" x14ac:dyDescent="0.3">
      <c r="A53" s="217" t="s">
        <v>17</v>
      </c>
      <c r="B53" s="172" t="s">
        <v>89</v>
      </c>
      <c r="C53" s="239">
        <v>147204.16</v>
      </c>
      <c r="D53" s="220" t="s">
        <v>126</v>
      </c>
      <c r="E53" s="159" t="s">
        <v>68</v>
      </c>
      <c r="F53" s="202" t="s">
        <v>41</v>
      </c>
      <c r="G53" s="102"/>
      <c r="H53" s="102"/>
      <c r="I53" s="102"/>
      <c r="J53" s="102"/>
      <c r="K53" s="102"/>
      <c r="L53" s="102"/>
      <c r="M53" s="102"/>
    </row>
    <row r="54" spans="1:13" ht="14.4" x14ac:dyDescent="0.3">
      <c r="A54" s="217" t="s">
        <v>104</v>
      </c>
      <c r="B54" s="172" t="s">
        <v>89</v>
      </c>
      <c r="C54" s="239">
        <v>4851.2300000000005</v>
      </c>
      <c r="D54" s="219" t="s">
        <v>127</v>
      </c>
      <c r="E54" s="159" t="s">
        <v>99</v>
      </c>
      <c r="F54" s="202" t="s">
        <v>41</v>
      </c>
      <c r="G54" s="102"/>
      <c r="H54" s="102"/>
      <c r="I54" s="102"/>
      <c r="J54" s="102"/>
      <c r="K54" s="102"/>
      <c r="L54" s="102"/>
      <c r="M54" s="102"/>
    </row>
    <row r="55" spans="1:13" ht="14.4" x14ac:dyDescent="0.3">
      <c r="A55" s="217" t="s">
        <v>103</v>
      </c>
      <c r="B55" s="172" t="s">
        <v>89</v>
      </c>
      <c r="C55" s="239">
        <v>60820.43</v>
      </c>
      <c r="D55" s="220" t="s">
        <v>128</v>
      </c>
      <c r="E55" s="159" t="s">
        <v>100</v>
      </c>
      <c r="F55" s="202" t="s">
        <v>41</v>
      </c>
      <c r="G55" s="102"/>
      <c r="H55" s="102"/>
      <c r="I55" s="102"/>
      <c r="J55" s="102"/>
      <c r="K55" s="102"/>
      <c r="L55" s="102"/>
      <c r="M55" s="102"/>
    </row>
    <row r="56" spans="1:13" ht="14.4" x14ac:dyDescent="0.3">
      <c r="A56" s="217" t="s">
        <v>102</v>
      </c>
      <c r="B56" s="172" t="s">
        <v>89</v>
      </c>
      <c r="C56" s="239">
        <v>100031.25</v>
      </c>
      <c r="D56" s="219" t="s">
        <v>129</v>
      </c>
      <c r="E56" s="159" t="s">
        <v>105</v>
      </c>
      <c r="F56" s="202" t="s">
        <v>41</v>
      </c>
      <c r="G56" s="102"/>
      <c r="H56" s="102"/>
      <c r="I56" s="102"/>
      <c r="J56" s="102"/>
      <c r="K56" s="102"/>
      <c r="L56" s="102"/>
      <c r="M56" s="102"/>
    </row>
    <row r="57" spans="1:13" ht="72" x14ac:dyDescent="0.3">
      <c r="A57" s="210" t="s">
        <v>116</v>
      </c>
      <c r="B57" s="209" t="s">
        <v>89</v>
      </c>
      <c r="C57" s="239">
        <v>11505.88</v>
      </c>
      <c r="D57" s="220" t="s">
        <v>135</v>
      </c>
      <c r="E57" s="211" t="s">
        <v>115</v>
      </c>
      <c r="F57" s="212" t="s">
        <v>41</v>
      </c>
      <c r="G57" s="102"/>
      <c r="H57" s="102"/>
      <c r="I57" s="102"/>
      <c r="J57" s="102"/>
      <c r="K57" s="102"/>
      <c r="L57" s="102"/>
      <c r="M57" s="102"/>
    </row>
    <row r="58" spans="1:13" ht="28.8" x14ac:dyDescent="0.3">
      <c r="A58" s="218" t="s">
        <v>117</v>
      </c>
      <c r="B58" s="209" t="s">
        <v>89</v>
      </c>
      <c r="C58" s="239">
        <v>375765.04</v>
      </c>
      <c r="D58" s="219" t="s">
        <v>81</v>
      </c>
      <c r="E58" s="214" t="s">
        <v>118</v>
      </c>
      <c r="F58" s="212" t="s">
        <v>41</v>
      </c>
      <c r="G58" s="102"/>
      <c r="H58" s="102"/>
      <c r="I58" s="102"/>
      <c r="J58" s="102"/>
      <c r="K58" s="102"/>
      <c r="L58" s="102"/>
      <c r="M58" s="102"/>
    </row>
    <row r="59" spans="1:13" ht="15" thickBot="1" x14ac:dyDescent="0.35">
      <c r="A59" s="175" t="s">
        <v>97</v>
      </c>
      <c r="B59" s="176"/>
      <c r="C59" s="771">
        <f>SUM(C46:C58)</f>
        <v>798134.53</v>
      </c>
      <c r="D59" s="219"/>
      <c r="E59" s="214"/>
      <c r="F59" s="212"/>
      <c r="G59" s="102"/>
      <c r="H59" s="102"/>
      <c r="I59" s="102"/>
      <c r="J59" s="102"/>
      <c r="K59" s="102"/>
      <c r="L59" s="102"/>
      <c r="M59" s="102"/>
    </row>
    <row r="60" spans="1:13" ht="15" thickTop="1" x14ac:dyDescent="0.3">
      <c r="A60" s="796" t="s">
        <v>150</v>
      </c>
      <c r="B60" s="797"/>
      <c r="C60" s="798"/>
      <c r="D60" s="797"/>
      <c r="E60" s="797"/>
      <c r="F60" s="797"/>
      <c r="G60" s="102"/>
      <c r="H60" s="102"/>
      <c r="I60" s="102"/>
      <c r="J60" s="102"/>
      <c r="K60" s="102"/>
      <c r="L60" s="102"/>
      <c r="M60" s="102"/>
    </row>
    <row r="61" spans="1:13" ht="14.4" x14ac:dyDescent="0.3">
      <c r="A61" s="156" t="s">
        <v>42</v>
      </c>
      <c r="B61" s="209" t="s">
        <v>150</v>
      </c>
      <c r="C61" s="215">
        <v>138247</v>
      </c>
      <c r="D61" s="219" t="s">
        <v>120</v>
      </c>
      <c r="E61" s="159" t="s">
        <v>84</v>
      </c>
      <c r="F61" s="212" t="s">
        <v>41</v>
      </c>
      <c r="G61" s="102"/>
      <c r="H61" s="102"/>
      <c r="I61" s="102"/>
      <c r="J61" s="102"/>
      <c r="K61" s="102"/>
      <c r="L61" s="102"/>
      <c r="M61" s="102"/>
    </row>
    <row r="62" spans="1:13" ht="14.4" x14ac:dyDescent="0.3">
      <c r="A62" s="218" t="s">
        <v>96</v>
      </c>
      <c r="B62" s="209" t="s">
        <v>150</v>
      </c>
      <c r="C62" s="215">
        <v>783</v>
      </c>
      <c r="D62" s="220" t="s">
        <v>67</v>
      </c>
      <c r="E62" s="159" t="s">
        <v>82</v>
      </c>
      <c r="F62" s="212" t="s">
        <v>41</v>
      </c>
      <c r="G62" s="102"/>
      <c r="H62" s="102"/>
      <c r="I62" s="102"/>
      <c r="J62" s="102"/>
      <c r="K62" s="102"/>
      <c r="L62" s="102"/>
      <c r="M62" s="102"/>
    </row>
    <row r="63" spans="1:13" ht="14.4" x14ac:dyDescent="0.3">
      <c r="A63" s="218" t="s">
        <v>151</v>
      </c>
      <c r="B63" s="209" t="s">
        <v>150</v>
      </c>
      <c r="C63" s="215">
        <v>976</v>
      </c>
      <c r="D63" s="219" t="s">
        <v>121</v>
      </c>
      <c r="E63" s="159" t="s">
        <v>154</v>
      </c>
      <c r="F63" s="212" t="s">
        <v>41</v>
      </c>
      <c r="G63" s="102"/>
      <c r="H63" s="102"/>
      <c r="I63" s="102"/>
      <c r="J63" s="102"/>
      <c r="K63" s="102"/>
      <c r="L63" s="102"/>
      <c r="M63" s="102"/>
    </row>
    <row r="64" spans="1:13" ht="14.4" x14ac:dyDescent="0.3">
      <c r="A64" s="218" t="s">
        <v>16</v>
      </c>
      <c r="B64" s="209" t="s">
        <v>150</v>
      </c>
      <c r="C64" s="215">
        <v>240</v>
      </c>
      <c r="D64" s="220" t="s">
        <v>122</v>
      </c>
      <c r="E64" s="159" t="s">
        <v>99</v>
      </c>
      <c r="F64" s="212" t="s">
        <v>41</v>
      </c>
      <c r="G64" s="102"/>
      <c r="H64" s="102"/>
      <c r="I64" s="102"/>
      <c r="J64" s="102"/>
      <c r="K64" s="102"/>
      <c r="L64" s="102"/>
      <c r="M64" s="102"/>
    </row>
    <row r="65" spans="1:13" ht="14.4" x14ac:dyDescent="0.3">
      <c r="A65" s="218" t="s">
        <v>152</v>
      </c>
      <c r="B65" s="209" t="s">
        <v>150</v>
      </c>
      <c r="C65" s="215">
        <v>769</v>
      </c>
      <c r="D65" s="219" t="s">
        <v>123</v>
      </c>
      <c r="E65" s="211" t="s">
        <v>115</v>
      </c>
      <c r="F65" s="212" t="s">
        <v>41</v>
      </c>
      <c r="G65" s="102"/>
      <c r="H65" s="102"/>
      <c r="I65" s="102"/>
      <c r="J65" s="102"/>
      <c r="K65" s="102"/>
      <c r="L65" s="102"/>
      <c r="M65" s="102"/>
    </row>
    <row r="66" spans="1:13" ht="14.4" x14ac:dyDescent="0.3">
      <c r="A66" s="230" t="s">
        <v>149</v>
      </c>
      <c r="B66" s="209" t="s">
        <v>150</v>
      </c>
      <c r="C66" s="215">
        <v>417</v>
      </c>
      <c r="D66" s="219" t="s">
        <v>124</v>
      </c>
      <c r="E66" s="211" t="s">
        <v>155</v>
      </c>
      <c r="F66" s="212" t="s">
        <v>41</v>
      </c>
      <c r="G66" s="102"/>
      <c r="H66" s="102"/>
      <c r="I66" s="102"/>
      <c r="J66" s="102"/>
      <c r="K66" s="102"/>
      <c r="L66" s="102"/>
      <c r="M66" s="102"/>
    </row>
    <row r="67" spans="1:13" ht="14.4" x14ac:dyDescent="0.3">
      <c r="A67" s="230" t="s">
        <v>160</v>
      </c>
      <c r="B67" s="209" t="s">
        <v>150</v>
      </c>
      <c r="C67" s="231">
        <v>3818</v>
      </c>
      <c r="D67" s="220" t="s">
        <v>125</v>
      </c>
      <c r="E67" s="211" t="s">
        <v>161</v>
      </c>
      <c r="F67" s="212" t="s">
        <v>41</v>
      </c>
      <c r="G67" s="102"/>
      <c r="H67" s="102"/>
      <c r="I67" s="102"/>
      <c r="J67" s="102"/>
      <c r="K67" s="102"/>
      <c r="L67" s="102"/>
      <c r="M67" s="102"/>
    </row>
    <row r="68" spans="1:13" ht="14.4" x14ac:dyDescent="0.3">
      <c r="A68" s="230" t="s">
        <v>159</v>
      </c>
      <c r="B68" s="209" t="s">
        <v>150</v>
      </c>
      <c r="C68" s="215">
        <v>525</v>
      </c>
      <c r="D68" s="219" t="s">
        <v>126</v>
      </c>
      <c r="E68" s="211" t="s">
        <v>162</v>
      </c>
      <c r="F68" s="212" t="s">
        <v>41</v>
      </c>
      <c r="G68" s="102"/>
      <c r="H68" s="102"/>
      <c r="I68" s="102"/>
      <c r="J68" s="102"/>
      <c r="K68" s="102"/>
      <c r="L68" s="102"/>
      <c r="M68" s="102"/>
    </row>
    <row r="69" spans="1:13" ht="14.4" x14ac:dyDescent="0.3">
      <c r="A69" s="230" t="s">
        <v>166</v>
      </c>
      <c r="B69" s="209" t="s">
        <v>150</v>
      </c>
      <c r="C69" s="215">
        <v>2360</v>
      </c>
      <c r="D69" s="219" t="s">
        <v>127</v>
      </c>
      <c r="E69" s="211" t="s">
        <v>168</v>
      </c>
      <c r="F69" s="212" t="s">
        <v>41</v>
      </c>
      <c r="G69" s="102"/>
      <c r="H69" s="102"/>
      <c r="I69" s="102"/>
      <c r="J69" s="102"/>
      <c r="K69" s="102"/>
      <c r="L69" s="102"/>
      <c r="M69" s="102"/>
    </row>
    <row r="70" spans="1:13" ht="14.4" x14ac:dyDescent="0.3">
      <c r="A70" s="218" t="s">
        <v>164</v>
      </c>
      <c r="B70" s="209" t="s">
        <v>150</v>
      </c>
      <c r="C70" s="215">
        <v>208</v>
      </c>
      <c r="D70" s="220" t="s">
        <v>128</v>
      </c>
      <c r="E70" s="211" t="s">
        <v>165</v>
      </c>
      <c r="F70" s="212" t="s">
        <v>41</v>
      </c>
      <c r="G70" s="102"/>
      <c r="H70" s="102"/>
      <c r="I70" s="102"/>
      <c r="J70" s="102"/>
      <c r="K70" s="102"/>
      <c r="L70" s="102"/>
      <c r="M70" s="102"/>
    </row>
    <row r="71" spans="1:13" ht="15" thickBot="1" x14ac:dyDescent="0.3">
      <c r="A71" s="175" t="s">
        <v>156</v>
      </c>
      <c r="B71" s="176"/>
      <c r="C71" s="771">
        <f>SUM(C61:C70)</f>
        <v>148343</v>
      </c>
      <c r="D71" s="139"/>
      <c r="E71" s="177"/>
      <c r="F71" s="141"/>
      <c r="G71" s="102"/>
      <c r="H71" s="102"/>
      <c r="I71" s="102"/>
      <c r="J71" s="102"/>
      <c r="K71" s="102"/>
      <c r="L71" s="102"/>
      <c r="M71" s="102"/>
    </row>
    <row r="72" spans="1:13" ht="15" thickTop="1" x14ac:dyDescent="0.25">
      <c r="A72" s="178"/>
      <c r="B72" s="179"/>
      <c r="C72" s="142"/>
      <c r="D72" s="142"/>
      <c r="E72" s="177"/>
      <c r="F72" s="141"/>
      <c r="G72" s="102"/>
      <c r="H72" s="102"/>
      <c r="I72" s="102"/>
      <c r="J72" s="102"/>
      <c r="K72" s="102"/>
      <c r="L72" s="102"/>
      <c r="M72" s="102"/>
    </row>
    <row r="73" spans="1:13" ht="14.4" x14ac:dyDescent="0.3">
      <c r="A73" s="796" t="s">
        <v>169</v>
      </c>
      <c r="B73" s="797"/>
      <c r="C73" s="798"/>
      <c r="D73" s="797"/>
      <c r="E73" s="797"/>
      <c r="F73" s="797"/>
      <c r="G73" s="102"/>
      <c r="H73" s="102"/>
      <c r="I73" s="102"/>
      <c r="J73" s="102"/>
      <c r="K73" s="102"/>
      <c r="L73" s="102"/>
      <c r="M73" s="102"/>
    </row>
    <row r="74" spans="1:13" ht="14.4" x14ac:dyDescent="0.3">
      <c r="A74" s="156" t="s">
        <v>42</v>
      </c>
      <c r="B74" s="209" t="s">
        <v>169</v>
      </c>
      <c r="C74" s="215">
        <f>'Sche 1-Eskom'!F35</f>
        <v>20469.489999999998</v>
      </c>
      <c r="D74" s="323" t="s">
        <v>214</v>
      </c>
      <c r="E74" s="159" t="s">
        <v>84</v>
      </c>
      <c r="F74" s="212" t="s">
        <v>41</v>
      </c>
      <c r="G74" s="102"/>
      <c r="H74" s="102"/>
      <c r="I74" s="102"/>
      <c r="J74" s="102"/>
      <c r="K74" s="102"/>
      <c r="L74" s="102"/>
      <c r="M74" s="102"/>
    </row>
    <row r="75" spans="1:13" ht="14.4" x14ac:dyDescent="0.3">
      <c r="A75" s="218" t="s">
        <v>96</v>
      </c>
      <c r="B75" s="209" t="s">
        <v>169</v>
      </c>
      <c r="C75" s="215">
        <f>'Sche 3-FDC'!F14</f>
        <v>256.33000000000004</v>
      </c>
      <c r="D75" s="323" t="s">
        <v>215</v>
      </c>
      <c r="E75" s="159" t="s">
        <v>82</v>
      </c>
      <c r="F75" s="212" t="s">
        <v>41</v>
      </c>
      <c r="G75" s="102"/>
      <c r="H75" s="102"/>
      <c r="I75" s="102"/>
      <c r="J75" s="102"/>
      <c r="K75" s="102"/>
      <c r="L75" s="102"/>
      <c r="M75" s="102"/>
    </row>
    <row r="76" spans="1:13" ht="14.4" x14ac:dyDescent="0.3">
      <c r="A76" s="218" t="s">
        <v>152</v>
      </c>
      <c r="B76" s="209" t="s">
        <v>169</v>
      </c>
      <c r="C76" s="215">
        <f>'Sche 2-Lawyers'!F11</f>
        <v>5549.36</v>
      </c>
      <c r="D76" s="323" t="s">
        <v>217</v>
      </c>
      <c r="E76" s="211" t="s">
        <v>115</v>
      </c>
      <c r="F76" s="212" t="s">
        <v>41</v>
      </c>
      <c r="G76" s="102"/>
      <c r="H76" s="102"/>
      <c r="I76" s="102"/>
      <c r="J76" s="102"/>
      <c r="K76" s="102"/>
      <c r="L76" s="102"/>
      <c r="M76" s="102"/>
    </row>
    <row r="77" spans="1:13" ht="14.4" x14ac:dyDescent="0.3">
      <c r="A77" s="218" t="s">
        <v>175</v>
      </c>
      <c r="B77" s="209" t="s">
        <v>169</v>
      </c>
      <c r="C77" s="215">
        <f>'Sche 4-PEC Metering'!F14</f>
        <v>402.17999999999995</v>
      </c>
      <c r="D77" s="323" t="s">
        <v>216</v>
      </c>
      <c r="E77" s="159" t="s">
        <v>213</v>
      </c>
      <c r="F77" s="212" t="s">
        <v>41</v>
      </c>
      <c r="G77" s="102"/>
      <c r="H77" s="102"/>
      <c r="I77" s="102"/>
      <c r="J77" s="102"/>
      <c r="K77" s="102"/>
      <c r="L77" s="102"/>
      <c r="M77" s="102"/>
    </row>
    <row r="78" spans="1:13" ht="14.4" x14ac:dyDescent="0.3">
      <c r="A78" s="218" t="s">
        <v>181</v>
      </c>
      <c r="B78" s="209" t="s">
        <v>169</v>
      </c>
      <c r="C78" s="215">
        <f>'Sche 6-Telkom'!F11</f>
        <v>57044.39</v>
      </c>
      <c r="D78" s="323" t="s">
        <v>218</v>
      </c>
      <c r="E78" s="159" t="s">
        <v>183</v>
      </c>
      <c r="F78" s="212" t="s">
        <v>41</v>
      </c>
      <c r="G78" s="102"/>
      <c r="H78" s="102"/>
      <c r="I78" s="102"/>
      <c r="J78" s="102"/>
      <c r="K78" s="102"/>
      <c r="L78" s="102"/>
      <c r="M78" s="102"/>
    </row>
    <row r="79" spans="1:13" ht="14.4" x14ac:dyDescent="0.3">
      <c r="A79" s="230" t="s">
        <v>17</v>
      </c>
      <c r="B79" s="209" t="s">
        <v>169</v>
      </c>
      <c r="C79" s="215">
        <f>'Sche 5-SARS'!F11</f>
        <v>45076.84</v>
      </c>
      <c r="D79" s="323" t="s">
        <v>219</v>
      </c>
      <c r="E79" s="324" t="s">
        <v>184</v>
      </c>
      <c r="F79" s="212" t="s">
        <v>41</v>
      </c>
      <c r="G79" s="102"/>
      <c r="H79" s="102"/>
      <c r="I79" s="102"/>
      <c r="J79" s="102"/>
      <c r="K79" s="102"/>
      <c r="L79" s="102"/>
      <c r="M79" s="102"/>
    </row>
    <row r="80" spans="1:13" ht="14.4" x14ac:dyDescent="0.3">
      <c r="A80" s="230" t="s">
        <v>192</v>
      </c>
      <c r="B80" s="209" t="s">
        <v>169</v>
      </c>
      <c r="C80" s="231">
        <f>'Sche- 7Pheth. Consul. CC '!F11</f>
        <v>78938.47</v>
      </c>
      <c r="D80" s="325" t="s">
        <v>221</v>
      </c>
      <c r="E80" s="159" t="s">
        <v>198</v>
      </c>
      <c r="F80" s="212" t="s">
        <v>41</v>
      </c>
      <c r="G80" s="102"/>
      <c r="H80" s="102"/>
      <c r="I80" s="102"/>
      <c r="J80" s="102"/>
      <c r="K80" s="102"/>
      <c r="L80" s="102"/>
      <c r="M80" s="102"/>
    </row>
    <row r="81" spans="1:13" ht="14.4" x14ac:dyDescent="0.3">
      <c r="A81" s="230" t="s">
        <v>200</v>
      </c>
      <c r="B81" s="209" t="s">
        <v>169</v>
      </c>
      <c r="C81" s="215">
        <f>'Sche 8-UMFA'!F11</f>
        <v>213.01</v>
      </c>
      <c r="D81" s="323" t="s">
        <v>220</v>
      </c>
      <c r="E81" s="159" t="s">
        <v>201</v>
      </c>
      <c r="F81" s="212" t="s">
        <v>41</v>
      </c>
      <c r="G81" s="102"/>
      <c r="H81" s="102"/>
      <c r="I81" s="102"/>
      <c r="J81" s="102"/>
      <c r="K81" s="102"/>
      <c r="L81" s="102"/>
      <c r="M81" s="102"/>
    </row>
    <row r="82" spans="1:13" ht="14.4" x14ac:dyDescent="0.3">
      <c r="A82" s="230" t="s">
        <v>208</v>
      </c>
      <c r="B82" s="209" t="s">
        <v>169</v>
      </c>
      <c r="C82" s="215">
        <f>'Sche 9-Merch. West '!F11</f>
        <v>1155.1199999999999</v>
      </c>
      <c r="D82" s="325" t="s">
        <v>222</v>
      </c>
      <c r="E82" s="159" t="s">
        <v>100</v>
      </c>
      <c r="F82" s="212" t="s">
        <v>41</v>
      </c>
      <c r="G82" s="102"/>
      <c r="H82" s="102"/>
      <c r="I82" s="102"/>
      <c r="J82" s="102"/>
      <c r="K82" s="102"/>
      <c r="L82" s="102"/>
      <c r="M82" s="102"/>
    </row>
    <row r="83" spans="1:13" ht="15" thickBot="1" x14ac:dyDescent="0.35">
      <c r="A83" s="175" t="s">
        <v>212</v>
      </c>
      <c r="B83" s="176"/>
      <c r="C83" s="771">
        <f>SUM(C74:C82)</f>
        <v>209105.19</v>
      </c>
      <c r="D83" s="323"/>
      <c r="E83" s="211"/>
      <c r="F83" s="212"/>
      <c r="G83" s="102"/>
      <c r="H83" s="102"/>
      <c r="I83" s="102"/>
      <c r="J83" s="102"/>
      <c r="K83" s="102"/>
      <c r="L83" s="102"/>
      <c r="M83" s="102"/>
    </row>
    <row r="84" spans="1:13" ht="15" thickTop="1" x14ac:dyDescent="0.3">
      <c r="A84" s="166"/>
      <c r="B84" s="327"/>
      <c r="C84" s="328"/>
      <c r="D84" s="329"/>
      <c r="E84" s="330"/>
      <c r="F84" s="331"/>
      <c r="G84" s="102"/>
      <c r="H84" s="102"/>
      <c r="I84" s="102"/>
      <c r="J84" s="102"/>
      <c r="K84" s="102"/>
      <c r="L84" s="102"/>
      <c r="M84" s="102"/>
    </row>
    <row r="85" spans="1:13" ht="14.4" x14ac:dyDescent="0.3">
      <c r="A85" s="796" t="s">
        <v>224</v>
      </c>
      <c r="B85" s="797"/>
      <c r="C85" s="797"/>
      <c r="D85" s="797"/>
      <c r="E85" s="797"/>
      <c r="F85" s="797"/>
      <c r="G85" s="102"/>
      <c r="H85" s="102"/>
      <c r="I85" s="102"/>
      <c r="J85" s="102"/>
      <c r="K85" s="102"/>
      <c r="L85" s="102"/>
      <c r="M85" s="102"/>
    </row>
    <row r="86" spans="1:13" ht="14.4" x14ac:dyDescent="0.3">
      <c r="A86" s="156" t="s">
        <v>42</v>
      </c>
      <c r="B86" s="209" t="s">
        <v>224</v>
      </c>
      <c r="C86" s="215">
        <f>Eskom!F46</f>
        <v>127271.76</v>
      </c>
      <c r="D86" s="323" t="s">
        <v>214</v>
      </c>
      <c r="E86" s="159" t="s">
        <v>84</v>
      </c>
      <c r="F86" s="212" t="s">
        <v>41</v>
      </c>
      <c r="G86" s="102"/>
      <c r="H86" s="102"/>
      <c r="I86" s="102"/>
      <c r="J86" s="102"/>
      <c r="K86" s="102"/>
      <c r="L86" s="102"/>
      <c r="M86" s="102"/>
    </row>
    <row r="87" spans="1:13" ht="14.4" x14ac:dyDescent="0.3">
      <c r="A87" s="218" t="s">
        <v>229</v>
      </c>
      <c r="B87" s="209" t="s">
        <v>224</v>
      </c>
      <c r="C87" s="215">
        <f>Razzmatazz!F11</f>
        <v>11700.07</v>
      </c>
      <c r="D87" s="323" t="s">
        <v>243</v>
      </c>
      <c r="E87" s="159" t="s">
        <v>241</v>
      </c>
      <c r="F87" s="212" t="s">
        <v>41</v>
      </c>
      <c r="G87" s="102"/>
      <c r="H87" s="102"/>
      <c r="I87" s="102"/>
      <c r="J87" s="102"/>
      <c r="K87" s="102"/>
      <c r="L87" s="102"/>
      <c r="M87" s="102"/>
    </row>
    <row r="88" spans="1:13" ht="14.4" x14ac:dyDescent="0.3">
      <c r="A88" s="218" t="s">
        <v>96</v>
      </c>
      <c r="B88" s="209" t="s">
        <v>224</v>
      </c>
      <c r="C88" s="215">
        <f>'FDC,,'!F30</f>
        <v>1732.4100000000003</v>
      </c>
      <c r="D88" s="323" t="s">
        <v>244</v>
      </c>
      <c r="E88" s="159" t="s">
        <v>82</v>
      </c>
      <c r="F88" s="212" t="s">
        <v>41</v>
      </c>
      <c r="G88" s="102"/>
      <c r="H88" s="102"/>
      <c r="I88" s="102"/>
      <c r="J88" s="102"/>
      <c r="K88" s="102"/>
      <c r="L88" s="102"/>
      <c r="M88" s="102"/>
    </row>
    <row r="89" spans="1:13" ht="14.4" x14ac:dyDescent="0.3">
      <c r="A89" s="218" t="s">
        <v>175</v>
      </c>
      <c r="B89" s="209" t="s">
        <v>224</v>
      </c>
      <c r="C89" s="215">
        <f>'PEC Metering'!F18</f>
        <v>618.36000000000013</v>
      </c>
      <c r="D89" s="323" t="s">
        <v>245</v>
      </c>
      <c r="E89" s="159" t="s">
        <v>213</v>
      </c>
      <c r="F89" s="212" t="s">
        <v>41</v>
      </c>
      <c r="G89" s="102"/>
      <c r="H89" s="102"/>
      <c r="I89" s="102"/>
      <c r="J89" s="102"/>
      <c r="K89" s="102"/>
      <c r="L89" s="102"/>
      <c r="M89" s="102"/>
    </row>
    <row r="90" spans="1:13" ht="14.4" x14ac:dyDescent="0.3">
      <c r="A90" s="230" t="s">
        <v>200</v>
      </c>
      <c r="B90" s="209" t="s">
        <v>224</v>
      </c>
      <c r="C90" s="215">
        <f>'UMFA,,'!F13</f>
        <v>661.6</v>
      </c>
      <c r="D90" s="323" t="s">
        <v>246</v>
      </c>
      <c r="E90" s="159" t="s">
        <v>201</v>
      </c>
      <c r="F90" s="212" t="s">
        <v>41</v>
      </c>
      <c r="G90" s="102"/>
      <c r="H90" s="102"/>
      <c r="I90" s="102"/>
      <c r="J90" s="102"/>
      <c r="K90" s="102"/>
      <c r="L90" s="102"/>
      <c r="M90" s="102"/>
    </row>
    <row r="91" spans="1:13" ht="14.4" x14ac:dyDescent="0.3">
      <c r="A91" s="218" t="s">
        <v>103</v>
      </c>
      <c r="B91" s="209" t="s">
        <v>224</v>
      </c>
      <c r="C91" s="231">
        <f>'Telkom SA Limited'!F14</f>
        <v>212973.37</v>
      </c>
      <c r="D91" s="323" t="s">
        <v>247</v>
      </c>
      <c r="E91" s="159" t="s">
        <v>105</v>
      </c>
      <c r="F91" s="212" t="s">
        <v>41</v>
      </c>
      <c r="G91" s="102"/>
      <c r="H91" s="102"/>
      <c r="I91" s="102"/>
      <c r="J91" s="102"/>
      <c r="K91" s="102"/>
      <c r="L91" s="102"/>
      <c r="M91" s="102"/>
    </row>
    <row r="92" spans="1:13" ht="14.4" x14ac:dyDescent="0.3">
      <c r="A92" s="230" t="s">
        <v>232</v>
      </c>
      <c r="B92" s="209" t="s">
        <v>224</v>
      </c>
      <c r="C92" s="215">
        <f>'Kramer Weihmann Joubert'!F11</f>
        <v>3796.41</v>
      </c>
      <c r="D92" s="323" t="s">
        <v>248</v>
      </c>
      <c r="E92" s="159" t="s">
        <v>238</v>
      </c>
      <c r="F92" s="212" t="s">
        <v>41</v>
      </c>
      <c r="G92" s="102"/>
      <c r="H92" s="102"/>
      <c r="I92" s="102"/>
      <c r="J92" s="102"/>
      <c r="K92" s="102"/>
      <c r="L92" s="102"/>
      <c r="M92" s="102"/>
    </row>
    <row r="93" spans="1:13" ht="14.4" x14ac:dyDescent="0.3">
      <c r="A93" s="230" t="s">
        <v>17</v>
      </c>
      <c r="B93" s="209" t="s">
        <v>224</v>
      </c>
      <c r="C93" s="215">
        <f>SARS!F11</f>
        <v>117852.29</v>
      </c>
      <c r="D93" s="323" t="s">
        <v>249</v>
      </c>
      <c r="E93" s="159" t="s">
        <v>184</v>
      </c>
      <c r="F93" s="212" t="s">
        <v>41</v>
      </c>
      <c r="G93" s="102"/>
      <c r="H93" s="102"/>
      <c r="I93" s="102"/>
      <c r="J93" s="102"/>
      <c r="K93" s="102"/>
      <c r="L93" s="102"/>
      <c r="M93" s="102"/>
    </row>
    <row r="94" spans="1:13" ht="14.4" x14ac:dyDescent="0.3">
      <c r="A94" s="418" t="s">
        <v>254</v>
      </c>
      <c r="B94" s="209" t="s">
        <v>224</v>
      </c>
      <c r="C94" s="419">
        <v>175911.83</v>
      </c>
      <c r="D94" s="323" t="s">
        <v>250</v>
      </c>
      <c r="E94" s="419" t="s">
        <v>705</v>
      </c>
      <c r="F94" s="212" t="s">
        <v>41</v>
      </c>
      <c r="G94" s="102"/>
      <c r="H94" s="102"/>
      <c r="I94" s="102"/>
      <c r="J94" s="102"/>
      <c r="K94" s="102"/>
      <c r="L94" s="102"/>
      <c r="M94" s="102"/>
    </row>
    <row r="95" spans="1:13" ht="15" thickBot="1" x14ac:dyDescent="0.35">
      <c r="A95" s="175" t="s">
        <v>239</v>
      </c>
      <c r="B95" s="176"/>
      <c r="C95" s="771">
        <f>SUM(C86:C94)</f>
        <v>652518.09999999986</v>
      </c>
      <c r="D95" s="323"/>
      <c r="E95" s="211"/>
      <c r="F95" s="212"/>
      <c r="G95" s="102"/>
      <c r="H95" s="102"/>
      <c r="I95" s="102"/>
      <c r="J95" s="102"/>
      <c r="K95" s="102"/>
      <c r="L95" s="102"/>
      <c r="M95" s="102"/>
    </row>
    <row r="96" spans="1:13" ht="15" thickTop="1" x14ac:dyDescent="0.3">
      <c r="A96" s="166"/>
      <c r="B96" s="327"/>
      <c r="C96" s="328"/>
      <c r="D96" s="329"/>
      <c r="E96" s="330"/>
      <c r="F96" s="331"/>
      <c r="G96" s="102"/>
      <c r="H96" s="102"/>
      <c r="I96" s="102"/>
      <c r="J96" s="102"/>
      <c r="K96" s="102"/>
      <c r="L96" s="102"/>
      <c r="M96" s="102"/>
    </row>
    <row r="97" spans="1:13" ht="14.4" x14ac:dyDescent="0.3">
      <c r="A97" s="796" t="s">
        <v>262</v>
      </c>
      <c r="B97" s="797"/>
      <c r="C97" s="797"/>
      <c r="D97" s="797"/>
      <c r="E97" s="797"/>
      <c r="F97" s="797"/>
      <c r="G97" s="102"/>
      <c r="H97" s="102"/>
      <c r="I97" s="102"/>
      <c r="J97" s="102"/>
      <c r="K97" s="102"/>
      <c r="L97" s="102"/>
      <c r="M97" s="102"/>
    </row>
    <row r="98" spans="1:13" ht="14.4" x14ac:dyDescent="0.3">
      <c r="A98" s="218" t="s">
        <v>103</v>
      </c>
      <c r="B98" s="392" t="s">
        <v>262</v>
      </c>
      <c r="C98" s="161">
        <f>'Telkom SA Ltd'!F13</f>
        <v>90756.5</v>
      </c>
      <c r="D98" s="394" t="s">
        <v>263</v>
      </c>
      <c r="E98" s="159" t="s">
        <v>105</v>
      </c>
      <c r="F98" s="212" t="s">
        <v>41</v>
      </c>
      <c r="G98" s="102"/>
      <c r="H98" s="102"/>
      <c r="I98" s="102"/>
      <c r="J98" s="102"/>
      <c r="K98" s="102"/>
      <c r="L98" s="102"/>
      <c r="M98" s="102"/>
    </row>
    <row r="99" spans="1:13" ht="14.4" x14ac:dyDescent="0.3">
      <c r="A99" s="395" t="s">
        <v>259</v>
      </c>
      <c r="B99" s="392" t="s">
        <v>262</v>
      </c>
      <c r="C99" s="161">
        <f>'Railway Safety Regulator'!F8</f>
        <v>18.29</v>
      </c>
      <c r="D99" s="396" t="s">
        <v>259</v>
      </c>
      <c r="E99" s="159" t="s">
        <v>264</v>
      </c>
      <c r="F99" s="212" t="s">
        <v>41</v>
      </c>
      <c r="G99" s="102"/>
      <c r="H99" s="102"/>
      <c r="I99" s="102"/>
      <c r="J99" s="102"/>
      <c r="K99" s="102"/>
      <c r="L99" s="102"/>
      <c r="M99" s="102"/>
    </row>
    <row r="100" spans="1:13" ht="15" customHeight="1" x14ac:dyDescent="0.3">
      <c r="A100" s="395" t="s">
        <v>261</v>
      </c>
      <c r="B100" s="392" t="s">
        <v>262</v>
      </c>
      <c r="C100" s="161">
        <f>'Free State Municipal Pension'!F9</f>
        <v>321.56</v>
      </c>
      <c r="D100" s="396" t="s">
        <v>266</v>
      </c>
      <c r="E100" s="159" t="s">
        <v>265</v>
      </c>
      <c r="F100" s="212" t="s">
        <v>41</v>
      </c>
      <c r="G100" s="102"/>
      <c r="H100" s="102"/>
      <c r="I100" s="102"/>
      <c r="J100" s="102"/>
      <c r="K100" s="102"/>
      <c r="L100" s="102"/>
      <c r="M100" s="102"/>
    </row>
    <row r="101" spans="1:13" ht="15" customHeight="1" x14ac:dyDescent="0.3">
      <c r="A101" s="395" t="s">
        <v>272</v>
      </c>
      <c r="B101" s="392" t="s">
        <v>262</v>
      </c>
      <c r="C101" s="161">
        <f>'SARS PAYE'!F9</f>
        <v>1896019.62</v>
      </c>
      <c r="D101" s="396" t="s">
        <v>270</v>
      </c>
      <c r="E101" s="159" t="s">
        <v>184</v>
      </c>
      <c r="F101" s="212" t="s">
        <v>41</v>
      </c>
      <c r="G101" s="102"/>
      <c r="H101" s="102"/>
      <c r="I101" s="102"/>
      <c r="J101" s="102"/>
      <c r="K101" s="102"/>
      <c r="L101" s="102"/>
      <c r="M101" s="102"/>
    </row>
    <row r="102" spans="1:13" ht="14.4" x14ac:dyDescent="0.3">
      <c r="A102" s="398" t="s">
        <v>273</v>
      </c>
      <c r="B102" s="392" t="s">
        <v>262</v>
      </c>
      <c r="C102" s="161">
        <f>'Q Civils'!F9</f>
        <v>370088.62</v>
      </c>
      <c r="D102" s="396" t="s">
        <v>273</v>
      </c>
      <c r="E102" s="159" t="s">
        <v>314</v>
      </c>
      <c r="F102" s="212" t="s">
        <v>41</v>
      </c>
      <c r="G102" s="102"/>
      <c r="H102" s="102"/>
      <c r="I102" s="102"/>
      <c r="J102" s="102"/>
      <c r="K102" s="102"/>
      <c r="L102" s="102"/>
      <c r="M102" s="102"/>
    </row>
    <row r="103" spans="1:13" ht="14.4" x14ac:dyDescent="0.3">
      <c r="A103" s="399" t="s">
        <v>91</v>
      </c>
      <c r="B103" s="392" t="s">
        <v>262</v>
      </c>
      <c r="C103" s="161">
        <f>ESKOM.!F25</f>
        <v>47495.28</v>
      </c>
      <c r="D103" s="396" t="s">
        <v>146</v>
      </c>
      <c r="E103" s="159" t="s">
        <v>84</v>
      </c>
      <c r="F103" s="212" t="s">
        <v>41</v>
      </c>
      <c r="G103" s="102"/>
      <c r="H103" s="102"/>
      <c r="I103" s="102"/>
      <c r="J103" s="102"/>
      <c r="K103" s="102"/>
      <c r="L103" s="102"/>
      <c r="M103" s="102"/>
    </row>
    <row r="104" spans="1:13" ht="14.4" x14ac:dyDescent="0.3">
      <c r="A104" s="399" t="s">
        <v>96</v>
      </c>
      <c r="B104" s="392" t="s">
        <v>262</v>
      </c>
      <c r="C104" s="161">
        <f>FDC.!F8</f>
        <v>1645.59</v>
      </c>
      <c r="D104" s="396" t="s">
        <v>96</v>
      </c>
      <c r="E104" s="159" t="s">
        <v>82</v>
      </c>
      <c r="F104" s="212" t="s">
        <v>41</v>
      </c>
      <c r="G104" s="102"/>
      <c r="H104" s="102"/>
      <c r="I104" s="102"/>
      <c r="J104" s="102"/>
      <c r="K104" s="102"/>
      <c r="L104" s="102"/>
      <c r="M104" s="102"/>
    </row>
    <row r="105" spans="1:13" ht="14.4" x14ac:dyDescent="0.3">
      <c r="A105" s="399" t="s">
        <v>200</v>
      </c>
      <c r="B105" s="392" t="s">
        <v>262</v>
      </c>
      <c r="C105" s="161">
        <f>UMFA.!F13</f>
        <v>1256.3600000000001</v>
      </c>
      <c r="D105" s="396" t="s">
        <v>200</v>
      </c>
      <c r="E105" s="159" t="s">
        <v>201</v>
      </c>
      <c r="F105" s="212" t="s">
        <v>41</v>
      </c>
      <c r="G105" s="102"/>
      <c r="H105" s="102"/>
      <c r="I105" s="102"/>
      <c r="J105" s="102"/>
      <c r="K105" s="102"/>
      <c r="L105" s="102"/>
      <c r="M105" s="102"/>
    </row>
    <row r="106" spans="1:13" ht="14.4" x14ac:dyDescent="0.3">
      <c r="A106" s="420" t="s">
        <v>291</v>
      </c>
      <c r="B106" s="392" t="s">
        <v>262</v>
      </c>
      <c r="C106" s="161">
        <f>'Modderrivier Kalkveld'!F8</f>
        <v>2815.84</v>
      </c>
      <c r="D106" s="396" t="s">
        <v>291</v>
      </c>
      <c r="E106" s="159" t="s">
        <v>333</v>
      </c>
      <c r="F106" s="393" t="s">
        <v>41</v>
      </c>
      <c r="G106" s="102"/>
      <c r="H106" s="102"/>
      <c r="I106" s="102"/>
      <c r="J106" s="102"/>
      <c r="K106" s="102"/>
      <c r="L106" s="102"/>
      <c r="M106" s="102"/>
    </row>
    <row r="107" spans="1:13" ht="14.4" x14ac:dyDescent="0.3">
      <c r="A107" s="413" t="s">
        <v>302</v>
      </c>
      <c r="B107" s="392" t="s">
        <v>262</v>
      </c>
      <c r="C107" s="161">
        <f>'L M Meyer'!F9</f>
        <v>15649.31</v>
      </c>
      <c r="D107" s="396" t="s">
        <v>305</v>
      </c>
      <c r="E107" s="400" t="s">
        <v>312</v>
      </c>
      <c r="F107" s="212" t="s">
        <v>41</v>
      </c>
      <c r="G107" s="102"/>
      <c r="H107" s="102"/>
      <c r="I107" s="102"/>
      <c r="J107" s="102"/>
      <c r="K107" s="102"/>
      <c r="L107" s="102"/>
      <c r="M107" s="102"/>
    </row>
    <row r="108" spans="1:13" ht="14.4" x14ac:dyDescent="0.3">
      <c r="A108" s="413" t="s">
        <v>303</v>
      </c>
      <c r="B108" s="392" t="s">
        <v>262</v>
      </c>
      <c r="C108" s="161">
        <f>'Joyce Nel'!F8</f>
        <v>2447910.11</v>
      </c>
      <c r="D108" s="396" t="s">
        <v>303</v>
      </c>
      <c r="E108" s="400" t="s">
        <v>313</v>
      </c>
      <c r="F108" s="212" t="s">
        <v>41</v>
      </c>
      <c r="G108" s="102"/>
      <c r="H108" s="102"/>
      <c r="I108" s="102"/>
      <c r="J108" s="102"/>
      <c r="K108" s="102"/>
      <c r="L108" s="102"/>
      <c r="M108" s="102"/>
    </row>
    <row r="109" spans="1:13" ht="14.4" x14ac:dyDescent="0.3">
      <c r="A109" s="413" t="s">
        <v>310</v>
      </c>
      <c r="B109" s="392" t="s">
        <v>262</v>
      </c>
      <c r="C109" s="161">
        <f>'Wasserman Teerwerke'!F9</f>
        <v>223008.35</v>
      </c>
      <c r="D109" s="396" t="s">
        <v>310</v>
      </c>
      <c r="E109" s="159" t="s">
        <v>311</v>
      </c>
      <c r="F109" s="212" t="s">
        <v>41</v>
      </c>
      <c r="G109" s="102"/>
      <c r="H109" s="102"/>
      <c r="I109" s="102"/>
      <c r="J109" s="102"/>
      <c r="K109" s="102"/>
      <c r="L109" s="102"/>
      <c r="M109" s="102"/>
    </row>
    <row r="110" spans="1:13" ht="14.4" x14ac:dyDescent="0.3">
      <c r="A110" s="395" t="s">
        <v>315</v>
      </c>
      <c r="B110" s="392" t="s">
        <v>262</v>
      </c>
      <c r="C110" s="161">
        <f>Altimax!F9</f>
        <v>1443.68</v>
      </c>
      <c r="D110" s="396" t="s">
        <v>315</v>
      </c>
      <c r="E110" s="400" t="s">
        <v>321</v>
      </c>
      <c r="F110" s="212" t="s">
        <v>41</v>
      </c>
      <c r="G110" s="102"/>
      <c r="H110" s="102"/>
      <c r="I110" s="102"/>
      <c r="J110" s="102"/>
      <c r="K110" s="102"/>
      <c r="L110" s="102"/>
      <c r="M110" s="102"/>
    </row>
    <row r="111" spans="1:13" ht="14.4" x14ac:dyDescent="0.3">
      <c r="A111" s="413" t="s">
        <v>335</v>
      </c>
      <c r="B111" s="392" t="s">
        <v>262</v>
      </c>
      <c r="C111" s="161">
        <f>'Auditor General.'!F10</f>
        <v>31550.9</v>
      </c>
      <c r="D111" s="396" t="s">
        <v>335</v>
      </c>
      <c r="E111" s="159" t="s">
        <v>336</v>
      </c>
      <c r="F111" s="212" t="s">
        <v>41</v>
      </c>
      <c r="G111" s="102"/>
      <c r="H111" s="102"/>
      <c r="I111" s="102"/>
      <c r="J111" s="102"/>
      <c r="K111" s="102"/>
      <c r="L111" s="102"/>
      <c r="M111" s="102"/>
    </row>
    <row r="112" spans="1:13" ht="14.4" x14ac:dyDescent="0.3">
      <c r="A112" s="413" t="s">
        <v>319</v>
      </c>
      <c r="B112" s="392" t="s">
        <v>262</v>
      </c>
      <c r="C112" s="161">
        <f>'Panzacode CC'!F9</f>
        <v>216779.49</v>
      </c>
      <c r="D112" s="396" t="s">
        <v>319</v>
      </c>
      <c r="E112" s="400" t="s">
        <v>322</v>
      </c>
      <c r="F112" s="212" t="s">
        <v>41</v>
      </c>
      <c r="G112" s="102"/>
      <c r="H112" s="102"/>
      <c r="I112" s="102"/>
      <c r="J112" s="102"/>
      <c r="K112" s="102"/>
      <c r="L112" s="102"/>
      <c r="M112" s="102"/>
    </row>
    <row r="113" spans="1:13" ht="14.4" x14ac:dyDescent="0.3">
      <c r="A113" s="413" t="s">
        <v>324</v>
      </c>
      <c r="B113" s="392" t="s">
        <v>262</v>
      </c>
      <c r="C113" s="161">
        <f>'Maluti Plant Hire'!F8</f>
        <v>1918580.11</v>
      </c>
      <c r="D113" s="396" t="s">
        <v>324</v>
      </c>
      <c r="E113" s="400" t="s">
        <v>326</v>
      </c>
      <c r="F113" s="212" t="s">
        <v>41</v>
      </c>
      <c r="G113" s="102"/>
      <c r="H113" s="102"/>
      <c r="I113" s="102"/>
      <c r="J113" s="102"/>
      <c r="K113" s="102"/>
      <c r="L113" s="102"/>
      <c r="M113" s="102"/>
    </row>
    <row r="114" spans="1:13" ht="14.4" x14ac:dyDescent="0.3">
      <c r="A114" s="413" t="s">
        <v>254</v>
      </c>
      <c r="B114" s="392" t="s">
        <v>262</v>
      </c>
      <c r="C114" s="161">
        <f>-'Councillors (2)'!F97</f>
        <v>252063.09198924742</v>
      </c>
      <c r="D114" s="396" t="s">
        <v>342</v>
      </c>
      <c r="E114" s="400" t="s">
        <v>767</v>
      </c>
      <c r="F114" s="212" t="s">
        <v>41</v>
      </c>
      <c r="G114" s="102"/>
      <c r="H114" s="102"/>
      <c r="I114" s="102"/>
      <c r="J114" s="102"/>
      <c r="K114" s="102"/>
      <c r="L114" s="102"/>
      <c r="M114" s="102"/>
    </row>
    <row r="115" spans="1:13" ht="14.4" x14ac:dyDescent="0.3">
      <c r="A115" s="413"/>
      <c r="B115" s="392"/>
      <c r="C115" s="161"/>
      <c r="D115" s="396"/>
      <c r="E115" s="400"/>
      <c r="F115" s="212"/>
      <c r="G115" s="102"/>
      <c r="H115" s="102"/>
      <c r="I115" s="102"/>
      <c r="J115" s="102"/>
      <c r="K115" s="102"/>
      <c r="L115" s="102"/>
      <c r="M115" s="102"/>
    </row>
    <row r="116" spans="1:13" ht="15" thickBot="1" x14ac:dyDescent="0.35">
      <c r="A116" s="412" t="s">
        <v>267</v>
      </c>
      <c r="B116" s="392"/>
      <c r="C116" s="766">
        <f>SUM(C98:C115)</f>
        <v>7517402.7019892475</v>
      </c>
      <c r="D116" s="396"/>
      <c r="E116" s="400"/>
      <c r="F116" s="212"/>
      <c r="G116" s="102"/>
      <c r="H116" s="102"/>
      <c r="I116" s="102"/>
      <c r="J116" s="102"/>
      <c r="K116" s="102"/>
      <c r="L116" s="102"/>
      <c r="M116" s="102"/>
    </row>
    <row r="117" spans="1:13" ht="15" thickTop="1" x14ac:dyDescent="0.3">
      <c r="A117" s="412"/>
      <c r="B117" s="392"/>
      <c r="C117" s="158"/>
      <c r="D117" s="431"/>
      <c r="E117" s="432"/>
      <c r="F117" s="433"/>
      <c r="G117" s="102"/>
      <c r="H117" s="102"/>
      <c r="I117" s="102"/>
      <c r="J117" s="102"/>
      <c r="K117" s="102"/>
      <c r="L117" s="102"/>
      <c r="M117" s="102"/>
    </row>
    <row r="118" spans="1:13" ht="13.8" x14ac:dyDescent="0.25">
      <c r="A118" s="792" t="s">
        <v>366</v>
      </c>
      <c r="B118" s="793"/>
      <c r="C118" s="793"/>
      <c r="D118" s="793"/>
      <c r="E118" s="793"/>
      <c r="F118" s="793"/>
      <c r="G118" s="102"/>
      <c r="H118" s="102"/>
      <c r="I118" s="102"/>
      <c r="J118" s="102"/>
      <c r="K118" s="102"/>
      <c r="L118" s="102"/>
      <c r="M118" s="102"/>
    </row>
    <row r="119" spans="1:13" ht="14.4" x14ac:dyDescent="0.3">
      <c r="A119" s="413" t="s">
        <v>181</v>
      </c>
      <c r="B119" s="392" t="s">
        <v>366</v>
      </c>
      <c r="C119" s="161">
        <f>TELKOM!F27</f>
        <v>180853.67999999996</v>
      </c>
      <c r="D119" s="396" t="s">
        <v>374</v>
      </c>
      <c r="E119" s="159" t="s">
        <v>105</v>
      </c>
      <c r="F119" s="212" t="s">
        <v>41</v>
      </c>
      <c r="G119" s="102"/>
      <c r="H119" s="102"/>
      <c r="I119" s="102"/>
      <c r="J119" s="102"/>
      <c r="K119" s="102"/>
      <c r="L119" s="102"/>
      <c r="M119" s="102"/>
    </row>
    <row r="120" spans="1:13" ht="14.4" x14ac:dyDescent="0.3">
      <c r="A120" s="413" t="s">
        <v>91</v>
      </c>
      <c r="B120" s="392" t="s">
        <v>366</v>
      </c>
      <c r="C120" s="161">
        <f>'ESKOM. '!F53</f>
        <v>35104.259999999995</v>
      </c>
      <c r="D120" s="396" t="s">
        <v>146</v>
      </c>
      <c r="E120" s="159" t="s">
        <v>84</v>
      </c>
      <c r="F120" s="212" t="s">
        <v>41</v>
      </c>
      <c r="G120" s="102"/>
      <c r="H120" s="102"/>
      <c r="I120" s="102"/>
      <c r="J120" s="102"/>
      <c r="K120" s="102"/>
      <c r="L120" s="102"/>
      <c r="M120" s="102"/>
    </row>
    <row r="121" spans="1:13" ht="14.4" x14ac:dyDescent="0.3">
      <c r="A121" s="413" t="s">
        <v>96</v>
      </c>
      <c r="B121" s="392" t="s">
        <v>366</v>
      </c>
      <c r="C121" s="161">
        <f>FDC!F9</f>
        <v>1758.1799999999998</v>
      </c>
      <c r="D121" s="396" t="s">
        <v>96</v>
      </c>
      <c r="E121" s="159" t="s">
        <v>82</v>
      </c>
      <c r="F121" s="212" t="s">
        <v>41</v>
      </c>
      <c r="G121" s="102"/>
      <c r="H121" s="102"/>
      <c r="I121" s="102"/>
      <c r="J121" s="102"/>
      <c r="K121" s="102"/>
      <c r="L121" s="102"/>
      <c r="M121" s="102"/>
    </row>
    <row r="122" spans="1:13" ht="14.4" x14ac:dyDescent="0.3">
      <c r="A122" s="413" t="s">
        <v>200</v>
      </c>
      <c r="B122" s="392" t="s">
        <v>366</v>
      </c>
      <c r="C122" s="161">
        <f>' UMFA'!F10</f>
        <v>336.11</v>
      </c>
      <c r="D122" s="396" t="s">
        <v>200</v>
      </c>
      <c r="E122" s="159" t="s">
        <v>201</v>
      </c>
      <c r="F122" s="212" t="s">
        <v>41</v>
      </c>
      <c r="G122" s="102"/>
      <c r="H122" s="102"/>
      <c r="I122" s="102"/>
      <c r="J122" s="102"/>
      <c r="K122" s="102"/>
      <c r="L122" s="102"/>
      <c r="M122" s="102"/>
    </row>
    <row r="123" spans="1:13" ht="14.4" x14ac:dyDescent="0.3">
      <c r="A123" s="434" t="s">
        <v>396</v>
      </c>
      <c r="B123" s="392" t="s">
        <v>366</v>
      </c>
      <c r="C123" s="440">
        <f>'HI-TECH ENGINEERING'!F9</f>
        <v>37869.39</v>
      </c>
      <c r="D123" s="437" t="s">
        <v>396</v>
      </c>
      <c r="E123" s="159" t="s">
        <v>397</v>
      </c>
      <c r="F123" s="212" t="s">
        <v>41</v>
      </c>
      <c r="G123" s="102"/>
      <c r="H123" s="102"/>
      <c r="I123" s="102"/>
      <c r="J123" s="102"/>
      <c r="K123" s="102"/>
      <c r="L123" s="102"/>
      <c r="M123" s="102"/>
    </row>
    <row r="124" spans="1:13" ht="14.4" x14ac:dyDescent="0.3">
      <c r="A124" s="434" t="s">
        <v>335</v>
      </c>
      <c r="B124" s="392" t="s">
        <v>366</v>
      </c>
      <c r="C124" s="440">
        <f>'AUDITOR GENERAL'!F13</f>
        <v>25465.420000000002</v>
      </c>
      <c r="D124" s="437" t="s">
        <v>335</v>
      </c>
      <c r="E124" s="159" t="s">
        <v>336</v>
      </c>
      <c r="F124" s="212" t="s">
        <v>41</v>
      </c>
      <c r="G124" s="102"/>
      <c r="H124" s="102"/>
      <c r="I124" s="102"/>
      <c r="J124" s="102"/>
      <c r="K124" s="102"/>
      <c r="L124" s="102"/>
      <c r="M124" s="102"/>
    </row>
    <row r="125" spans="1:13" ht="14.4" x14ac:dyDescent="0.3">
      <c r="A125" s="438" t="s">
        <v>400</v>
      </c>
      <c r="B125" s="392" t="s">
        <v>366</v>
      </c>
      <c r="C125" s="161">
        <f>'ROAD MAC SURFACING'!F9</f>
        <v>173579</v>
      </c>
      <c r="D125" s="396" t="s">
        <v>401</v>
      </c>
      <c r="E125" s="159" t="s">
        <v>402</v>
      </c>
      <c r="F125" s="212" t="s">
        <v>41</v>
      </c>
      <c r="G125" s="102"/>
      <c r="H125" s="102"/>
      <c r="I125" s="102"/>
      <c r="J125" s="102"/>
      <c r="K125" s="102"/>
      <c r="L125" s="102"/>
      <c r="M125" s="102"/>
    </row>
    <row r="126" spans="1:13" ht="14.4" x14ac:dyDescent="0.3">
      <c r="A126" s="439" t="s">
        <v>412</v>
      </c>
      <c r="B126" s="392" t="s">
        <v>366</v>
      </c>
      <c r="C126" s="161">
        <f>'TAU PELE '!F9</f>
        <v>797779.41</v>
      </c>
      <c r="D126" s="396" t="s">
        <v>414</v>
      </c>
      <c r="E126" s="159" t="s">
        <v>416</v>
      </c>
      <c r="F126" s="212" t="s">
        <v>41</v>
      </c>
      <c r="G126" s="102"/>
      <c r="H126" s="102"/>
      <c r="I126" s="102"/>
      <c r="J126" s="102"/>
      <c r="K126" s="102"/>
      <c r="L126" s="102"/>
      <c r="M126" s="102"/>
    </row>
    <row r="127" spans="1:13" ht="14.4" x14ac:dyDescent="0.3">
      <c r="A127" s="439" t="s">
        <v>413</v>
      </c>
      <c r="B127" s="392" t="s">
        <v>366</v>
      </c>
      <c r="C127" s="161">
        <f>'SPANGENBERG ZIETSMAN'!F9</f>
        <v>151280.95999999999</v>
      </c>
      <c r="D127" s="396" t="s">
        <v>415</v>
      </c>
      <c r="E127" s="159" t="s">
        <v>417</v>
      </c>
      <c r="F127" s="212" t="s">
        <v>41</v>
      </c>
      <c r="G127" s="102"/>
      <c r="H127" s="102"/>
      <c r="I127" s="102"/>
      <c r="J127" s="102"/>
      <c r="K127" s="102"/>
      <c r="L127" s="102"/>
      <c r="M127" s="102"/>
    </row>
    <row r="128" spans="1:13" ht="14.4" x14ac:dyDescent="0.3">
      <c r="A128" s="439" t="s">
        <v>419</v>
      </c>
      <c r="B128" s="392" t="s">
        <v>366</v>
      </c>
      <c r="C128" s="161">
        <f>'L &amp; V Attorneys'!F9</f>
        <v>41077</v>
      </c>
      <c r="D128" s="396" t="s">
        <v>419</v>
      </c>
      <c r="E128" s="159" t="s">
        <v>420</v>
      </c>
      <c r="F128" s="212" t="s">
        <v>41</v>
      </c>
      <c r="G128" s="102"/>
      <c r="H128" s="102"/>
      <c r="I128" s="102"/>
      <c r="J128" s="102"/>
      <c r="K128" s="102"/>
      <c r="L128" s="102"/>
      <c r="M128" s="102"/>
    </row>
    <row r="129" spans="1:13" ht="14.4" x14ac:dyDescent="0.3">
      <c r="A129" s="439" t="s">
        <v>424</v>
      </c>
      <c r="B129" s="392" t="s">
        <v>366</v>
      </c>
      <c r="C129" s="161">
        <f>FUJITSU!F9</f>
        <v>208401.13</v>
      </c>
      <c r="D129" s="396" t="s">
        <v>425</v>
      </c>
      <c r="E129" s="159" t="s">
        <v>426</v>
      </c>
      <c r="F129" s="212" t="s">
        <v>41</v>
      </c>
      <c r="G129" s="102"/>
      <c r="H129" s="102"/>
      <c r="I129" s="102"/>
      <c r="J129" s="102"/>
      <c r="K129" s="102"/>
      <c r="L129" s="102"/>
      <c r="M129" s="102"/>
    </row>
    <row r="130" spans="1:13" ht="14.4" x14ac:dyDescent="0.3">
      <c r="A130" s="439" t="s">
        <v>436</v>
      </c>
      <c r="B130" s="392" t="s">
        <v>366</v>
      </c>
      <c r="C130" s="161">
        <f>'SYMINGTON &amp; DE KOK'!F9</f>
        <v>12004.21</v>
      </c>
      <c r="D130" s="396" t="s">
        <v>437</v>
      </c>
      <c r="E130" s="159" t="s">
        <v>438</v>
      </c>
      <c r="F130" s="212" t="s">
        <v>41</v>
      </c>
      <c r="G130" s="102"/>
      <c r="H130" s="102"/>
      <c r="I130" s="102"/>
      <c r="J130" s="102"/>
      <c r="K130" s="102"/>
      <c r="L130" s="102"/>
      <c r="M130" s="102"/>
    </row>
    <row r="131" spans="1:13" ht="14.4" x14ac:dyDescent="0.3">
      <c r="A131" s="439" t="s">
        <v>443</v>
      </c>
      <c r="B131" s="392" t="s">
        <v>366</v>
      </c>
      <c r="C131" s="161">
        <f>'REDER CONSTRUCTION'!F9</f>
        <v>146453.28</v>
      </c>
      <c r="D131" s="396" t="s">
        <v>444</v>
      </c>
      <c r="E131" s="159" t="s">
        <v>445</v>
      </c>
      <c r="F131" s="212" t="s">
        <v>41</v>
      </c>
      <c r="G131" s="102"/>
      <c r="H131" s="102"/>
      <c r="I131" s="102"/>
      <c r="J131" s="102"/>
      <c r="K131" s="102"/>
      <c r="L131" s="102"/>
      <c r="M131" s="102"/>
    </row>
    <row r="132" spans="1:13" ht="14.4" x14ac:dyDescent="0.3">
      <c r="A132" s="439" t="s">
        <v>454</v>
      </c>
      <c r="B132" s="392" t="s">
        <v>366</v>
      </c>
      <c r="C132" s="161">
        <f>'Friday Management Solutions'!F9</f>
        <v>44100</v>
      </c>
      <c r="D132" s="394" t="s">
        <v>454</v>
      </c>
      <c r="E132" s="159" t="s">
        <v>455</v>
      </c>
      <c r="F132" s="212" t="s">
        <v>41</v>
      </c>
      <c r="G132" s="102"/>
      <c r="H132" s="102"/>
      <c r="I132" s="102"/>
      <c r="J132" s="102"/>
      <c r="K132" s="102"/>
      <c r="L132" s="102"/>
      <c r="M132" s="102"/>
    </row>
    <row r="133" spans="1:13" ht="28.5" customHeight="1" x14ac:dyDescent="0.3">
      <c r="A133" s="190" t="s">
        <v>583</v>
      </c>
      <c r="B133" s="617" t="s">
        <v>366</v>
      </c>
      <c r="C133" s="440">
        <f>'Councillors Salaries'!D163</f>
        <v>94777.645000000033</v>
      </c>
      <c r="D133" s="394" t="s">
        <v>468</v>
      </c>
      <c r="E133" s="159" t="s">
        <v>469</v>
      </c>
      <c r="F133" s="212" t="s">
        <v>41</v>
      </c>
      <c r="G133" s="102"/>
      <c r="H133" s="102"/>
      <c r="I133" s="102"/>
      <c r="J133" s="102"/>
      <c r="K133" s="102"/>
      <c r="L133" s="102"/>
      <c r="M133" s="102"/>
    </row>
    <row r="134" spans="1:13" ht="15" customHeight="1" x14ac:dyDescent="0.3">
      <c r="A134" s="190" t="s">
        <v>585</v>
      </c>
      <c r="B134" s="617" t="s">
        <v>366</v>
      </c>
      <c r="C134" s="440">
        <f>Oramok!F9</f>
        <v>304800</v>
      </c>
      <c r="D134" s="394" t="s">
        <v>585</v>
      </c>
      <c r="E134" s="211" t="s">
        <v>597</v>
      </c>
      <c r="F134" s="212" t="s">
        <v>41</v>
      </c>
      <c r="G134" s="102"/>
      <c r="H134" s="102"/>
      <c r="I134" s="102"/>
      <c r="J134" s="102"/>
      <c r="K134" s="102"/>
      <c r="L134" s="102"/>
      <c r="M134" s="102"/>
    </row>
    <row r="135" spans="1:13" ht="14.25" customHeight="1" x14ac:dyDescent="0.3">
      <c r="A135" s="190" t="s">
        <v>584</v>
      </c>
      <c r="B135" s="617" t="s">
        <v>366</v>
      </c>
      <c r="C135" s="440">
        <f>Ruwacon!F10</f>
        <v>1752770.4700000002</v>
      </c>
      <c r="D135" s="394" t="s">
        <v>584</v>
      </c>
      <c r="E135" s="211" t="s">
        <v>598</v>
      </c>
      <c r="F135" s="212" t="s">
        <v>41</v>
      </c>
      <c r="G135" s="102"/>
      <c r="H135" s="102"/>
      <c r="I135" s="102"/>
      <c r="J135" s="102"/>
      <c r="K135" s="102"/>
      <c r="L135" s="102"/>
      <c r="M135" s="102"/>
    </row>
    <row r="136" spans="1:13" ht="15" customHeight="1" x14ac:dyDescent="0.3">
      <c r="A136" s="190" t="s">
        <v>452</v>
      </c>
      <c r="B136" s="617" t="s">
        <v>366</v>
      </c>
      <c r="C136" s="440">
        <f>'Kgato Projects '!F9</f>
        <v>10937011.940000001</v>
      </c>
      <c r="D136" s="394" t="s">
        <v>452</v>
      </c>
      <c r="E136" s="211" t="s">
        <v>616</v>
      </c>
      <c r="F136" s="212" t="s">
        <v>41</v>
      </c>
      <c r="G136" s="102"/>
      <c r="H136" s="102"/>
      <c r="I136" s="102"/>
      <c r="J136" s="102"/>
      <c r="K136" s="102"/>
      <c r="L136" s="102"/>
      <c r="M136" s="102"/>
    </row>
    <row r="137" spans="1:13" ht="13.5" customHeight="1" x14ac:dyDescent="0.3">
      <c r="A137" s="190" t="s">
        <v>591</v>
      </c>
      <c r="B137" s="617" t="s">
        <v>366</v>
      </c>
      <c r="C137" s="440">
        <f>'Refilwe Civils'!F9</f>
        <v>1526641.84</v>
      </c>
      <c r="D137" s="394" t="s">
        <v>591</v>
      </c>
      <c r="E137" s="211" t="s">
        <v>599</v>
      </c>
      <c r="F137" s="212" t="s">
        <v>41</v>
      </c>
      <c r="G137" s="102"/>
      <c r="H137" s="102"/>
      <c r="I137" s="102"/>
      <c r="J137" s="102"/>
      <c r="K137" s="102"/>
      <c r="L137" s="102"/>
      <c r="M137" s="102"/>
    </row>
    <row r="138" spans="1:13" ht="13.5" customHeight="1" x14ac:dyDescent="0.3">
      <c r="A138" s="190" t="s">
        <v>594</v>
      </c>
      <c r="B138" s="617" t="s">
        <v>366</v>
      </c>
      <c r="C138" s="440">
        <f>Panzacode!F9</f>
        <v>2153048.02</v>
      </c>
      <c r="D138" s="394" t="s">
        <v>602</v>
      </c>
      <c r="E138" s="211" t="s">
        <v>615</v>
      </c>
      <c r="F138" s="212" t="s">
        <v>41</v>
      </c>
      <c r="G138" s="102"/>
      <c r="H138" s="102"/>
      <c r="I138" s="102"/>
      <c r="J138" s="102"/>
      <c r="K138" s="102"/>
      <c r="L138" s="102"/>
      <c r="M138" s="102"/>
    </row>
    <row r="139" spans="1:13" ht="14.25" customHeight="1" x14ac:dyDescent="0.3">
      <c r="A139" s="190" t="s">
        <v>310</v>
      </c>
      <c r="B139" s="617" t="s">
        <v>366</v>
      </c>
      <c r="C139" s="440">
        <f>'Wasserman '!F9</f>
        <v>201300</v>
      </c>
      <c r="D139" s="394" t="s">
        <v>603</v>
      </c>
      <c r="E139" s="211" t="s">
        <v>604</v>
      </c>
      <c r="F139" s="212" t="s">
        <v>41</v>
      </c>
      <c r="G139" s="102"/>
      <c r="H139" s="102"/>
      <c r="I139" s="102"/>
      <c r="J139" s="102"/>
      <c r="K139" s="102"/>
      <c r="L139" s="102"/>
      <c r="M139" s="102"/>
    </row>
    <row r="140" spans="1:13" ht="14.25" customHeight="1" x14ac:dyDescent="0.3">
      <c r="A140" s="190" t="s">
        <v>607</v>
      </c>
      <c r="B140" s="617" t="s">
        <v>366</v>
      </c>
      <c r="C140" s="440">
        <f>'Q-Civils'!F9</f>
        <v>5754919.6099999994</v>
      </c>
      <c r="D140" s="394" t="s">
        <v>607</v>
      </c>
      <c r="E140" s="211" t="s">
        <v>608</v>
      </c>
      <c r="F140" s="212" t="s">
        <v>41</v>
      </c>
      <c r="G140" s="102"/>
      <c r="H140" s="102"/>
      <c r="I140" s="102"/>
      <c r="J140" s="102"/>
      <c r="K140" s="102"/>
      <c r="L140" s="102"/>
      <c r="M140" s="102"/>
    </row>
    <row r="141" spans="1:13" ht="14.25" customHeight="1" x14ac:dyDescent="0.3">
      <c r="A141" s="190" t="s">
        <v>611</v>
      </c>
      <c r="B141" s="617" t="s">
        <v>366</v>
      </c>
      <c r="C141" s="440">
        <f>'LTE '!F9</f>
        <v>1285544.78</v>
      </c>
      <c r="D141" s="625" t="s">
        <v>613</v>
      </c>
      <c r="E141" s="211" t="s">
        <v>614</v>
      </c>
      <c r="F141" s="212" t="s">
        <v>41</v>
      </c>
      <c r="G141" s="102"/>
      <c r="H141" s="102"/>
      <c r="I141" s="102"/>
      <c r="J141" s="102"/>
      <c r="K141" s="102"/>
      <c r="L141" s="102"/>
      <c r="M141" s="102"/>
    </row>
    <row r="142" spans="1:13" ht="14.25" customHeight="1" x14ac:dyDescent="0.3">
      <c r="A142" s="434" t="s">
        <v>868</v>
      </c>
      <c r="B142" s="617" t="s">
        <v>366</v>
      </c>
      <c r="C142" s="440">
        <f>'RUWACON (AC 247)'!F8</f>
        <v>557810.34</v>
      </c>
      <c r="D142" s="394" t="s">
        <v>870</v>
      </c>
      <c r="E142" s="210" t="s">
        <v>598</v>
      </c>
      <c r="F142" s="393" t="s">
        <v>41</v>
      </c>
      <c r="G142" s="102"/>
      <c r="H142" s="102"/>
      <c r="I142" s="102"/>
      <c r="J142" s="102"/>
      <c r="K142" s="102"/>
      <c r="L142" s="102"/>
      <c r="M142" s="102"/>
    </row>
    <row r="143" spans="1:13" ht="15" thickBot="1" x14ac:dyDescent="0.35">
      <c r="A143" s="166" t="s">
        <v>373</v>
      </c>
      <c r="B143" s="327"/>
      <c r="C143" s="765">
        <f>SUM(C119:C142)</f>
        <v>26424686.675000001</v>
      </c>
      <c r="D143" s="626"/>
      <c r="E143" s="330"/>
      <c r="F143" s="331"/>
      <c r="G143" s="102"/>
      <c r="H143" s="102"/>
      <c r="I143" s="102"/>
      <c r="J143" s="102"/>
      <c r="K143" s="102"/>
      <c r="L143" s="102"/>
      <c r="M143" s="102"/>
    </row>
    <row r="144" spans="1:13" ht="15" thickTop="1" x14ac:dyDescent="0.3">
      <c r="A144" s="166"/>
      <c r="B144" s="327"/>
      <c r="C144" s="139"/>
      <c r="D144" s="626"/>
      <c r="E144" s="330"/>
      <c r="F144" s="331"/>
      <c r="G144" s="102"/>
      <c r="H144" s="102"/>
      <c r="I144" s="102"/>
      <c r="J144" s="102"/>
      <c r="K144" s="102"/>
      <c r="L144" s="102"/>
      <c r="M144" s="102"/>
    </row>
    <row r="145" spans="1:13" ht="13.8" x14ac:dyDescent="0.25">
      <c r="A145" s="792" t="s">
        <v>651</v>
      </c>
      <c r="B145" s="793"/>
      <c r="C145" s="793"/>
      <c r="D145" s="793"/>
      <c r="E145" s="793"/>
      <c r="F145" s="793"/>
      <c r="G145" s="102"/>
      <c r="H145" s="102"/>
      <c r="I145" s="102"/>
      <c r="J145" s="102"/>
      <c r="K145" s="102"/>
      <c r="L145" s="102"/>
      <c r="M145" s="102"/>
    </row>
    <row r="146" spans="1:13" ht="14.4" x14ac:dyDescent="0.3">
      <c r="A146" s="413" t="s">
        <v>91</v>
      </c>
      <c r="B146" s="392" t="s">
        <v>651</v>
      </c>
      <c r="C146" s="161">
        <f>'ESKOM SOC'!F88</f>
        <v>121709.75000000001</v>
      </c>
      <c r="D146" s="396" t="s">
        <v>652</v>
      </c>
      <c r="E146" s="210" t="s">
        <v>653</v>
      </c>
      <c r="F146" s="212" t="s">
        <v>41</v>
      </c>
      <c r="G146" s="102"/>
      <c r="H146" s="102"/>
      <c r="I146" s="102"/>
      <c r="J146" s="102"/>
      <c r="K146" s="102"/>
      <c r="L146" s="102"/>
      <c r="M146" s="102"/>
    </row>
    <row r="147" spans="1:13" ht="14.4" x14ac:dyDescent="0.3">
      <c r="A147" s="413" t="s">
        <v>181</v>
      </c>
      <c r="B147" s="392" t="s">
        <v>651</v>
      </c>
      <c r="C147" s="161">
        <f>'TELKOM SA'!F18</f>
        <v>86335.52</v>
      </c>
      <c r="D147" s="394" t="s">
        <v>654</v>
      </c>
      <c r="E147" s="210" t="s">
        <v>105</v>
      </c>
      <c r="F147" s="212" t="s">
        <v>41</v>
      </c>
      <c r="G147" s="102"/>
      <c r="H147" s="102"/>
      <c r="I147" s="102"/>
      <c r="J147" s="102"/>
      <c r="K147" s="102"/>
      <c r="L147" s="102"/>
      <c r="M147" s="102"/>
    </row>
    <row r="148" spans="1:13" ht="14.4" x14ac:dyDescent="0.3">
      <c r="A148" s="398" t="s">
        <v>655</v>
      </c>
      <c r="B148" s="392" t="s">
        <v>651</v>
      </c>
      <c r="C148" s="161">
        <f>'VARYMIX NINETEEN (PTY)'!F9</f>
        <v>207608.4</v>
      </c>
      <c r="D148" s="396" t="s">
        <v>656</v>
      </c>
      <c r="E148" s="210" t="s">
        <v>657</v>
      </c>
      <c r="F148" s="393" t="s">
        <v>41</v>
      </c>
      <c r="G148" s="102"/>
      <c r="H148" s="102"/>
      <c r="I148" s="102"/>
      <c r="J148" s="102"/>
      <c r="K148" s="102"/>
      <c r="L148" s="102"/>
      <c r="M148" s="102"/>
    </row>
    <row r="149" spans="1:13" ht="14.4" x14ac:dyDescent="0.3">
      <c r="A149" s="398" t="s">
        <v>663</v>
      </c>
      <c r="B149" s="392" t="s">
        <v>651</v>
      </c>
      <c r="C149" s="161">
        <f>'BLAIR ATTORNEYS'!F9</f>
        <v>1635.66</v>
      </c>
      <c r="D149" s="396" t="s">
        <v>664</v>
      </c>
      <c r="E149" s="210" t="s">
        <v>665</v>
      </c>
      <c r="F149" s="393" t="s">
        <v>41</v>
      </c>
      <c r="G149" s="102"/>
      <c r="H149" s="102"/>
      <c r="I149" s="102"/>
      <c r="J149" s="102"/>
      <c r="K149" s="102"/>
      <c r="L149" s="102"/>
      <c r="M149" s="102"/>
    </row>
    <row r="150" spans="1:13" ht="14.4" x14ac:dyDescent="0.3">
      <c r="A150" s="398" t="s">
        <v>666</v>
      </c>
      <c r="B150" s="392" t="s">
        <v>651</v>
      </c>
      <c r="C150" s="161">
        <f>NICS!F9</f>
        <v>2725404.1</v>
      </c>
      <c r="D150" s="396" t="s">
        <v>676</v>
      </c>
      <c r="E150" s="217" t="s">
        <v>677</v>
      </c>
      <c r="F150" s="393" t="s">
        <v>41</v>
      </c>
      <c r="G150" s="102"/>
      <c r="H150" s="102"/>
      <c r="I150" s="102"/>
      <c r="J150" s="102"/>
      <c r="K150" s="102"/>
      <c r="L150" s="102"/>
      <c r="M150" s="102"/>
    </row>
    <row r="151" spans="1:13" ht="14.4" x14ac:dyDescent="0.3">
      <c r="A151" s="398" t="s">
        <v>671</v>
      </c>
      <c r="B151" s="392" t="s">
        <v>651</v>
      </c>
      <c r="C151" s="161">
        <f>SAMWU!F9</f>
        <v>250268.24</v>
      </c>
      <c r="D151" s="396" t="s">
        <v>678</v>
      </c>
      <c r="E151" s="210" t="s">
        <v>679</v>
      </c>
      <c r="F151" s="393" t="s">
        <v>41</v>
      </c>
      <c r="G151" s="102"/>
      <c r="H151" s="102"/>
      <c r="I151" s="102"/>
      <c r="J151" s="102"/>
      <c r="K151" s="102"/>
      <c r="L151" s="102"/>
      <c r="M151" s="102"/>
    </row>
    <row r="152" spans="1:13" ht="14.4" x14ac:dyDescent="0.3">
      <c r="A152" s="398" t="s">
        <v>674</v>
      </c>
      <c r="B152" s="392" t="s">
        <v>651</v>
      </c>
      <c r="C152" s="161">
        <f>'DOWN TOUCH'!F9</f>
        <v>793871.98</v>
      </c>
      <c r="D152" s="396" t="s">
        <v>680</v>
      </c>
      <c r="E152" s="210" t="s">
        <v>681</v>
      </c>
      <c r="F152" s="393" t="s">
        <v>41</v>
      </c>
      <c r="G152" s="102"/>
      <c r="H152" s="102"/>
      <c r="I152" s="102"/>
      <c r="J152" s="102"/>
      <c r="K152" s="102"/>
      <c r="L152" s="102"/>
      <c r="M152" s="102"/>
    </row>
    <row r="153" spans="1:13" ht="14.4" x14ac:dyDescent="0.3">
      <c r="A153" s="398" t="s">
        <v>683</v>
      </c>
      <c r="B153" s="392" t="s">
        <v>651</v>
      </c>
      <c r="C153" s="161">
        <f>'PEYPER ATTORNEYS'!F9</f>
        <v>571085.66</v>
      </c>
      <c r="D153" s="396" t="s">
        <v>684</v>
      </c>
      <c r="E153" s="210" t="s">
        <v>685</v>
      </c>
      <c r="F153" s="393" t="s">
        <v>41</v>
      </c>
      <c r="G153" s="102"/>
      <c r="H153" s="102"/>
      <c r="I153" s="102"/>
      <c r="J153" s="102"/>
      <c r="K153" s="102"/>
      <c r="L153" s="102"/>
      <c r="M153" s="102"/>
    </row>
    <row r="154" spans="1:13" ht="14.4" x14ac:dyDescent="0.3">
      <c r="A154" s="398" t="s">
        <v>690</v>
      </c>
      <c r="B154" s="392" t="s">
        <v>651</v>
      </c>
      <c r="C154" s="161">
        <f>'SARS - PAYE'!F9</f>
        <v>7771.13</v>
      </c>
      <c r="D154" s="396" t="s">
        <v>691</v>
      </c>
      <c r="E154" s="210" t="s">
        <v>184</v>
      </c>
      <c r="F154" s="393" t="s">
        <v>41</v>
      </c>
      <c r="G154" s="102"/>
      <c r="H154" s="102"/>
      <c r="I154" s="102"/>
      <c r="J154" s="102"/>
      <c r="K154" s="102"/>
      <c r="L154" s="102"/>
      <c r="M154" s="102"/>
    </row>
    <row r="155" spans="1:13" ht="14.4" x14ac:dyDescent="0.3">
      <c r="A155" s="398" t="s">
        <v>695</v>
      </c>
      <c r="B155" s="392" t="s">
        <v>651</v>
      </c>
      <c r="C155" s="161">
        <f>'COUZYN HERTZ &amp; HORAK ATTORNEYS'!F9</f>
        <v>195193.68</v>
      </c>
      <c r="D155" s="396" t="s">
        <v>696</v>
      </c>
      <c r="E155" s="210" t="s">
        <v>697</v>
      </c>
      <c r="F155" s="393" t="s">
        <v>41</v>
      </c>
      <c r="G155" s="102"/>
      <c r="H155" s="102"/>
      <c r="I155" s="102"/>
      <c r="J155" s="102"/>
      <c r="K155" s="102"/>
      <c r="L155" s="102"/>
      <c r="M155" s="102"/>
    </row>
    <row r="156" spans="1:13" ht="14.4" x14ac:dyDescent="0.3">
      <c r="A156" s="398" t="s">
        <v>698</v>
      </c>
      <c r="B156" s="392" t="s">
        <v>651</v>
      </c>
      <c r="C156" s="161">
        <f>'HONEY ATTORNEYS'!F9</f>
        <v>1474.16</v>
      </c>
      <c r="D156" s="396" t="s">
        <v>699</v>
      </c>
      <c r="E156" s="210" t="s">
        <v>700</v>
      </c>
      <c r="F156" s="393" t="s">
        <v>41</v>
      </c>
      <c r="G156" s="102"/>
      <c r="H156" s="102"/>
      <c r="I156" s="102"/>
      <c r="J156" s="102"/>
      <c r="K156" s="102"/>
      <c r="L156" s="102"/>
      <c r="M156" s="102"/>
    </row>
    <row r="157" spans="1:13" ht="14.4" x14ac:dyDescent="0.3">
      <c r="A157" s="398" t="s">
        <v>834</v>
      </c>
      <c r="B157" s="392" t="s">
        <v>651</v>
      </c>
      <c r="C157" s="161">
        <f>-'LISTING OF OVERPAYMENTS'!D36</f>
        <v>67134.21999999971</v>
      </c>
      <c r="D157" s="396" t="s">
        <v>835</v>
      </c>
      <c r="E157" s="210" t="s">
        <v>831</v>
      </c>
      <c r="F157" s="393" t="s">
        <v>41</v>
      </c>
      <c r="G157" s="102"/>
      <c r="H157" s="102"/>
      <c r="I157" s="102"/>
      <c r="J157" s="102"/>
      <c r="K157" s="102"/>
      <c r="L157" s="102"/>
      <c r="M157" s="102"/>
    </row>
    <row r="158" spans="1:13" ht="14.4" x14ac:dyDescent="0.3">
      <c r="A158" s="398" t="s">
        <v>826</v>
      </c>
      <c r="B158" s="392" t="s">
        <v>651</v>
      </c>
      <c r="C158" s="161">
        <f>MODDERRIVIER!F9</f>
        <v>7200.0199999999995</v>
      </c>
      <c r="D158" s="396" t="s">
        <v>836</v>
      </c>
      <c r="E158" s="210" t="s">
        <v>832</v>
      </c>
      <c r="F158" s="393" t="s">
        <v>41</v>
      </c>
      <c r="G158" s="102"/>
      <c r="H158" s="102"/>
      <c r="I158" s="102"/>
      <c r="J158" s="102"/>
      <c r="K158" s="102"/>
      <c r="L158" s="102"/>
      <c r="M158" s="102"/>
    </row>
    <row r="159" spans="1:13" ht="14.4" x14ac:dyDescent="0.3">
      <c r="A159" s="398" t="s">
        <v>830</v>
      </c>
      <c r="B159" s="392" t="s">
        <v>651</v>
      </c>
      <c r="C159" s="161">
        <f>'CMP BEE ENGINEER'!F9</f>
        <v>205791.94</v>
      </c>
      <c r="D159" s="396" t="s">
        <v>837</v>
      </c>
      <c r="E159" s="210" t="s">
        <v>833</v>
      </c>
      <c r="F159" s="393" t="s">
        <v>41</v>
      </c>
      <c r="G159" s="102"/>
      <c r="H159" s="102"/>
      <c r="I159" s="102"/>
      <c r="J159" s="102"/>
      <c r="K159" s="102"/>
      <c r="L159" s="102"/>
      <c r="M159" s="102"/>
    </row>
    <row r="160" spans="1:13" ht="14.4" x14ac:dyDescent="0.3">
      <c r="A160" s="398" t="s">
        <v>844</v>
      </c>
      <c r="B160" s="392" t="s">
        <v>651</v>
      </c>
      <c r="C160" s="161">
        <f>'SABC TV Licences'!F9</f>
        <v>424</v>
      </c>
      <c r="D160" s="396" t="s">
        <v>844</v>
      </c>
      <c r="E160" s="210" t="s">
        <v>849</v>
      </c>
      <c r="F160" s="393" t="s">
        <v>41</v>
      </c>
      <c r="G160" s="102"/>
      <c r="H160" s="102"/>
      <c r="I160" s="102"/>
      <c r="J160" s="102"/>
      <c r="K160" s="102"/>
      <c r="L160" s="102"/>
      <c r="M160" s="102"/>
    </row>
    <row r="161" spans="1:13" ht="14.4" x14ac:dyDescent="0.3">
      <c r="A161" s="398" t="s">
        <v>847</v>
      </c>
      <c r="B161" s="392" t="s">
        <v>651</v>
      </c>
      <c r="C161" s="161">
        <f>'FSPG Police'!F9</f>
        <v>125</v>
      </c>
      <c r="D161" s="396" t="s">
        <v>847</v>
      </c>
      <c r="E161" s="210" t="s">
        <v>850</v>
      </c>
      <c r="F161" s="393" t="s">
        <v>41</v>
      </c>
      <c r="G161" s="102"/>
      <c r="H161" s="102"/>
      <c r="I161" s="102"/>
      <c r="J161" s="102"/>
      <c r="K161" s="102"/>
      <c r="L161" s="102"/>
      <c r="M161" s="102"/>
    </row>
    <row r="162" spans="1:13" ht="14.4" x14ac:dyDescent="0.3">
      <c r="A162" s="398" t="s">
        <v>878</v>
      </c>
      <c r="B162" s="392" t="s">
        <v>651</v>
      </c>
      <c r="C162" s="161">
        <f>'CALGRO M3 HOLDINGS'!F9</f>
        <v>453329.45</v>
      </c>
      <c r="D162" s="396" t="s">
        <v>879</v>
      </c>
      <c r="E162" s="210" t="s">
        <v>874</v>
      </c>
      <c r="F162" s="393" t="s">
        <v>41</v>
      </c>
      <c r="G162" s="102"/>
      <c r="H162" s="102"/>
      <c r="I162" s="102"/>
      <c r="J162" s="102"/>
      <c r="K162" s="102"/>
      <c r="L162" s="102"/>
      <c r="M162" s="102"/>
    </row>
    <row r="163" spans="1:13" ht="14.4" x14ac:dyDescent="0.3">
      <c r="A163" s="398" t="s">
        <v>875</v>
      </c>
      <c r="B163" s="392" t="s">
        <v>651</v>
      </c>
      <c r="C163" s="161">
        <f>'PHUMI TRADING'!F9</f>
        <v>3262617.5</v>
      </c>
      <c r="D163" s="396" t="s">
        <v>880</v>
      </c>
      <c r="E163" s="210" t="s">
        <v>881</v>
      </c>
      <c r="F163" s="393" t="s">
        <v>41</v>
      </c>
      <c r="G163" s="102"/>
      <c r="H163" s="102"/>
      <c r="I163" s="102"/>
      <c r="J163" s="102"/>
      <c r="K163" s="102"/>
      <c r="L163" s="102"/>
      <c r="M163" s="102"/>
    </row>
    <row r="164" spans="1:13" ht="14.4" x14ac:dyDescent="0.25">
      <c r="A164" s="434"/>
      <c r="B164" s="392"/>
      <c r="C164" s="434"/>
      <c r="D164" s="434"/>
      <c r="E164" s="434"/>
      <c r="F164" s="434"/>
    </row>
    <row r="165" spans="1:13" ht="15" thickBot="1" x14ac:dyDescent="0.35">
      <c r="A165" s="166"/>
      <c r="B165" s="327"/>
      <c r="C165" s="765">
        <f>SUM(C146:C164)</f>
        <v>8958980.4100000001</v>
      </c>
      <c r="D165" s="329"/>
      <c r="E165" s="330"/>
      <c r="F165" s="331"/>
      <c r="G165" s="102"/>
      <c r="H165" s="102"/>
      <c r="I165" s="102"/>
      <c r="J165" s="102"/>
      <c r="K165" s="102"/>
      <c r="L165" s="102"/>
      <c r="M165" s="102"/>
    </row>
    <row r="166" spans="1:13" ht="61.5" customHeight="1" thickTop="1" x14ac:dyDescent="0.3">
      <c r="A166" s="790" t="s">
        <v>70</v>
      </c>
      <c r="B166" s="791"/>
      <c r="C166" s="391"/>
      <c r="D166" s="391"/>
      <c r="E166" s="391"/>
      <c r="F166" s="391"/>
      <c r="G166" s="102"/>
      <c r="H166" s="102"/>
      <c r="I166" s="102"/>
      <c r="J166" s="102"/>
      <c r="K166" s="102"/>
      <c r="L166" s="102"/>
      <c r="M166" s="102"/>
    </row>
    <row r="167" spans="1:13" ht="14.4" x14ac:dyDescent="0.3">
      <c r="A167" s="180"/>
      <c r="B167" s="180"/>
      <c r="C167" s="180"/>
      <c r="D167" s="762"/>
      <c r="E167" s="180"/>
      <c r="F167" s="180"/>
      <c r="G167" s="102"/>
      <c r="H167" s="102"/>
      <c r="I167" s="102"/>
      <c r="J167" s="102"/>
      <c r="K167" s="102"/>
      <c r="L167" s="102"/>
      <c r="M167" s="102"/>
    </row>
    <row r="168" spans="1:13" ht="13.8" x14ac:dyDescent="0.25">
      <c r="C168" s="758"/>
      <c r="D168" s="102"/>
      <c r="E168" s="764"/>
      <c r="F168" s="102"/>
      <c r="G168" s="102"/>
      <c r="H168" s="102"/>
      <c r="I168" s="102"/>
      <c r="J168" s="102"/>
      <c r="K168" s="102"/>
      <c r="L168" s="102"/>
      <c r="M168" s="102"/>
    </row>
    <row r="169" spans="1:13" ht="13.8" x14ac:dyDescent="0.25">
      <c r="A169" s="181" t="s">
        <v>71</v>
      </c>
      <c r="B169" s="182"/>
      <c r="C169" s="102"/>
      <c r="D169" s="102"/>
      <c r="E169" s="102"/>
      <c r="F169" s="181" t="s">
        <v>72</v>
      </c>
      <c r="G169" s="102"/>
      <c r="H169" s="102"/>
      <c r="I169" s="102"/>
      <c r="J169" s="102"/>
      <c r="K169" s="102"/>
      <c r="L169" s="102"/>
      <c r="M169" s="102"/>
    </row>
    <row r="170" spans="1:13" ht="13.8" x14ac:dyDescent="0.25">
      <c r="A170" s="104" t="s">
        <v>73</v>
      </c>
      <c r="B170" s="101"/>
      <c r="C170" s="102"/>
      <c r="D170" s="102"/>
      <c r="E170" s="102"/>
      <c r="F170" s="104" t="s">
        <v>74</v>
      </c>
      <c r="G170" s="102"/>
      <c r="H170" s="102"/>
      <c r="I170" s="102"/>
      <c r="J170" s="102"/>
      <c r="K170" s="102"/>
      <c r="L170" s="102"/>
      <c r="M170" s="102"/>
    </row>
    <row r="171" spans="1:13" ht="13.8" x14ac:dyDescent="0.25">
      <c r="A171" s="102"/>
      <c r="B171" s="101"/>
      <c r="C171" s="102"/>
      <c r="D171" s="102"/>
      <c r="E171" s="102"/>
      <c r="F171" s="102"/>
      <c r="G171" s="102"/>
      <c r="H171" s="102"/>
      <c r="I171" s="102"/>
      <c r="J171" s="102"/>
      <c r="K171" s="102"/>
      <c r="L171" s="102"/>
      <c r="M171" s="102"/>
    </row>
    <row r="172" spans="1:13" ht="13.8" x14ac:dyDescent="0.25">
      <c r="A172" s="102"/>
      <c r="B172" s="101"/>
      <c r="C172" s="102"/>
      <c r="D172" s="102"/>
      <c r="E172" s="102"/>
      <c r="F172" s="102"/>
      <c r="G172" s="102"/>
      <c r="H172" s="102"/>
      <c r="I172" s="102"/>
      <c r="J172" s="102"/>
      <c r="K172" s="102"/>
      <c r="L172" s="102"/>
      <c r="M172" s="102"/>
    </row>
    <row r="173" spans="1:13" ht="13.8" x14ac:dyDescent="0.25">
      <c r="A173" s="102"/>
      <c r="B173" s="101"/>
      <c r="C173" s="102"/>
      <c r="D173" s="102"/>
      <c r="E173" s="102"/>
      <c r="F173" s="102"/>
      <c r="G173" s="102"/>
      <c r="H173" s="102"/>
      <c r="I173" s="102"/>
      <c r="J173" s="102"/>
      <c r="K173" s="102"/>
      <c r="L173" s="102"/>
      <c r="M173" s="102"/>
    </row>
    <row r="174" spans="1:13" ht="13.8" x14ac:dyDescent="0.25">
      <c r="A174" s="102"/>
      <c r="B174" s="101"/>
      <c r="C174" s="102"/>
      <c r="D174" s="102"/>
      <c r="E174" s="102"/>
      <c r="F174" s="102"/>
      <c r="G174" s="102"/>
      <c r="H174" s="102"/>
      <c r="I174" s="102"/>
      <c r="J174" s="102"/>
      <c r="K174" s="102"/>
      <c r="L174" s="102"/>
      <c r="M174" s="102"/>
    </row>
    <row r="175" spans="1:13" ht="13.8" x14ac:dyDescent="0.25">
      <c r="A175" s="102"/>
      <c r="B175" s="101"/>
      <c r="C175" s="102"/>
      <c r="D175" s="102"/>
      <c r="E175" s="102"/>
      <c r="F175" s="102"/>
      <c r="G175" s="102"/>
      <c r="H175" s="102"/>
      <c r="I175" s="102"/>
      <c r="J175" s="102"/>
      <c r="K175" s="102"/>
      <c r="L175" s="102"/>
      <c r="M175" s="102"/>
    </row>
    <row r="176" spans="1:13" ht="13.8" x14ac:dyDescent="0.25">
      <c r="A176" s="102"/>
      <c r="B176" s="101"/>
      <c r="C176" s="102"/>
      <c r="D176" s="102"/>
      <c r="E176" s="102"/>
      <c r="F176" s="102"/>
      <c r="G176" s="102"/>
      <c r="H176" s="102"/>
      <c r="I176" s="102"/>
      <c r="J176" s="102"/>
      <c r="K176" s="102"/>
      <c r="L176" s="102"/>
      <c r="M176" s="102"/>
    </row>
    <row r="177" spans="1:13" ht="13.8" x14ac:dyDescent="0.25">
      <c r="A177" s="102"/>
      <c r="B177" s="101"/>
      <c r="C177" s="102"/>
      <c r="D177" s="102"/>
      <c r="E177" s="102"/>
      <c r="F177" s="102"/>
      <c r="G177" s="102"/>
      <c r="H177" s="102"/>
      <c r="I177" s="102"/>
      <c r="J177" s="102"/>
      <c r="K177" s="102"/>
      <c r="L177" s="102"/>
      <c r="M177" s="102"/>
    </row>
    <row r="178" spans="1:13" ht="13.8" x14ac:dyDescent="0.25">
      <c r="A178" s="102"/>
      <c r="B178" s="101"/>
      <c r="C178" s="102"/>
      <c r="D178" s="102"/>
      <c r="E178" s="102"/>
      <c r="F178" s="102"/>
      <c r="G178" s="102"/>
      <c r="H178" s="102"/>
      <c r="I178" s="102"/>
      <c r="J178" s="102"/>
      <c r="K178" s="102"/>
      <c r="L178" s="102"/>
      <c r="M178" s="102"/>
    </row>
    <row r="179" spans="1:13" ht="13.8" x14ac:dyDescent="0.25">
      <c r="A179" s="102"/>
      <c r="B179" s="101"/>
      <c r="C179" s="102"/>
      <c r="D179" s="102"/>
      <c r="E179" s="102"/>
      <c r="F179" s="102"/>
      <c r="G179" s="102"/>
      <c r="H179" s="102"/>
      <c r="I179" s="102"/>
      <c r="J179" s="102"/>
      <c r="K179" s="102"/>
      <c r="L179" s="102"/>
      <c r="M179" s="102"/>
    </row>
    <row r="180" spans="1:13" ht="13.8" x14ac:dyDescent="0.25">
      <c r="A180" s="102"/>
      <c r="B180" s="101"/>
      <c r="C180" s="102"/>
      <c r="D180" s="102"/>
      <c r="E180" s="102"/>
      <c r="F180" s="102"/>
      <c r="G180" s="102"/>
      <c r="H180" s="102"/>
      <c r="I180" s="102"/>
      <c r="J180" s="102"/>
      <c r="K180" s="102"/>
      <c r="L180" s="102"/>
      <c r="M180" s="102"/>
    </row>
    <row r="181" spans="1:13" ht="13.8" x14ac:dyDescent="0.25">
      <c r="A181" s="102"/>
      <c r="B181" s="101"/>
      <c r="C181" s="102"/>
      <c r="D181" s="102"/>
      <c r="E181" s="102"/>
      <c r="F181" s="102"/>
      <c r="G181" s="102"/>
      <c r="H181" s="102"/>
      <c r="I181" s="102"/>
      <c r="J181" s="102"/>
      <c r="K181" s="102"/>
      <c r="L181" s="102"/>
      <c r="M181" s="102"/>
    </row>
    <row r="182" spans="1:13" ht="13.8" x14ac:dyDescent="0.25">
      <c r="A182" s="102"/>
      <c r="B182" s="101"/>
      <c r="C182" s="102"/>
      <c r="D182" s="102"/>
      <c r="E182" s="102"/>
      <c r="F182" s="102"/>
      <c r="G182" s="102"/>
      <c r="H182" s="102"/>
      <c r="I182" s="102"/>
      <c r="J182" s="102"/>
      <c r="K182" s="102"/>
      <c r="L182" s="102"/>
      <c r="M182" s="102"/>
    </row>
    <row r="183" spans="1:13" ht="13.8" x14ac:dyDescent="0.25">
      <c r="A183" s="102"/>
      <c r="B183" s="101"/>
      <c r="C183" s="102"/>
      <c r="D183" s="102"/>
      <c r="E183" s="102"/>
      <c r="F183" s="102"/>
      <c r="G183" s="102"/>
      <c r="H183" s="102"/>
      <c r="I183" s="102"/>
      <c r="J183" s="102"/>
      <c r="K183" s="102"/>
      <c r="L183" s="102"/>
      <c r="M183" s="102"/>
    </row>
    <row r="184" spans="1:13" ht="13.8" x14ac:dyDescent="0.25">
      <c r="A184" s="102"/>
      <c r="B184" s="101"/>
      <c r="C184" s="102"/>
      <c r="D184" s="102"/>
      <c r="E184" s="102"/>
      <c r="F184" s="102"/>
      <c r="G184" s="102"/>
      <c r="H184" s="102"/>
      <c r="I184" s="102"/>
      <c r="J184" s="102"/>
      <c r="K184" s="102"/>
      <c r="L184" s="102"/>
      <c r="M184" s="102"/>
    </row>
    <row r="185" spans="1:13" ht="13.8" x14ac:dyDescent="0.25">
      <c r="A185" s="102"/>
      <c r="B185" s="101"/>
      <c r="C185" s="102"/>
      <c r="D185" s="102"/>
      <c r="E185" s="102"/>
      <c r="F185" s="102"/>
      <c r="G185" s="102"/>
      <c r="H185" s="102"/>
      <c r="I185" s="102"/>
      <c r="J185" s="102"/>
      <c r="K185" s="102"/>
      <c r="L185" s="102"/>
      <c r="M185" s="102"/>
    </row>
    <row r="186" spans="1:13" ht="13.8" x14ac:dyDescent="0.25">
      <c r="A186" s="102"/>
      <c r="B186" s="101"/>
      <c r="C186" s="102"/>
      <c r="D186" s="102"/>
      <c r="E186" s="102"/>
      <c r="F186" s="102"/>
      <c r="G186" s="102"/>
      <c r="H186" s="102"/>
      <c r="I186" s="102"/>
      <c r="J186" s="102"/>
      <c r="K186" s="102"/>
      <c r="L186" s="102"/>
      <c r="M186" s="102"/>
    </row>
    <row r="187" spans="1:13" ht="13.8" x14ac:dyDescent="0.25">
      <c r="A187" s="102"/>
      <c r="B187" s="101"/>
      <c r="C187" s="102"/>
      <c r="D187" s="102"/>
      <c r="E187" s="102"/>
      <c r="F187" s="102"/>
      <c r="G187" s="102"/>
      <c r="H187" s="102"/>
      <c r="I187" s="102"/>
      <c r="J187" s="102"/>
      <c r="K187" s="102"/>
      <c r="L187" s="102"/>
      <c r="M187" s="102"/>
    </row>
    <row r="188" spans="1:13" ht="13.8" x14ac:dyDescent="0.25">
      <c r="A188" s="102"/>
      <c r="B188" s="101"/>
      <c r="C188" s="102"/>
      <c r="D188" s="102"/>
      <c r="E188" s="102"/>
      <c r="F188" s="102"/>
      <c r="G188" s="102"/>
      <c r="H188" s="102"/>
      <c r="I188" s="102"/>
      <c r="J188" s="102"/>
      <c r="K188" s="102"/>
      <c r="L188" s="102"/>
      <c r="M188" s="102"/>
    </row>
    <row r="189" spans="1:13" ht="13.8" x14ac:dyDescent="0.25">
      <c r="A189" s="102"/>
      <c r="B189" s="101"/>
      <c r="C189" s="102"/>
      <c r="D189" s="102"/>
      <c r="E189" s="102"/>
      <c r="F189" s="102"/>
      <c r="G189" s="102"/>
      <c r="H189" s="102"/>
      <c r="I189" s="102"/>
      <c r="J189" s="102"/>
      <c r="K189" s="102"/>
      <c r="L189" s="102"/>
      <c r="M189" s="102"/>
    </row>
    <row r="190" spans="1:13" ht="13.8" x14ac:dyDescent="0.25">
      <c r="A190" s="102"/>
      <c r="B190" s="101"/>
      <c r="C190" s="102"/>
      <c r="D190" s="102"/>
      <c r="E190" s="102"/>
      <c r="F190" s="102"/>
      <c r="G190" s="102"/>
      <c r="H190" s="102"/>
      <c r="I190" s="102"/>
      <c r="J190" s="102"/>
      <c r="K190" s="102"/>
      <c r="L190" s="102"/>
      <c r="M190" s="102"/>
    </row>
    <row r="191" spans="1:13" ht="13.8" x14ac:dyDescent="0.25">
      <c r="A191" s="102"/>
      <c r="B191" s="101"/>
      <c r="C191" s="102"/>
      <c r="D191" s="102"/>
      <c r="E191" s="102"/>
      <c r="F191" s="102"/>
      <c r="G191" s="102"/>
      <c r="H191" s="102"/>
      <c r="I191" s="102"/>
      <c r="J191" s="102"/>
      <c r="K191" s="102"/>
      <c r="L191" s="102"/>
      <c r="M191" s="102"/>
    </row>
    <row r="192" spans="1:13" ht="13.8" x14ac:dyDescent="0.25">
      <c r="A192" s="102"/>
      <c r="B192" s="101"/>
      <c r="C192" s="102"/>
      <c r="D192" s="102"/>
      <c r="E192" s="102"/>
      <c r="F192" s="102"/>
      <c r="G192" s="102"/>
      <c r="H192" s="102"/>
      <c r="I192" s="102"/>
      <c r="J192" s="102"/>
      <c r="K192" s="102"/>
      <c r="L192" s="102"/>
      <c r="M192" s="102"/>
    </row>
    <row r="193" spans="1:13" ht="13.8" x14ac:dyDescent="0.25">
      <c r="A193" s="102"/>
      <c r="B193" s="101"/>
      <c r="C193" s="102"/>
      <c r="D193" s="102"/>
      <c r="E193" s="102"/>
      <c r="F193" s="102"/>
      <c r="G193" s="102"/>
      <c r="H193" s="102"/>
      <c r="I193" s="102"/>
      <c r="J193" s="102"/>
      <c r="K193" s="102"/>
      <c r="L193" s="102"/>
      <c r="M193" s="102"/>
    </row>
    <row r="194" spans="1:13" ht="13.8" x14ac:dyDescent="0.25">
      <c r="A194" s="102"/>
      <c r="B194" s="101"/>
      <c r="C194" s="102"/>
      <c r="D194" s="102"/>
      <c r="E194" s="102"/>
      <c r="F194" s="102"/>
      <c r="G194" s="102"/>
      <c r="H194" s="102"/>
      <c r="I194" s="102"/>
      <c r="J194" s="102"/>
      <c r="K194" s="102"/>
      <c r="L194" s="102"/>
      <c r="M194" s="102"/>
    </row>
    <row r="195" spans="1:13" ht="13.8" x14ac:dyDescent="0.25">
      <c r="A195" s="102"/>
      <c r="B195" s="101"/>
      <c r="C195" s="102"/>
      <c r="D195" s="102"/>
      <c r="E195" s="102"/>
      <c r="F195" s="102"/>
      <c r="G195" s="102"/>
      <c r="H195" s="102"/>
      <c r="I195" s="102"/>
      <c r="J195" s="102"/>
      <c r="K195" s="102"/>
      <c r="L195" s="102"/>
      <c r="M195" s="102"/>
    </row>
  </sheetData>
  <mergeCells count="15">
    <mergeCell ref="A166:B166"/>
    <mergeCell ref="A145:F145"/>
    <mergeCell ref="F2:G2"/>
    <mergeCell ref="A45:F45"/>
    <mergeCell ref="A9:F9"/>
    <mergeCell ref="E11:E14"/>
    <mergeCell ref="E17:E21"/>
    <mergeCell ref="A23:F23"/>
    <mergeCell ref="A36:F36"/>
    <mergeCell ref="A118:F118"/>
    <mergeCell ref="A60:F60"/>
    <mergeCell ref="A73:F73"/>
    <mergeCell ref="A85:F85"/>
    <mergeCell ref="A97:F97"/>
    <mergeCell ref="A31:F31"/>
  </mergeCells>
  <hyperlinks>
    <hyperlink ref="D47" location="'Shedule 2 -BLOEMWATER (AS2-2-2)'!A1" display="'Shedule 2 -BLOEMWATER (AS2-2-2)'!A1" xr:uid="{00000000-0004-0000-0100-000000000000}"/>
    <hyperlink ref="D49" location="'Shedule 2 -BLOEMWATER (AS2-2-2)'!A1" display="'Shedule 2 -BLOEMWATER (AS2-2-2)'!A1" xr:uid="{00000000-0004-0000-0100-000001000000}"/>
    <hyperlink ref="D51" location="'Shedule 2 -BLOEMWATER (AS2-2-2)'!A1" display="'Shedule 2 -BLOEMWATER (AS2-2-2)'!A1" xr:uid="{00000000-0004-0000-0100-000002000000}"/>
    <hyperlink ref="D53" location="'Shedule 2 -BLOEMWATER (AS2-2-2)'!A1" display="'Shedule 2 -BLOEMWATER (AS2-2-2)'!A1" xr:uid="{00000000-0004-0000-0100-000003000000}"/>
    <hyperlink ref="D55" location="'Shedule 2 -BLOEMWATER (AS2-2-2)'!A1" display="'Shedule 2 -BLOEMWATER (AS2-2-2)'!A1" xr:uid="{00000000-0004-0000-0100-000004000000}"/>
    <hyperlink ref="D57" location="'Shedule 2 -BLOEMWATER (AS2-2-2)'!A1" display="'Shedule 2 -BLOEMWATER (AS2-2-2)'!A1" xr:uid="{00000000-0004-0000-0100-000005000000}"/>
    <hyperlink ref="D62" location="'Shedule 2 -BLOEMWATER (AS2-2-2)'!A1" display="'Shedule 2 -BLOEMWATER (AS2-2-2)'!A1" xr:uid="{00000000-0004-0000-0100-000006000000}"/>
    <hyperlink ref="D64" location="'Shedule 2 -BLOEMWATER (AS2-2-2)'!A1" display="'Shedule 2 -BLOEMWATER (AS2-2-2)'!A1" xr:uid="{00000000-0004-0000-0100-000007000000}"/>
    <hyperlink ref="D67" location="'Shedule 2 -BLOEMWATER (AS2-2-2)'!A1" display="'Shedule 2 -BLOEMWATER (AS2-2-2)'!A1" xr:uid="{00000000-0004-0000-0100-000008000000}"/>
    <hyperlink ref="D70" location="'Shedule 2 -BLOEMWATER (AS2-2-2)'!A1" display="'Shedule 2 -BLOEMWATER (AS2-2-2)'!A1" xr:uid="{00000000-0004-0000-0100-000009000000}"/>
    <hyperlink ref="D74" location="'Sche 1-Eskom'!A1" display="Schedule 1-Eskom" xr:uid="{00000000-0004-0000-0100-00000A000000}"/>
    <hyperlink ref="D75" location="'Schedule 2-FDC'!A1" display="Schedule 2-FDC" xr:uid="{00000000-0004-0000-0100-00000B000000}"/>
    <hyperlink ref="D77" location="'Sche 4-PEC Metering'!A1" display="Schedule 4-PEC Metering" xr:uid="{00000000-0004-0000-0100-00000C000000}"/>
    <hyperlink ref="D76" location="'Sche 2-Lawyers'!A1" display="Schedule 2-Lawyers" xr:uid="{00000000-0004-0000-0100-00000D000000}"/>
    <hyperlink ref="D78" location="'Sche 6-Telkom'!A1" display="Schedule 6-Telkom" xr:uid="{00000000-0004-0000-0100-00000E000000}"/>
    <hyperlink ref="D79" location="'Sche 5-SARS'!A1" display="Schedule 5-SARS" xr:uid="{00000000-0004-0000-0100-00000F000000}"/>
    <hyperlink ref="D80" location="'Sche- 7Pheth. Consul. CC '!A1" display="'Schedule- 7 Phethogo Consulting CC " xr:uid="{00000000-0004-0000-0100-000010000000}"/>
    <hyperlink ref="D81" location="'Sche 8-UMFA'!A1" display="Schedule 8-UMFA" xr:uid="{00000000-0004-0000-0100-000011000000}"/>
    <hyperlink ref="D82" location="'Sche 9-Merch. West '!A1" display="Schedule 9-Merchant West " xr:uid="{00000000-0004-0000-0100-000012000000}"/>
    <hyperlink ref="D86" location="Eskom!A1" display="Schedule 1-Eskom" xr:uid="{00000000-0004-0000-0100-000013000000}"/>
    <hyperlink ref="D87" location="Razzmatazz!A1" display="Schedule-2 Razzmatazz" xr:uid="{00000000-0004-0000-0100-000014000000}"/>
    <hyperlink ref="D88" location="FDC!A1" display="Schedule- 3 FDC" xr:uid="{00000000-0004-0000-0100-000015000000}"/>
    <hyperlink ref="D89" location="'PEC Metering'!A1" display="Schedule-4 PEC Metering" xr:uid="{00000000-0004-0000-0100-000016000000}"/>
    <hyperlink ref="D90" location="UMFA!A1" display="Schedule-5 UMFA" xr:uid="{00000000-0004-0000-0100-000017000000}"/>
    <hyperlink ref="D91" location="'Telkom SA Limited'!A1" display="Schedule- 6 Telkom SA Limited" xr:uid="{00000000-0004-0000-0100-000018000000}"/>
    <hyperlink ref="D92" location="'Kramer Weihmann Joubert'!A1" display="Schedule-7 Kramer Weihmann Joubert" xr:uid="{00000000-0004-0000-0100-000019000000}"/>
    <hyperlink ref="D93" location="SARS!A1" display="Schedule-9 SARS" xr:uid="{00000000-0004-0000-0100-00001A000000}"/>
    <hyperlink ref="D94" location="Councillors!A1" display="Schedule- 10 Councillors" xr:uid="{00000000-0004-0000-0100-00001B000000}"/>
    <hyperlink ref="D98" location="'Telkom SA Ltd'!A1" display="'Telkom SA Ltd'!A1" xr:uid="{00000000-0004-0000-0100-00001C000000}"/>
    <hyperlink ref="D99" location="'Railway Safety Regulator'!A1" display="Railway Safety Regulator" xr:uid="{00000000-0004-0000-0100-00001D000000}"/>
    <hyperlink ref="D100" location="'Free State Municipal Pension'!A1" display="Free State Municipal Pension" xr:uid="{00000000-0004-0000-0100-00001E000000}"/>
    <hyperlink ref="D101" location="'SARS PAYE'!A1" display="SARS PAYE" xr:uid="{00000000-0004-0000-0100-00001F000000}"/>
    <hyperlink ref="D102" location="'Q Civils'!A1" display="Q Civils" xr:uid="{00000000-0004-0000-0100-000020000000}"/>
    <hyperlink ref="D103" location="ESKOM.!A1" display="ESKOM" xr:uid="{00000000-0004-0000-0100-000021000000}"/>
    <hyperlink ref="D104" location="FDC.!A1" display="FDC" xr:uid="{00000000-0004-0000-0100-000022000000}"/>
    <hyperlink ref="D105" location="UMFA.!A1" display="UMFA" xr:uid="{00000000-0004-0000-0100-000023000000}"/>
    <hyperlink ref="D107" location="'L M Meyer'!A1" display="L M Meyer" xr:uid="{00000000-0004-0000-0100-000024000000}"/>
    <hyperlink ref="D108" location="'Joyce Nel'!A1" display="Joyce Nel" xr:uid="{00000000-0004-0000-0100-000025000000}"/>
    <hyperlink ref="D109" location="'Wasserman Teerwerke'!A1" display="Wasserman Teerwerke" xr:uid="{00000000-0004-0000-0100-000026000000}"/>
    <hyperlink ref="D110" location="Altimax!A1" display="Altimax" xr:uid="{00000000-0004-0000-0100-000027000000}"/>
    <hyperlink ref="D112" location="'Panzacode CC'!A1" display="Panzacode CC" xr:uid="{00000000-0004-0000-0100-000028000000}"/>
    <hyperlink ref="D113" location="'Maluti Plant Hire'!A1" display="Maluti Plant Hire" xr:uid="{00000000-0004-0000-0100-000029000000}"/>
    <hyperlink ref="D106" location="'Modderrivier Kalkveld'!A1" display="Modderrivier Kalkveld" xr:uid="{00000000-0004-0000-0100-00002A000000}"/>
    <hyperlink ref="D111" location="'Auditor General'!A1" display="Auditor General" xr:uid="{00000000-0004-0000-0100-00002B000000}"/>
    <hyperlink ref="D114" location="Councillors.!A1" display="Councillors.!A1" xr:uid="{00000000-0004-0000-0100-00002C000000}"/>
    <hyperlink ref="D119" location="TELKOM!A1" display="TELKOM" xr:uid="{00000000-0004-0000-0100-00002D000000}"/>
    <hyperlink ref="D120" location="'ESKOM '!A1" display="ESKOM" xr:uid="{00000000-0004-0000-0100-00002E000000}"/>
    <hyperlink ref="D121" location="FDC!A1" display="FDC" xr:uid="{00000000-0004-0000-0100-00002F000000}"/>
    <hyperlink ref="D122" location="' UMFA'!A1" display="UMFA" xr:uid="{00000000-0004-0000-0100-000030000000}"/>
    <hyperlink ref="D123" location="'HI-TECH ENGINEERING'!A1" display="Hi-Tech Engineering" xr:uid="{00000000-0004-0000-0100-000031000000}"/>
    <hyperlink ref="D124" location="'AUDITOR GENERAL'!A1" display="Auditor General" xr:uid="{00000000-0004-0000-0100-000032000000}"/>
    <hyperlink ref="D125" location="'ROAD MAC SURFACING'!A1" display="ROAD MAC SURFACING" xr:uid="{00000000-0004-0000-0100-000033000000}"/>
    <hyperlink ref="D126" location="'TAU PELE '!A1" display="TAU PELE" xr:uid="{00000000-0004-0000-0100-000034000000}"/>
    <hyperlink ref="D127" location="'SPANGENBERG ZIETSMAN'!A1" display="SPANGENBERG ZIETSMAN" xr:uid="{00000000-0004-0000-0100-000035000000}"/>
    <hyperlink ref="D128" location="'L &amp; V Attorneys'!A1" display="L &amp; V Attorneys" xr:uid="{00000000-0004-0000-0100-000036000000}"/>
    <hyperlink ref="D129" location="FUJITSU!A1" display="FUJITSU" xr:uid="{00000000-0004-0000-0100-000037000000}"/>
    <hyperlink ref="D130" location="'SYMINGTON &amp; DE KOK'!A1" display="SYMINGTON &amp; DE KOK" xr:uid="{00000000-0004-0000-0100-000038000000}"/>
    <hyperlink ref="D131" location="'REDER CONSTRUCTION'!A1" display="REDER CONSTRUCTION" xr:uid="{00000000-0004-0000-0100-000039000000}"/>
    <hyperlink ref="D132" location="'Friday Management Solutions'!A1" display="Friday Management Solutions" xr:uid="{00000000-0004-0000-0100-00003A000000}"/>
    <hyperlink ref="D133" location="'Councillors Overpayment'!A1" display="Councillors Overpayment" xr:uid="{00000000-0004-0000-0100-00003B000000}"/>
    <hyperlink ref="D134" location="Oramok!A1" display="Oramok" xr:uid="{00000000-0004-0000-0100-00003C000000}"/>
    <hyperlink ref="D135" location="Ruwacon!A1" display="Ruwacon" xr:uid="{00000000-0004-0000-0100-00003D000000}"/>
    <hyperlink ref="D136" location="'Kgato Projects '!A1" display="Kgato Projects" xr:uid="{00000000-0004-0000-0100-00003E000000}"/>
    <hyperlink ref="D137" location="'Refilwe Civils'!A1" display="Refilwe Civils" xr:uid="{00000000-0004-0000-0100-00003F000000}"/>
    <hyperlink ref="D138" location="Panzacode!A1" display="Panzacode" xr:uid="{00000000-0004-0000-0100-000040000000}"/>
    <hyperlink ref="D139" location="'Wasserman '!A1" display="Wasserman" xr:uid="{00000000-0004-0000-0100-000041000000}"/>
    <hyperlink ref="D140" location="'Q Civils'!A1" display="Q-Civils" xr:uid="{00000000-0004-0000-0100-000042000000}"/>
    <hyperlink ref="D141" location="'LTE '!A1" display="LTE " xr:uid="{00000000-0004-0000-0100-000043000000}"/>
    <hyperlink ref="D146" location="'ESKOM SOC'!A1" display="ESKOM SOC" xr:uid="{00000000-0004-0000-0100-000044000000}"/>
    <hyperlink ref="D147" location="'TELKOM SA'!A1" display="TELKOM SA" xr:uid="{00000000-0004-0000-0100-000045000000}"/>
    <hyperlink ref="D148" location="'VARYMIX NINETEEN (PTY)'!A1" display="VARYMIX NINETEEN (PTY)" xr:uid="{00000000-0004-0000-0100-000046000000}"/>
    <hyperlink ref="D149" location="'BLAIR ATTORNEYS'!A1" display="BLAIR ATTORNEYS" xr:uid="{00000000-0004-0000-0100-000047000000}"/>
    <hyperlink ref="D150" location="NICS!A1" display="NICS" xr:uid="{00000000-0004-0000-0100-000048000000}"/>
    <hyperlink ref="D151" location="SAMWU!A1" display="SAMWU" xr:uid="{00000000-0004-0000-0100-000049000000}"/>
    <hyperlink ref="D152" location="'DOWN TOUCH'!A1" display="DOWN TOUCH" xr:uid="{00000000-0004-0000-0100-00004A000000}"/>
    <hyperlink ref="D153" location="'PEYPER ATTORNEYS'!A1" display="PEYPER ATTORNEYS" xr:uid="{00000000-0004-0000-0100-00004B000000}"/>
    <hyperlink ref="D154" location="'SARS - PAYE'!A1" display="SARS - PAYE" xr:uid="{00000000-0004-0000-0100-00004C000000}"/>
    <hyperlink ref="D155" location="'COUZYN HERTZ &amp; HORAK ATTORNEYS'!A1" display="COUZYN HERTZ &amp; HORAK ATTORNEYS" xr:uid="{00000000-0004-0000-0100-00004D000000}"/>
    <hyperlink ref="D156" location="'HONEY ATTORNEYS'!A1" display="HONEY ATTORNEYS" xr:uid="{00000000-0004-0000-0100-00004E000000}"/>
    <hyperlink ref="D157" location="'LISTING OF OVERPAYMENTS'!A1" display="LISTING OF OVERPAYMENTS" xr:uid="{00000000-0004-0000-0100-00004F000000}"/>
    <hyperlink ref="D158" location="MODDERRIVIER!A1" display="MODDERRIVIER" xr:uid="{00000000-0004-0000-0100-000050000000}"/>
    <hyperlink ref="D159" location="'CMP BEE ENGINEER'!A1" display="CMP BEE ENGINEER" xr:uid="{00000000-0004-0000-0100-000051000000}"/>
    <hyperlink ref="D160" location="'SABC TV Licences'!A1" display="SABC TV Licences" xr:uid="{00000000-0004-0000-0100-000052000000}"/>
    <hyperlink ref="D161" location="'FSPG Police'!A1" display="FSPG Police" xr:uid="{00000000-0004-0000-0100-000053000000}"/>
    <hyperlink ref="D142" location="'RUWACON (AC 247)'!A1" display="RUWACON (AC 247)" xr:uid="{00000000-0004-0000-0100-000054000000}"/>
    <hyperlink ref="D162" location="'CALGRO M3 HOLDINGS'!A1" display="CALGRO M3 HOLDINGS" xr:uid="{00000000-0004-0000-0100-000055000000}"/>
    <hyperlink ref="D163" location="'PHUMI TRADING'!A1" display="PHUMI TRADING" xr:uid="{00000000-0004-0000-0100-000056000000}"/>
  </hyperlinks>
  <pageMargins left="0.7" right="0.7" top="0.75" bottom="0.75" header="0.3" footer="0.3"/>
  <pageSetup paperSize="9" scale="4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H10"/>
  <sheetViews>
    <sheetView workbookViewId="0">
      <selection activeCell="B8" sqref="B8"/>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851</v>
      </c>
      <c r="C7" s="291" t="s">
        <v>682</v>
      </c>
      <c r="D7" s="385" t="s">
        <v>861</v>
      </c>
      <c r="E7" s="293" t="s">
        <v>147</v>
      </c>
      <c r="F7" s="278">
        <v>571085.66</v>
      </c>
      <c r="G7" s="295" t="s">
        <v>148</v>
      </c>
      <c r="H7" s="338" t="s">
        <v>158</v>
      </c>
    </row>
    <row r="8" spans="1:8" s="80" customFormat="1" x14ac:dyDescent="0.3">
      <c r="A8" s="289"/>
      <c r="B8" s="290"/>
      <c r="C8" s="291"/>
      <c r="D8" s="296"/>
      <c r="E8" s="425"/>
      <c r="F8" s="278"/>
      <c r="G8" s="295"/>
      <c r="H8" s="338"/>
    </row>
    <row r="9" spans="1:8" ht="15" thickBot="1" x14ac:dyDescent="0.35">
      <c r="F9" s="374">
        <f>SUM(F7:F8)</f>
        <v>571085.66</v>
      </c>
    </row>
    <row r="10" spans="1:8" ht="15" thickTop="1" x14ac:dyDescent="0.3"/>
  </sheetData>
  <hyperlinks>
    <hyperlink ref="A1" location="'C.5.11.1 F&amp;W Register'!A1" display="Back to MFMA-7.1 F&amp;W Register"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H10"/>
  <sheetViews>
    <sheetView workbookViewId="0">
      <selection activeCell="B8" sqref="B8"/>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ht="41.4" x14ac:dyDescent="0.3">
      <c r="A7" s="289" t="s">
        <v>145</v>
      </c>
      <c r="B7" s="290" t="s">
        <v>851</v>
      </c>
      <c r="C7" s="291" t="s">
        <v>698</v>
      </c>
      <c r="D7" s="385" t="s">
        <v>860</v>
      </c>
      <c r="E7" s="293" t="s">
        <v>700</v>
      </c>
      <c r="F7" s="278">
        <v>1474.16</v>
      </c>
      <c r="G7" s="295" t="s">
        <v>148</v>
      </c>
      <c r="H7" s="338" t="s">
        <v>158</v>
      </c>
    </row>
    <row r="8" spans="1:8" s="80" customFormat="1" x14ac:dyDescent="0.3">
      <c r="A8" s="289"/>
      <c r="B8" s="290"/>
      <c r="C8" s="291"/>
      <c r="D8" s="296"/>
      <c r="E8" s="425"/>
      <c r="F8" s="278"/>
      <c r="G8" s="295"/>
      <c r="H8" s="338"/>
    </row>
    <row r="9" spans="1:8" ht="15" thickBot="1" x14ac:dyDescent="0.35">
      <c r="F9" s="374">
        <f>SUM(F7:F8)</f>
        <v>1474.16</v>
      </c>
    </row>
    <row r="10" spans="1:8" ht="15" thickTop="1" x14ac:dyDescent="0.3"/>
  </sheetData>
  <hyperlinks>
    <hyperlink ref="A1" location="'C.5.11.1 F&amp;W Register'!A1" display="Back to MFMA-7.1 F&amp;W Register"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H19"/>
  <sheetViews>
    <sheetView workbookViewId="0">
      <selection activeCell="G19" sqref="G19"/>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0.109375" style="1" bestFit="1" customWidth="1"/>
    <col min="5" max="5" width="24.33203125" style="1" customWidth="1"/>
    <col min="6" max="6" width="11.44140625" style="1" bestFit="1" customWidth="1"/>
    <col min="7" max="7" width="18.44140625" style="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451</v>
      </c>
      <c r="C7" s="291" t="s">
        <v>181</v>
      </c>
      <c r="D7" s="336">
        <v>137380</v>
      </c>
      <c r="E7" s="293" t="s">
        <v>147</v>
      </c>
      <c r="F7" s="337">
        <v>1818.77</v>
      </c>
      <c r="G7" s="295" t="s">
        <v>148</v>
      </c>
      <c r="H7" s="295" t="s">
        <v>158</v>
      </c>
    </row>
    <row r="8" spans="1:8" x14ac:dyDescent="0.3">
      <c r="A8" s="289" t="s">
        <v>145</v>
      </c>
      <c r="B8" s="290" t="s">
        <v>626</v>
      </c>
      <c r="C8" s="291" t="s">
        <v>181</v>
      </c>
      <c r="D8" s="292">
        <v>137933</v>
      </c>
      <c r="E8" s="293" t="s">
        <v>147</v>
      </c>
      <c r="F8" s="294">
        <v>3193.31</v>
      </c>
      <c r="G8" s="295" t="s">
        <v>148</v>
      </c>
      <c r="H8" s="295" t="s">
        <v>158</v>
      </c>
    </row>
    <row r="9" spans="1:8" x14ac:dyDescent="0.3">
      <c r="A9" s="289" t="s">
        <v>145</v>
      </c>
      <c r="B9" s="290" t="s">
        <v>648</v>
      </c>
      <c r="C9" s="291" t="s">
        <v>181</v>
      </c>
      <c r="D9" s="336">
        <v>140360</v>
      </c>
      <c r="E9" s="293" t="s">
        <v>147</v>
      </c>
      <c r="F9" s="687">
        <f>12756.6+737.4+871.8</f>
        <v>14365.8</v>
      </c>
      <c r="G9" s="295" t="s">
        <v>148</v>
      </c>
      <c r="H9" s="295" t="s">
        <v>158</v>
      </c>
    </row>
    <row r="10" spans="1:8" s="281" customFormat="1" ht="13.8" x14ac:dyDescent="0.3">
      <c r="A10" s="289" t="s">
        <v>145</v>
      </c>
      <c r="B10" s="435" t="s">
        <v>649</v>
      </c>
      <c r="C10" s="435" t="s">
        <v>181</v>
      </c>
      <c r="D10" s="296">
        <v>140664</v>
      </c>
      <c r="E10" s="435" t="s">
        <v>147</v>
      </c>
      <c r="F10" s="436">
        <f>13161.36+883.19+768.49</f>
        <v>14813.04</v>
      </c>
      <c r="G10" s="435" t="s">
        <v>148</v>
      </c>
      <c r="H10" s="435" t="s">
        <v>158</v>
      </c>
    </row>
    <row r="11" spans="1:8" x14ac:dyDescent="0.3">
      <c r="A11" s="289" t="s">
        <v>145</v>
      </c>
      <c r="B11" s="290" t="s">
        <v>647</v>
      </c>
      <c r="C11" s="291" t="s">
        <v>181</v>
      </c>
      <c r="D11" s="336">
        <v>141170</v>
      </c>
      <c r="E11" s="293" t="s">
        <v>147</v>
      </c>
      <c r="F11" s="687">
        <f>12262.98+804.14</f>
        <v>13067.119999999999</v>
      </c>
      <c r="G11" s="295" t="s">
        <v>148</v>
      </c>
      <c r="H11" s="295" t="s">
        <v>158</v>
      </c>
    </row>
    <row r="12" spans="1:8" x14ac:dyDescent="0.3">
      <c r="A12" s="289" t="s">
        <v>145</v>
      </c>
      <c r="B12" s="290" t="s">
        <v>659</v>
      </c>
      <c r="C12" s="291" t="s">
        <v>181</v>
      </c>
      <c r="D12" s="336">
        <v>141731</v>
      </c>
      <c r="E12" s="293" t="s">
        <v>147</v>
      </c>
      <c r="F12" s="337">
        <v>768.8</v>
      </c>
      <c r="G12" s="295" t="s">
        <v>148</v>
      </c>
      <c r="H12" s="295" t="s">
        <v>158</v>
      </c>
    </row>
    <row r="13" spans="1:8" x14ac:dyDescent="0.3">
      <c r="A13" s="289" t="s">
        <v>145</v>
      </c>
      <c r="B13" s="290" t="s">
        <v>693</v>
      </c>
      <c r="C13" s="291" t="s">
        <v>181</v>
      </c>
      <c r="D13" s="336">
        <v>143496</v>
      </c>
      <c r="E13" s="293" t="s">
        <v>147</v>
      </c>
      <c r="F13" s="337">
        <v>737.4</v>
      </c>
      <c r="G13" s="295" t="s">
        <v>148</v>
      </c>
      <c r="H13" s="295" t="s">
        <v>158</v>
      </c>
    </row>
    <row r="14" spans="1:8" x14ac:dyDescent="0.3">
      <c r="A14" s="289" t="s">
        <v>145</v>
      </c>
      <c r="B14" s="290" t="s">
        <v>851</v>
      </c>
      <c r="C14" s="291" t="s">
        <v>181</v>
      </c>
      <c r="D14" s="336" t="s">
        <v>862</v>
      </c>
      <c r="E14" s="293" t="s">
        <v>147</v>
      </c>
      <c r="F14" s="337">
        <f>11495.1+746.4</f>
        <v>12241.5</v>
      </c>
      <c r="G14" s="295" t="s">
        <v>148</v>
      </c>
      <c r="H14" s="295" t="s">
        <v>158</v>
      </c>
    </row>
    <row r="15" spans="1:8" x14ac:dyDescent="0.3">
      <c r="A15" s="289" t="s">
        <v>145</v>
      </c>
      <c r="B15" s="290" t="s">
        <v>702</v>
      </c>
      <c r="C15" s="291" t="s">
        <v>181</v>
      </c>
      <c r="D15" s="336">
        <v>144580</v>
      </c>
      <c r="E15" s="293" t="s">
        <v>147</v>
      </c>
      <c r="F15" s="337">
        <f>12632.81+783.37</f>
        <v>13416.18</v>
      </c>
      <c r="G15" s="295" t="s">
        <v>148</v>
      </c>
      <c r="H15" s="295" t="s">
        <v>158</v>
      </c>
    </row>
    <row r="16" spans="1:8" x14ac:dyDescent="0.3">
      <c r="A16" s="289" t="s">
        <v>145</v>
      </c>
      <c r="B16" s="290" t="s">
        <v>843</v>
      </c>
      <c r="C16" s="291" t="s">
        <v>181</v>
      </c>
      <c r="D16" s="336">
        <v>145202</v>
      </c>
      <c r="E16" s="293" t="s">
        <v>147</v>
      </c>
      <c r="F16" s="337">
        <v>11913.6</v>
      </c>
      <c r="G16" s="295" t="s">
        <v>148</v>
      </c>
      <c r="H16" s="295" t="s">
        <v>158</v>
      </c>
    </row>
    <row r="17" spans="1:8" x14ac:dyDescent="0.3">
      <c r="A17" s="289"/>
      <c r="B17" s="290"/>
      <c r="C17" s="291"/>
      <c r="D17" s="336"/>
      <c r="E17" s="297"/>
      <c r="F17" s="337"/>
      <c r="G17" s="295"/>
      <c r="H17" s="295"/>
    </row>
    <row r="18" spans="1:8" ht="15" thickBot="1" x14ac:dyDescent="0.35">
      <c r="F18" s="374">
        <f>SUM(F7:F17)</f>
        <v>86335.52</v>
      </c>
    </row>
    <row r="19" spans="1:8" ht="15" thickTop="1" x14ac:dyDescent="0.3"/>
  </sheetData>
  <hyperlinks>
    <hyperlink ref="A1" location="'C.5.11.1 F&amp;W Register'!A1" display="Back to MFMA-7.1 F&amp;W Register"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H10"/>
  <sheetViews>
    <sheetView workbookViewId="0"/>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262</v>
      </c>
      <c r="C7" s="291" t="s">
        <v>588</v>
      </c>
      <c r="D7" s="296" t="s">
        <v>593</v>
      </c>
      <c r="E7" s="425" t="s">
        <v>590</v>
      </c>
      <c r="F7" s="278">
        <v>5325679.57</v>
      </c>
      <c r="G7" s="295" t="s">
        <v>148</v>
      </c>
      <c r="H7" s="338" t="s">
        <v>158</v>
      </c>
    </row>
    <row r="8" spans="1:8" s="80" customFormat="1" x14ac:dyDescent="0.3">
      <c r="A8" s="289" t="s">
        <v>145</v>
      </c>
      <c r="B8" s="290" t="s">
        <v>366</v>
      </c>
      <c r="C8" s="291" t="s">
        <v>588</v>
      </c>
      <c r="D8" s="296" t="s">
        <v>589</v>
      </c>
      <c r="E8" s="425" t="s">
        <v>590</v>
      </c>
      <c r="F8" s="278">
        <v>5611332.3700000001</v>
      </c>
      <c r="G8" s="295" t="s">
        <v>148</v>
      </c>
      <c r="H8" s="338" t="s">
        <v>158</v>
      </c>
    </row>
    <row r="9" spans="1:8" ht="15" thickBot="1" x14ac:dyDescent="0.35">
      <c r="F9" s="374">
        <f>SUM(F7:F8)</f>
        <v>10937011.940000001</v>
      </c>
    </row>
    <row r="10" spans="1:8" ht="15" thickTop="1" x14ac:dyDescent="0.3"/>
  </sheetData>
  <hyperlinks>
    <hyperlink ref="A1" location="'C.5.11.1 F&amp;W Register'!A1" display="Back to MFMA-7.1 F&amp;W Register"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ht="55.2" x14ac:dyDescent="0.3">
      <c r="A7" s="333" t="s">
        <v>145</v>
      </c>
      <c r="B7" s="619" t="s">
        <v>601</v>
      </c>
      <c r="C7" s="621" t="s">
        <v>310</v>
      </c>
      <c r="D7" s="620" t="s">
        <v>600</v>
      </c>
      <c r="E7" s="622" t="s">
        <v>596</v>
      </c>
      <c r="F7" s="337">
        <v>201300</v>
      </c>
      <c r="G7" s="338" t="s">
        <v>148</v>
      </c>
      <c r="H7" s="338" t="s">
        <v>158</v>
      </c>
    </row>
    <row r="8" spans="1:8" x14ac:dyDescent="0.3">
      <c r="A8" s="333" t="s">
        <v>145</v>
      </c>
      <c r="B8" s="334"/>
      <c r="C8" s="335"/>
      <c r="D8" s="336"/>
      <c r="E8" s="293"/>
      <c r="F8" s="337"/>
      <c r="G8" s="338"/>
      <c r="H8" s="338"/>
    </row>
    <row r="9" spans="1:8" ht="15" thickBot="1" x14ac:dyDescent="0.35">
      <c r="F9" s="374">
        <f>SUM(F7:F8)</f>
        <v>201300</v>
      </c>
    </row>
    <row r="10" spans="1:8" ht="15" thickTop="1" x14ac:dyDescent="0.3"/>
  </sheetData>
  <hyperlinks>
    <hyperlink ref="A1" location="'C.5.11.1 F&amp;W Register'!A1" display="Back to MFMA-7.1 F&amp;W Register"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H10"/>
  <sheetViews>
    <sheetView workbookViewId="0">
      <selection sqref="A1:XFD1048576"/>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262</v>
      </c>
      <c r="C7" s="291" t="s">
        <v>319</v>
      </c>
      <c r="D7" s="296" t="s">
        <v>595</v>
      </c>
      <c r="E7" s="425" t="s">
        <v>590</v>
      </c>
      <c r="F7" s="278">
        <v>2153048.02</v>
      </c>
      <c r="G7" s="295" t="s">
        <v>148</v>
      </c>
      <c r="H7" s="338" t="s">
        <v>158</v>
      </c>
    </row>
    <row r="8" spans="1:8" s="80" customFormat="1" x14ac:dyDescent="0.3">
      <c r="A8" s="289" t="s">
        <v>145</v>
      </c>
      <c r="B8" s="290"/>
      <c r="C8" s="291"/>
      <c r="D8" s="296"/>
      <c r="E8" s="425"/>
      <c r="F8" s="278"/>
      <c r="G8" s="295" t="s">
        <v>148</v>
      </c>
      <c r="H8" s="338" t="s">
        <v>158</v>
      </c>
    </row>
    <row r="9" spans="1:8" ht="15" thickBot="1" x14ac:dyDescent="0.35">
      <c r="F9" s="374">
        <f>SUM(F7:F8)</f>
        <v>2153048.02</v>
      </c>
    </row>
    <row r="10" spans="1:8" ht="15" thickTop="1" x14ac:dyDescent="0.3"/>
  </sheetData>
  <hyperlinks>
    <hyperlink ref="A1" location="'C.5.11.1 F&amp;W Register'!A1" display="Back to MFMA-7.1 F&amp;W Register"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H10"/>
  <sheetViews>
    <sheetView workbookViewId="0">
      <selection activeCell="C16" sqref="C16"/>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366</v>
      </c>
      <c r="C7" s="291" t="s">
        <v>591</v>
      </c>
      <c r="D7" s="296" t="s">
        <v>592</v>
      </c>
      <c r="E7" s="425" t="s">
        <v>590</v>
      </c>
      <c r="F7" s="278">
        <v>1526641.84</v>
      </c>
      <c r="G7" s="295" t="s">
        <v>148</v>
      </c>
      <c r="H7" s="338" t="s">
        <v>158</v>
      </c>
    </row>
    <row r="8" spans="1:8" s="80" customFormat="1" x14ac:dyDescent="0.3">
      <c r="A8" s="289"/>
      <c r="B8" s="290"/>
      <c r="C8" s="291"/>
      <c r="D8" s="296"/>
      <c r="E8" s="425"/>
      <c r="F8" s="278"/>
      <c r="G8" s="295"/>
      <c r="H8" s="338"/>
    </row>
    <row r="9" spans="1:8" ht="15" thickBot="1" x14ac:dyDescent="0.35">
      <c r="F9" s="374">
        <f>SUM(F7:F8)</f>
        <v>1526641.84</v>
      </c>
    </row>
    <row r="10" spans="1:8" ht="15" thickTop="1" x14ac:dyDescent="0.3"/>
  </sheetData>
  <hyperlinks>
    <hyperlink ref="A1" location="'C.5.11.1 F&amp;W Register'!A1" display="Back to MFMA-7.1 F&amp;W Register"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H29"/>
  <sheetViews>
    <sheetView topLeftCell="A13" workbookViewId="0">
      <selection sqref="A1:XFD1048576"/>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0.109375" style="1" bestFit="1" customWidth="1"/>
    <col min="5" max="5" width="24.33203125" style="1" customWidth="1"/>
    <col min="6" max="6" width="11.44140625" style="1" bestFit="1" customWidth="1"/>
    <col min="7" max="7" width="18.44140625" style="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368</v>
      </c>
      <c r="C7" s="291" t="s">
        <v>181</v>
      </c>
      <c r="D7" s="336">
        <v>128428</v>
      </c>
      <c r="E7" s="293" t="s">
        <v>147</v>
      </c>
      <c r="F7" s="337">
        <v>5665.04</v>
      </c>
      <c r="G7" s="295" t="s">
        <v>148</v>
      </c>
      <c r="H7" s="295" t="s">
        <v>158</v>
      </c>
    </row>
    <row r="8" spans="1:8" x14ac:dyDescent="0.3">
      <c r="A8" s="289" t="s">
        <v>145</v>
      </c>
      <c r="B8" s="290" t="s">
        <v>369</v>
      </c>
      <c r="C8" s="291" t="s">
        <v>181</v>
      </c>
      <c r="D8" s="292">
        <v>129442</v>
      </c>
      <c r="E8" s="293" t="s">
        <v>147</v>
      </c>
      <c r="F8" s="294">
        <v>19562.240000000002</v>
      </c>
      <c r="G8" s="295" t="s">
        <v>148</v>
      </c>
      <c r="H8" s="295" t="s">
        <v>158</v>
      </c>
    </row>
    <row r="9" spans="1:8" x14ac:dyDescent="0.3">
      <c r="A9" s="289" t="s">
        <v>145</v>
      </c>
      <c r="B9" s="290" t="s">
        <v>369</v>
      </c>
      <c r="C9" s="291" t="s">
        <v>181</v>
      </c>
      <c r="D9" s="336">
        <v>129443</v>
      </c>
      <c r="E9" s="293" t="s">
        <v>147</v>
      </c>
      <c r="F9" s="337">
        <v>37115.4</v>
      </c>
      <c r="G9" s="295" t="s">
        <v>148</v>
      </c>
      <c r="H9" s="295" t="s">
        <v>158</v>
      </c>
    </row>
    <row r="10" spans="1:8" s="281" customFormat="1" ht="13.8" x14ac:dyDescent="0.3">
      <c r="A10" s="289" t="s">
        <v>145</v>
      </c>
      <c r="B10" s="435" t="s">
        <v>377</v>
      </c>
      <c r="C10" s="435" t="s">
        <v>181</v>
      </c>
      <c r="D10" s="296">
        <v>130841</v>
      </c>
      <c r="E10" s="435" t="s">
        <v>147</v>
      </c>
      <c r="F10" s="436">
        <v>19962.14</v>
      </c>
      <c r="G10" s="435" t="s">
        <v>148</v>
      </c>
      <c r="H10" s="435" t="s">
        <v>158</v>
      </c>
    </row>
    <row r="11" spans="1:8" x14ac:dyDescent="0.3">
      <c r="A11" s="289" t="s">
        <v>145</v>
      </c>
      <c r="B11" s="290" t="s">
        <v>378</v>
      </c>
      <c r="C11" s="291" t="s">
        <v>181</v>
      </c>
      <c r="D11" s="336">
        <v>131013</v>
      </c>
      <c r="E11" s="293" t="s">
        <v>147</v>
      </c>
      <c r="F11" s="337">
        <v>12098.84</v>
      </c>
      <c r="G11" s="295" t="s">
        <v>148</v>
      </c>
      <c r="H11" s="295" t="s">
        <v>158</v>
      </c>
    </row>
    <row r="12" spans="1:8" x14ac:dyDescent="0.3">
      <c r="A12" s="289" t="s">
        <v>145</v>
      </c>
      <c r="B12" s="290" t="s">
        <v>379</v>
      </c>
      <c r="C12" s="291" t="s">
        <v>181</v>
      </c>
      <c r="D12" s="336">
        <v>131026</v>
      </c>
      <c r="E12" s="293" t="s">
        <v>147</v>
      </c>
      <c r="F12" s="337">
        <v>867.9</v>
      </c>
      <c r="G12" s="295" t="s">
        <v>148</v>
      </c>
      <c r="H12" s="295" t="s">
        <v>158</v>
      </c>
    </row>
    <row r="13" spans="1:8" x14ac:dyDescent="0.3">
      <c r="A13" s="289" t="s">
        <v>145</v>
      </c>
      <c r="B13" s="290" t="s">
        <v>379</v>
      </c>
      <c r="C13" s="291" t="s">
        <v>181</v>
      </c>
      <c r="D13" s="336">
        <v>131027</v>
      </c>
      <c r="E13" s="293" t="s">
        <v>147</v>
      </c>
      <c r="F13" s="337">
        <v>2583.85</v>
      </c>
      <c r="G13" s="295" t="s">
        <v>148</v>
      </c>
      <c r="H13" s="295" t="s">
        <v>158</v>
      </c>
    </row>
    <row r="14" spans="1:8" x14ac:dyDescent="0.3">
      <c r="A14" s="289" t="s">
        <v>145</v>
      </c>
      <c r="B14" s="290" t="s">
        <v>379</v>
      </c>
      <c r="C14" s="291" t="s">
        <v>181</v>
      </c>
      <c r="D14" s="336">
        <v>131028</v>
      </c>
      <c r="E14" s="293" t="s">
        <v>147</v>
      </c>
      <c r="F14" s="337">
        <v>19549.2</v>
      </c>
      <c r="G14" s="295" t="s">
        <v>148</v>
      </c>
      <c r="H14" s="295" t="s">
        <v>158</v>
      </c>
    </row>
    <row r="15" spans="1:8" x14ac:dyDescent="0.3">
      <c r="A15" s="289" t="s">
        <v>145</v>
      </c>
      <c r="B15" s="290" t="s">
        <v>391</v>
      </c>
      <c r="C15" s="291" t="s">
        <v>181</v>
      </c>
      <c r="D15" s="336">
        <v>133422</v>
      </c>
      <c r="E15" s="293" t="s">
        <v>147</v>
      </c>
      <c r="F15" s="337">
        <v>12654.2</v>
      </c>
      <c r="G15" s="295" t="s">
        <v>148</v>
      </c>
      <c r="H15" s="295" t="s">
        <v>158</v>
      </c>
    </row>
    <row r="16" spans="1:8" x14ac:dyDescent="0.3">
      <c r="A16" s="289" t="s">
        <v>145</v>
      </c>
      <c r="B16" s="290" t="s">
        <v>405</v>
      </c>
      <c r="C16" s="291" t="s">
        <v>181</v>
      </c>
      <c r="D16" s="336">
        <v>133942</v>
      </c>
      <c r="E16" s="293" t="s">
        <v>147</v>
      </c>
      <c r="F16" s="337">
        <v>890.94</v>
      </c>
      <c r="G16" s="295" t="s">
        <v>148</v>
      </c>
      <c r="H16" s="295" t="s">
        <v>158</v>
      </c>
    </row>
    <row r="17" spans="1:8" x14ac:dyDescent="0.3">
      <c r="A17" s="289" t="s">
        <v>145</v>
      </c>
      <c r="B17" s="290" t="s">
        <v>406</v>
      </c>
      <c r="C17" s="291" t="s">
        <v>181</v>
      </c>
      <c r="D17" s="336">
        <v>134170</v>
      </c>
      <c r="E17" s="293" t="s">
        <v>147</v>
      </c>
      <c r="F17" s="337">
        <v>918.53</v>
      </c>
      <c r="G17" s="295" t="s">
        <v>148</v>
      </c>
      <c r="H17" s="295" t="s">
        <v>158</v>
      </c>
    </row>
    <row r="18" spans="1:8" x14ac:dyDescent="0.3">
      <c r="A18" s="289" t="s">
        <v>145</v>
      </c>
      <c r="B18" s="290" t="s">
        <v>431</v>
      </c>
      <c r="C18" s="291" t="s">
        <v>181</v>
      </c>
      <c r="D18" s="446">
        <v>134911</v>
      </c>
      <c r="E18" s="293" t="s">
        <v>147</v>
      </c>
      <c r="F18" s="337">
        <v>804.72</v>
      </c>
      <c r="G18" s="295" t="s">
        <v>148</v>
      </c>
      <c r="H18" s="295" t="s">
        <v>158</v>
      </c>
    </row>
    <row r="19" spans="1:8" x14ac:dyDescent="0.3">
      <c r="A19" s="289" t="s">
        <v>145</v>
      </c>
      <c r="B19" s="290" t="s">
        <v>431</v>
      </c>
      <c r="C19" s="291" t="s">
        <v>181</v>
      </c>
      <c r="D19" s="446">
        <v>134913</v>
      </c>
      <c r="E19" s="293" t="s">
        <v>147</v>
      </c>
      <c r="F19" s="337">
        <v>18.760000000000002</v>
      </c>
      <c r="G19" s="295" t="s">
        <v>148</v>
      </c>
      <c r="H19" s="295" t="s">
        <v>158</v>
      </c>
    </row>
    <row r="20" spans="1:8" x14ac:dyDescent="0.3">
      <c r="A20" s="289" t="s">
        <v>145</v>
      </c>
      <c r="B20" s="290" t="s">
        <v>432</v>
      </c>
      <c r="C20" s="291" t="s">
        <v>181</v>
      </c>
      <c r="D20" s="446">
        <v>135567</v>
      </c>
      <c r="E20" s="293" t="s">
        <v>147</v>
      </c>
      <c r="F20" s="337">
        <v>13958.68</v>
      </c>
      <c r="G20" s="295" t="s">
        <v>148</v>
      </c>
      <c r="H20" s="295" t="s">
        <v>158</v>
      </c>
    </row>
    <row r="21" spans="1:8" x14ac:dyDescent="0.3">
      <c r="A21" s="289" t="s">
        <v>145</v>
      </c>
      <c r="B21" s="290" t="s">
        <v>433</v>
      </c>
      <c r="C21" s="291" t="s">
        <v>181</v>
      </c>
      <c r="D21" s="446">
        <v>135847</v>
      </c>
      <c r="E21" s="293" t="s">
        <v>147</v>
      </c>
      <c r="F21" s="337">
        <v>12927.3</v>
      </c>
      <c r="G21" s="295" t="s">
        <v>148</v>
      </c>
      <c r="H21" s="295" t="s">
        <v>158</v>
      </c>
    </row>
    <row r="22" spans="1:8" x14ac:dyDescent="0.3">
      <c r="A22" s="289" t="s">
        <v>145</v>
      </c>
      <c r="B22" s="290" t="s">
        <v>440</v>
      </c>
      <c r="C22" s="291" t="s">
        <v>181</v>
      </c>
      <c r="D22" s="446">
        <v>137027</v>
      </c>
      <c r="E22" s="293" t="s">
        <v>147</v>
      </c>
      <c r="F22" s="337">
        <f>2384.21+1576.04+794.84</f>
        <v>4755.09</v>
      </c>
      <c r="G22" s="295" t="s">
        <v>148</v>
      </c>
      <c r="H22" s="295" t="s">
        <v>158</v>
      </c>
    </row>
    <row r="23" spans="1:8" x14ac:dyDescent="0.3">
      <c r="A23" s="289" t="s">
        <v>145</v>
      </c>
      <c r="B23" s="290" t="s">
        <v>440</v>
      </c>
      <c r="C23" s="291" t="s">
        <v>181</v>
      </c>
      <c r="D23" s="446">
        <v>137028</v>
      </c>
      <c r="E23" s="293" t="s">
        <v>147</v>
      </c>
      <c r="F23" s="337">
        <v>864.9</v>
      </c>
      <c r="G23" s="295" t="s">
        <v>148</v>
      </c>
      <c r="H23" s="295" t="s">
        <v>158</v>
      </c>
    </row>
    <row r="24" spans="1:8" x14ac:dyDescent="0.3">
      <c r="A24" s="289" t="s">
        <v>145</v>
      </c>
      <c r="B24" s="290" t="s">
        <v>447</v>
      </c>
      <c r="C24" s="291" t="s">
        <v>181</v>
      </c>
      <c r="D24" s="446">
        <v>137376</v>
      </c>
      <c r="E24" s="293" t="s">
        <v>147</v>
      </c>
      <c r="F24" s="337">
        <v>14791.65</v>
      </c>
      <c r="G24" s="295" t="s">
        <v>148</v>
      </c>
      <c r="H24" s="295" t="s">
        <v>158</v>
      </c>
    </row>
    <row r="25" spans="1:8" x14ac:dyDescent="0.3">
      <c r="A25" s="289" t="s">
        <v>145</v>
      </c>
      <c r="B25" s="290" t="s">
        <v>451</v>
      </c>
      <c r="C25" s="291" t="s">
        <v>181</v>
      </c>
      <c r="D25" s="446">
        <v>137377</v>
      </c>
      <c r="E25" s="293" t="s">
        <v>147</v>
      </c>
      <c r="F25" s="337">
        <v>864.3</v>
      </c>
      <c r="G25" s="295" t="s">
        <v>148</v>
      </c>
      <c r="H25" s="295" t="s">
        <v>158</v>
      </c>
    </row>
    <row r="26" spans="1:8" x14ac:dyDescent="0.3">
      <c r="A26" s="289"/>
      <c r="B26" s="290"/>
      <c r="C26" s="291"/>
      <c r="D26" s="336"/>
      <c r="E26" s="297"/>
      <c r="F26" s="337"/>
      <c r="G26" s="295"/>
      <c r="H26" s="295"/>
    </row>
    <row r="27" spans="1:8" ht="15" thickBot="1" x14ac:dyDescent="0.35">
      <c r="F27" s="374">
        <f>SUM(F7:F26)</f>
        <v>180853.67999999996</v>
      </c>
    </row>
    <row r="28" spans="1:8" ht="15" thickTop="1" x14ac:dyDescent="0.3"/>
    <row r="29" spans="1:8" x14ac:dyDescent="0.3">
      <c r="A29" s="447" t="s">
        <v>434</v>
      </c>
    </row>
  </sheetData>
  <hyperlinks>
    <hyperlink ref="A1" location="'C.5.11.1 F&amp;W Register'!A1" display="Back to MFMA-7.1 F&amp;W Register" xr:uid="{00000000-0004-0000-1A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H10"/>
  <sheetViews>
    <sheetView workbookViewId="0"/>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1.4414062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441</v>
      </c>
      <c r="C7" s="291" t="s">
        <v>442</v>
      </c>
      <c r="D7" s="296">
        <v>137585</v>
      </c>
      <c r="E7" s="293" t="s">
        <v>147</v>
      </c>
      <c r="F7" s="278">
        <v>146453.28</v>
      </c>
      <c r="G7" s="295" t="s">
        <v>148</v>
      </c>
      <c r="H7" s="295" t="s">
        <v>158</v>
      </c>
    </row>
    <row r="8" spans="1:8" s="80" customFormat="1" x14ac:dyDescent="0.3">
      <c r="A8" s="289"/>
      <c r="B8" s="290"/>
      <c r="C8" s="291"/>
      <c r="D8" s="296"/>
      <c r="E8" s="425"/>
      <c r="F8" s="278"/>
      <c r="G8" s="295"/>
      <c r="H8" s="338"/>
    </row>
    <row r="9" spans="1:8" ht="15" thickBot="1" x14ac:dyDescent="0.35">
      <c r="F9" s="374">
        <f>SUM(F7:F8)</f>
        <v>146453.28</v>
      </c>
    </row>
    <row r="10" spans="1:8" ht="15" thickTop="1" x14ac:dyDescent="0.3"/>
  </sheetData>
  <hyperlinks>
    <hyperlink ref="A1" location="'C.5.11.1 F&amp;W Register'!A1" display="Back to MFMA-7.1 F&amp;W Register"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1.4414062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418</v>
      </c>
      <c r="C7" s="291" t="s">
        <v>419</v>
      </c>
      <c r="D7" s="296">
        <v>134681</v>
      </c>
      <c r="E7" s="425" t="s">
        <v>147</v>
      </c>
      <c r="F7" s="278">
        <v>41077</v>
      </c>
      <c r="G7" s="295" t="s">
        <v>148</v>
      </c>
      <c r="H7" s="338" t="s">
        <v>158</v>
      </c>
    </row>
    <row r="8" spans="1:8" s="80" customFormat="1" x14ac:dyDescent="0.3">
      <c r="A8" s="289"/>
      <c r="B8" s="290"/>
      <c r="C8" s="291"/>
      <c r="D8" s="296"/>
      <c r="E8" s="425"/>
      <c r="F8" s="278"/>
      <c r="G8" s="295"/>
      <c r="H8" s="338"/>
    </row>
    <row r="9" spans="1:8" ht="15" thickBot="1" x14ac:dyDescent="0.35">
      <c r="F9" s="374">
        <f>SUM(F7:F8)</f>
        <v>41077</v>
      </c>
    </row>
    <row r="10" spans="1:8" ht="15" thickTop="1" x14ac:dyDescent="0.3"/>
  </sheetData>
  <hyperlinks>
    <hyperlink ref="A1" location="'C.5.11.1 F&amp;W Register'!A1" display="Back to MFMA-7.1 F&amp;W Register"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view="pageBreakPreview" zoomScale="90" zoomScaleSheetLayoutView="90" workbookViewId="0">
      <selection activeCell="J7" sqref="J7"/>
    </sheetView>
  </sheetViews>
  <sheetFormatPr defaultColWidth="9.109375" defaultRowHeight="14.4" x14ac:dyDescent="0.3"/>
  <cols>
    <col min="1" max="1" width="13.88671875" style="1" customWidth="1"/>
    <col min="2" max="2" width="28.6640625" style="1" customWidth="1"/>
    <col min="3" max="3" width="14.33203125" style="1" bestFit="1" customWidth="1"/>
    <col min="4" max="4" width="9.5546875" style="1" bestFit="1" customWidth="1"/>
    <col min="5" max="5" width="9.109375" style="1"/>
    <col min="6" max="6" width="26.44140625" style="1" customWidth="1"/>
    <col min="7" max="16384" width="9.109375" style="1"/>
  </cols>
  <sheetData>
    <row r="1" spans="1:7" ht="15" thickBot="1" x14ac:dyDescent="0.35">
      <c r="A1" s="85"/>
      <c r="B1" s="86"/>
      <c r="C1" s="87"/>
      <c r="D1" s="15"/>
      <c r="E1" s="88"/>
      <c r="F1" s="88"/>
      <c r="G1" s="13"/>
    </row>
    <row r="2" spans="1:7" ht="21" x14ac:dyDescent="0.4">
      <c r="A2" s="6"/>
      <c r="B2" s="7"/>
      <c r="C2" s="25"/>
      <c r="D2" s="25"/>
      <c r="E2" s="9" t="s">
        <v>2</v>
      </c>
      <c r="F2" s="784" t="s">
        <v>365</v>
      </c>
      <c r="G2" s="784"/>
    </row>
    <row r="3" spans="1:7" x14ac:dyDescent="0.3">
      <c r="A3" s="10"/>
      <c r="B3" s="11"/>
      <c r="C3" s="13"/>
      <c r="D3" s="13"/>
      <c r="E3" s="12" t="s">
        <v>3</v>
      </c>
      <c r="F3" s="794" t="s">
        <v>255</v>
      </c>
      <c r="G3" s="795"/>
    </row>
    <row r="4" spans="1:7" x14ac:dyDescent="0.3">
      <c r="A4" s="10"/>
      <c r="B4" s="11"/>
      <c r="C4" s="13"/>
      <c r="D4" s="13"/>
      <c r="E4" s="12" t="s">
        <v>4</v>
      </c>
      <c r="F4" s="226">
        <f ca="1">'C.5.11.1 F&amp;W Register'!F3</f>
        <v>43857.495622106479</v>
      </c>
      <c r="G4" s="89"/>
    </row>
    <row r="5" spans="1:7" x14ac:dyDescent="0.3">
      <c r="A5" s="10"/>
      <c r="B5" s="11"/>
      <c r="C5" s="13"/>
      <c r="D5" s="13"/>
      <c r="E5" s="12" t="s">
        <v>5</v>
      </c>
      <c r="F5" s="225"/>
      <c r="G5" s="89"/>
    </row>
    <row r="6" spans="1:7" x14ac:dyDescent="0.3">
      <c r="A6" s="10"/>
      <c r="B6" s="11"/>
      <c r="C6" s="13"/>
      <c r="D6" s="13"/>
      <c r="E6" s="12" t="s">
        <v>4</v>
      </c>
      <c r="F6" s="227"/>
      <c r="G6" s="89"/>
    </row>
    <row r="7" spans="1:7" x14ac:dyDescent="0.3">
      <c r="A7" s="10" t="s">
        <v>134</v>
      </c>
      <c r="B7" s="13" t="s">
        <v>133</v>
      </c>
      <c r="C7" s="13"/>
      <c r="D7" s="13"/>
      <c r="E7" s="12"/>
      <c r="F7" s="18"/>
      <c r="G7" s="89"/>
    </row>
    <row r="8" spans="1:7" x14ac:dyDescent="0.3">
      <c r="A8" s="10" t="s">
        <v>6</v>
      </c>
      <c r="B8" s="17" t="s">
        <v>621</v>
      </c>
      <c r="C8" s="13"/>
      <c r="D8" s="13"/>
      <c r="E8" s="12"/>
      <c r="F8" s="18"/>
      <c r="G8" s="14"/>
    </row>
    <row r="9" spans="1:7" x14ac:dyDescent="0.3">
      <c r="A9" s="10" t="s">
        <v>7</v>
      </c>
      <c r="B9" s="13" t="s">
        <v>30</v>
      </c>
      <c r="C9" s="13"/>
      <c r="D9" s="13"/>
      <c r="E9" s="13"/>
      <c r="F9" s="19"/>
      <c r="G9" s="13"/>
    </row>
    <row r="10" spans="1:7" ht="15" thickBot="1" x14ac:dyDescent="0.35">
      <c r="A10" s="20"/>
      <c r="B10" s="21"/>
      <c r="C10" s="21"/>
      <c r="D10" s="21"/>
      <c r="E10" s="21"/>
      <c r="F10" s="22"/>
      <c r="G10" s="13"/>
    </row>
    <row r="11" spans="1:7" x14ac:dyDescent="0.3">
      <c r="A11" s="85"/>
      <c r="B11" s="92"/>
      <c r="C11" s="85"/>
      <c r="D11" s="93"/>
      <c r="E11" s="94"/>
      <c r="F11" s="95"/>
      <c r="G11" s="13"/>
    </row>
    <row r="14" spans="1:7" x14ac:dyDescent="0.3">
      <c r="A14" s="4" t="s">
        <v>18</v>
      </c>
    </row>
    <row r="15" spans="1:7" x14ac:dyDescent="0.3">
      <c r="A15" s="2"/>
    </row>
    <row r="16" spans="1:7" x14ac:dyDescent="0.3">
      <c r="A16" s="3" t="s">
        <v>19</v>
      </c>
    </row>
    <row r="17" spans="1:1" x14ac:dyDescent="0.3">
      <c r="A17" s="3" t="s">
        <v>20</v>
      </c>
    </row>
    <row r="18" spans="1:1" x14ac:dyDescent="0.3">
      <c r="A18" s="2"/>
    </row>
    <row r="19" spans="1:1" x14ac:dyDescent="0.3">
      <c r="A19" s="3" t="s">
        <v>21</v>
      </c>
    </row>
    <row r="20" spans="1:1" x14ac:dyDescent="0.3">
      <c r="A20" s="3" t="s">
        <v>22</v>
      </c>
    </row>
    <row r="21" spans="1:1" x14ac:dyDescent="0.3">
      <c r="A21" s="3" t="s">
        <v>23</v>
      </c>
    </row>
    <row r="22" spans="1:1" x14ac:dyDescent="0.3">
      <c r="A22" s="2"/>
    </row>
    <row r="23" spans="1:1" x14ac:dyDescent="0.3">
      <c r="A23" s="3" t="s">
        <v>24</v>
      </c>
    </row>
    <row r="24" spans="1:1" x14ac:dyDescent="0.3">
      <c r="A24" s="2"/>
    </row>
    <row r="25" spans="1:1" x14ac:dyDescent="0.3">
      <c r="A25" s="2"/>
    </row>
  </sheetData>
  <mergeCells count="2">
    <mergeCell ref="F2:G2"/>
    <mergeCell ref="F3:G3"/>
  </mergeCells>
  <pageMargins left="0.7" right="0.7" top="0.75" bottom="0.75" header="0.3" footer="0.3"/>
  <pageSetup paperSize="9" scale="85" orientation="portrait" r:id="rId1"/>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H55"/>
  <sheetViews>
    <sheetView workbookViewId="0">
      <selection activeCell="D15" sqref="D15"/>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24.33203125" style="1" bestFit="1" customWidth="1"/>
    <col min="5" max="5" width="25.6640625" style="2" bestFit="1" customWidth="1"/>
    <col min="6" max="6" width="11.1093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424"/>
      <c r="F1" s="281"/>
      <c r="G1" s="281"/>
      <c r="H1" s="281"/>
    </row>
    <row r="2" spans="1:8" x14ac:dyDescent="0.3">
      <c r="A2" s="279" t="s">
        <v>137</v>
      </c>
      <c r="B2" s="280"/>
      <c r="C2" s="281"/>
      <c r="D2" s="281"/>
      <c r="E2" s="424"/>
      <c r="F2" s="281"/>
      <c r="G2" s="281"/>
      <c r="H2" s="281"/>
    </row>
    <row r="3" spans="1:8" x14ac:dyDescent="0.3">
      <c r="A3" s="281"/>
      <c r="B3" s="280"/>
      <c r="C3" s="281"/>
      <c r="D3" s="281"/>
      <c r="E3" s="424"/>
      <c r="F3" s="281"/>
      <c r="G3" s="281"/>
      <c r="H3" s="281"/>
    </row>
    <row r="4" spans="1:8" x14ac:dyDescent="0.3">
      <c r="A4" s="384" t="s">
        <v>163</v>
      </c>
      <c r="B4" s="384"/>
      <c r="C4" s="384"/>
      <c r="D4" s="384"/>
      <c r="E4" s="384"/>
      <c r="F4" s="384"/>
      <c r="G4" s="281"/>
      <c r="H4" s="281"/>
    </row>
    <row r="5" spans="1:8" x14ac:dyDescent="0.3">
      <c r="A5" s="281"/>
      <c r="B5" s="280"/>
      <c r="C5" s="281"/>
      <c r="D5" s="281"/>
      <c r="E5" s="424"/>
      <c r="F5" s="281"/>
      <c r="G5" s="281"/>
      <c r="H5" s="281"/>
    </row>
    <row r="6" spans="1:8" ht="27.6" x14ac:dyDescent="0.3">
      <c r="A6" s="282" t="s">
        <v>138</v>
      </c>
      <c r="B6" s="283" t="s">
        <v>139</v>
      </c>
      <c r="C6" s="284" t="s">
        <v>140</v>
      </c>
      <c r="D6" s="285" t="s">
        <v>141</v>
      </c>
      <c r="E6" s="282" t="s">
        <v>142</v>
      </c>
      <c r="F6" s="287" t="s">
        <v>143</v>
      </c>
      <c r="G6" s="288" t="s">
        <v>144</v>
      </c>
      <c r="H6" s="288" t="s">
        <v>157</v>
      </c>
    </row>
    <row r="7" spans="1:8" x14ac:dyDescent="0.3">
      <c r="A7" s="333" t="s">
        <v>145</v>
      </c>
      <c r="B7" s="334" t="s">
        <v>370</v>
      </c>
      <c r="C7" s="335" t="s">
        <v>146</v>
      </c>
      <c r="D7" s="336">
        <v>128968</v>
      </c>
      <c r="E7" s="425" t="s">
        <v>147</v>
      </c>
      <c r="F7" s="337">
        <v>278.76</v>
      </c>
      <c r="G7" s="338" t="s">
        <v>148</v>
      </c>
      <c r="H7" s="338" t="s">
        <v>158</v>
      </c>
    </row>
    <row r="8" spans="1:8" x14ac:dyDescent="0.3">
      <c r="A8" s="333" t="s">
        <v>145</v>
      </c>
      <c r="B8" s="334" t="s">
        <v>370</v>
      </c>
      <c r="C8" s="335" t="s">
        <v>146</v>
      </c>
      <c r="D8" s="336">
        <v>128969</v>
      </c>
      <c r="E8" s="425" t="s">
        <v>147</v>
      </c>
      <c r="F8" s="337">
        <v>308.49</v>
      </c>
      <c r="G8" s="338" t="s">
        <v>148</v>
      </c>
      <c r="H8" s="338" t="s">
        <v>158</v>
      </c>
    </row>
    <row r="9" spans="1:8" x14ac:dyDescent="0.3">
      <c r="A9" s="333" t="s">
        <v>145</v>
      </c>
      <c r="B9" s="334" t="s">
        <v>371</v>
      </c>
      <c r="C9" s="335" t="s">
        <v>146</v>
      </c>
      <c r="D9" s="336">
        <v>129331</v>
      </c>
      <c r="E9" s="425" t="s">
        <v>147</v>
      </c>
      <c r="F9" s="337">
        <v>1046.25</v>
      </c>
      <c r="G9" s="338" t="s">
        <v>148</v>
      </c>
      <c r="H9" s="338" t="s">
        <v>158</v>
      </c>
    </row>
    <row r="10" spans="1:8" x14ac:dyDescent="0.3">
      <c r="A10" s="333" t="s">
        <v>145</v>
      </c>
      <c r="B10" s="334" t="s">
        <v>371</v>
      </c>
      <c r="C10" s="335" t="s">
        <v>146</v>
      </c>
      <c r="D10" s="336">
        <v>129332</v>
      </c>
      <c r="E10" s="425" t="s">
        <v>147</v>
      </c>
      <c r="F10" s="337">
        <v>2337.96</v>
      </c>
      <c r="G10" s="338" t="s">
        <v>148</v>
      </c>
      <c r="H10" s="338" t="s">
        <v>158</v>
      </c>
    </row>
    <row r="11" spans="1:8" x14ac:dyDescent="0.3">
      <c r="A11" s="333" t="s">
        <v>145</v>
      </c>
      <c r="B11" s="334" t="s">
        <v>371</v>
      </c>
      <c r="C11" s="335" t="s">
        <v>146</v>
      </c>
      <c r="D11" s="336">
        <v>129337</v>
      </c>
      <c r="E11" s="425" t="s">
        <v>147</v>
      </c>
      <c r="F11" s="337">
        <v>69.53</v>
      </c>
      <c r="G11" s="338" t="s">
        <v>148</v>
      </c>
      <c r="H11" s="338" t="s">
        <v>158</v>
      </c>
    </row>
    <row r="12" spans="1:8" x14ac:dyDescent="0.3">
      <c r="A12" s="333" t="s">
        <v>145</v>
      </c>
      <c r="B12" s="334" t="s">
        <v>371</v>
      </c>
      <c r="C12" s="335" t="s">
        <v>146</v>
      </c>
      <c r="D12" s="336">
        <v>129338</v>
      </c>
      <c r="E12" s="425" t="s">
        <v>147</v>
      </c>
      <c r="F12" s="337">
        <v>24.1</v>
      </c>
      <c r="G12" s="338" t="s">
        <v>148</v>
      </c>
      <c r="H12" s="338" t="s">
        <v>158</v>
      </c>
    </row>
    <row r="13" spans="1:8" x14ac:dyDescent="0.3">
      <c r="A13" s="333" t="s">
        <v>145</v>
      </c>
      <c r="B13" s="334" t="s">
        <v>385</v>
      </c>
      <c r="C13" s="335" t="s">
        <v>146</v>
      </c>
      <c r="D13" s="336">
        <v>129490</v>
      </c>
      <c r="E13" s="425" t="s">
        <v>147</v>
      </c>
      <c r="F13" s="337">
        <v>32.74</v>
      </c>
      <c r="G13" s="338" t="s">
        <v>148</v>
      </c>
      <c r="H13" s="338" t="s">
        <v>158</v>
      </c>
    </row>
    <row r="14" spans="1:8" x14ac:dyDescent="0.3">
      <c r="A14" s="333" t="s">
        <v>145</v>
      </c>
      <c r="B14" s="334" t="s">
        <v>372</v>
      </c>
      <c r="C14" s="335" t="s">
        <v>146</v>
      </c>
      <c r="D14" s="336">
        <v>129616</v>
      </c>
      <c r="E14" s="414" t="s">
        <v>147</v>
      </c>
      <c r="F14" s="337">
        <v>3163.61</v>
      </c>
      <c r="G14" s="338" t="s">
        <v>148</v>
      </c>
      <c r="H14" s="338" t="s">
        <v>158</v>
      </c>
    </row>
    <row r="15" spans="1:8" x14ac:dyDescent="0.3">
      <c r="A15" s="333" t="s">
        <v>145</v>
      </c>
      <c r="B15" s="334" t="s">
        <v>372</v>
      </c>
      <c r="C15" s="335" t="s">
        <v>146</v>
      </c>
      <c r="D15" s="336">
        <v>129620</v>
      </c>
      <c r="E15" s="414" t="s">
        <v>147</v>
      </c>
      <c r="F15" s="337">
        <v>605.77</v>
      </c>
      <c r="G15" s="338" t="s">
        <v>148</v>
      </c>
      <c r="H15" s="338" t="s">
        <v>158</v>
      </c>
    </row>
    <row r="16" spans="1:8" x14ac:dyDescent="0.3">
      <c r="A16" s="289" t="s">
        <v>145</v>
      </c>
      <c r="B16" s="290" t="s">
        <v>375</v>
      </c>
      <c r="C16" s="291" t="s">
        <v>146</v>
      </c>
      <c r="D16" s="336">
        <v>130161</v>
      </c>
      <c r="E16" s="297" t="s">
        <v>147</v>
      </c>
      <c r="F16" s="337">
        <v>85.34</v>
      </c>
      <c r="G16" s="295" t="s">
        <v>148</v>
      </c>
      <c r="H16" s="295" t="s">
        <v>158</v>
      </c>
    </row>
    <row r="17" spans="1:8" x14ac:dyDescent="0.3">
      <c r="A17" s="289" t="s">
        <v>145</v>
      </c>
      <c r="B17" s="290" t="s">
        <v>383</v>
      </c>
      <c r="C17" s="291" t="s">
        <v>146</v>
      </c>
      <c r="D17" s="336">
        <v>130301</v>
      </c>
      <c r="E17" s="297" t="s">
        <v>147</v>
      </c>
      <c r="F17" s="337">
        <v>72.09</v>
      </c>
      <c r="G17" s="295" t="s">
        <v>148</v>
      </c>
      <c r="H17" s="295" t="s">
        <v>158</v>
      </c>
    </row>
    <row r="18" spans="1:8" x14ac:dyDescent="0.3">
      <c r="A18" s="333" t="s">
        <v>145</v>
      </c>
      <c r="B18" s="334" t="s">
        <v>376</v>
      </c>
      <c r="C18" s="335" t="s">
        <v>146</v>
      </c>
      <c r="D18" s="336">
        <v>130456</v>
      </c>
      <c r="E18" s="425" t="s">
        <v>147</v>
      </c>
      <c r="F18" s="337">
        <v>99.68</v>
      </c>
      <c r="G18" s="338" t="s">
        <v>148</v>
      </c>
      <c r="H18" s="338" t="s">
        <v>158</v>
      </c>
    </row>
    <row r="19" spans="1:8" x14ac:dyDescent="0.3">
      <c r="A19" s="333" t="s">
        <v>145</v>
      </c>
      <c r="B19" s="334" t="s">
        <v>376</v>
      </c>
      <c r="C19" s="335" t="s">
        <v>146</v>
      </c>
      <c r="D19" s="336">
        <v>130457</v>
      </c>
      <c r="E19" s="425" t="s">
        <v>147</v>
      </c>
      <c r="F19" s="337">
        <v>166.4</v>
      </c>
      <c r="G19" s="338" t="s">
        <v>148</v>
      </c>
      <c r="H19" s="338" t="s">
        <v>158</v>
      </c>
    </row>
    <row r="20" spans="1:8" x14ac:dyDescent="0.3">
      <c r="A20" s="333" t="s">
        <v>145</v>
      </c>
      <c r="B20" s="334" t="s">
        <v>384</v>
      </c>
      <c r="C20" s="335" t="s">
        <v>146</v>
      </c>
      <c r="D20" s="336">
        <v>130540</v>
      </c>
      <c r="E20" s="425" t="s">
        <v>147</v>
      </c>
      <c r="F20" s="337">
        <v>50.2</v>
      </c>
      <c r="G20" s="338" t="s">
        <v>148</v>
      </c>
      <c r="H20" s="338" t="s">
        <v>158</v>
      </c>
    </row>
    <row r="21" spans="1:8" x14ac:dyDescent="0.3">
      <c r="A21" s="333" t="s">
        <v>145</v>
      </c>
      <c r="B21" s="334" t="s">
        <v>387</v>
      </c>
      <c r="C21" s="335" t="s">
        <v>146</v>
      </c>
      <c r="D21" s="336">
        <v>130913</v>
      </c>
      <c r="E21" s="425" t="s">
        <v>147</v>
      </c>
      <c r="F21" s="337">
        <v>276.89999999999998</v>
      </c>
      <c r="G21" s="338" t="s">
        <v>148</v>
      </c>
      <c r="H21" s="338" t="s">
        <v>158</v>
      </c>
    </row>
    <row r="22" spans="1:8" x14ac:dyDescent="0.3">
      <c r="A22" s="333" t="s">
        <v>145</v>
      </c>
      <c r="B22" s="334" t="s">
        <v>382</v>
      </c>
      <c r="C22" s="335" t="s">
        <v>146</v>
      </c>
      <c r="D22" s="336">
        <v>131132</v>
      </c>
      <c r="E22" s="425" t="s">
        <v>147</v>
      </c>
      <c r="F22" s="337">
        <v>1089.4100000000001</v>
      </c>
      <c r="G22" s="338" t="s">
        <v>148</v>
      </c>
      <c r="H22" s="338" t="s">
        <v>158</v>
      </c>
    </row>
    <row r="23" spans="1:8" x14ac:dyDescent="0.3">
      <c r="A23" s="333" t="s">
        <v>145</v>
      </c>
      <c r="B23" s="334" t="s">
        <v>380</v>
      </c>
      <c r="C23" s="335" t="s">
        <v>146</v>
      </c>
      <c r="D23" s="336">
        <v>131384</v>
      </c>
      <c r="E23" s="425" t="s">
        <v>147</v>
      </c>
      <c r="F23" s="337">
        <v>879.58</v>
      </c>
      <c r="G23" s="338" t="s">
        <v>148</v>
      </c>
      <c r="H23" s="338" t="s">
        <v>158</v>
      </c>
    </row>
    <row r="24" spans="1:8" x14ac:dyDescent="0.3">
      <c r="A24" s="333" t="s">
        <v>145</v>
      </c>
      <c r="B24" s="334" t="s">
        <v>380</v>
      </c>
      <c r="C24" s="335" t="s">
        <v>146</v>
      </c>
      <c r="D24" s="336">
        <v>131386</v>
      </c>
      <c r="E24" s="425" t="s">
        <v>147</v>
      </c>
      <c r="F24" s="337">
        <v>308.12</v>
      </c>
      <c r="G24" s="338" t="s">
        <v>148</v>
      </c>
      <c r="H24" s="338" t="s">
        <v>158</v>
      </c>
    </row>
    <row r="25" spans="1:8" x14ac:dyDescent="0.3">
      <c r="A25" s="333" t="s">
        <v>145</v>
      </c>
      <c r="B25" s="334" t="s">
        <v>381</v>
      </c>
      <c r="C25" s="335" t="s">
        <v>146</v>
      </c>
      <c r="D25" s="336">
        <v>131718</v>
      </c>
      <c r="E25" s="425" t="s">
        <v>147</v>
      </c>
      <c r="F25" s="337">
        <v>1527.22</v>
      </c>
      <c r="G25" s="338" t="s">
        <v>148</v>
      </c>
      <c r="H25" s="338" t="s">
        <v>158</v>
      </c>
    </row>
    <row r="26" spans="1:8" x14ac:dyDescent="0.3">
      <c r="A26" s="333" t="s">
        <v>145</v>
      </c>
      <c r="B26" s="334" t="s">
        <v>381</v>
      </c>
      <c r="C26" s="335" t="s">
        <v>146</v>
      </c>
      <c r="D26" s="336">
        <v>131719</v>
      </c>
      <c r="E26" s="425" t="s">
        <v>147</v>
      </c>
      <c r="F26" s="337">
        <v>245.93</v>
      </c>
      <c r="G26" s="338" t="s">
        <v>148</v>
      </c>
      <c r="H26" s="338" t="s">
        <v>158</v>
      </c>
    </row>
    <row r="27" spans="1:8" x14ac:dyDescent="0.3">
      <c r="A27" s="441" t="s">
        <v>145</v>
      </c>
      <c r="B27" s="442" t="s">
        <v>421</v>
      </c>
      <c r="C27" s="443" t="s">
        <v>146</v>
      </c>
      <c r="D27" s="444">
        <v>132981</v>
      </c>
      <c r="E27" s="445" t="s">
        <v>147</v>
      </c>
      <c r="F27" s="337">
        <f>45+684.21</f>
        <v>729.21</v>
      </c>
      <c r="G27" s="338" t="s">
        <v>148</v>
      </c>
      <c r="H27" s="338" t="s">
        <v>158</v>
      </c>
    </row>
    <row r="28" spans="1:8" x14ac:dyDescent="0.3">
      <c r="A28" s="333" t="s">
        <v>145</v>
      </c>
      <c r="B28" s="334" t="s">
        <v>386</v>
      </c>
      <c r="C28" s="335" t="s">
        <v>146</v>
      </c>
      <c r="D28" s="336">
        <v>133101</v>
      </c>
      <c r="E28" s="425" t="s">
        <v>147</v>
      </c>
      <c r="F28" s="337">
        <v>151.19999999999999</v>
      </c>
      <c r="G28" s="338" t="s">
        <v>148</v>
      </c>
      <c r="H28" s="338" t="s">
        <v>158</v>
      </c>
    </row>
    <row r="29" spans="1:8" x14ac:dyDescent="0.3">
      <c r="A29" s="333" t="s">
        <v>145</v>
      </c>
      <c r="B29" s="334" t="s">
        <v>388</v>
      </c>
      <c r="C29" s="335" t="s">
        <v>146</v>
      </c>
      <c r="D29" s="336">
        <v>133168</v>
      </c>
      <c r="E29" s="425" t="s">
        <v>147</v>
      </c>
      <c r="F29" s="337">
        <v>96.97</v>
      </c>
      <c r="G29" s="338" t="s">
        <v>148</v>
      </c>
      <c r="H29" s="338" t="s">
        <v>158</v>
      </c>
    </row>
    <row r="30" spans="1:8" x14ac:dyDescent="0.3">
      <c r="A30" s="333" t="s">
        <v>145</v>
      </c>
      <c r="B30" s="334" t="s">
        <v>389</v>
      </c>
      <c r="C30" s="335" t="s">
        <v>146</v>
      </c>
      <c r="D30" s="336">
        <v>133260</v>
      </c>
      <c r="E30" s="425" t="s">
        <v>147</v>
      </c>
      <c r="F30" s="337">
        <v>11162.54</v>
      </c>
      <c r="G30" s="338" t="s">
        <v>148</v>
      </c>
      <c r="H30" s="338" t="s">
        <v>158</v>
      </c>
    </row>
    <row r="31" spans="1:8" x14ac:dyDescent="0.3">
      <c r="A31" s="333" t="s">
        <v>145</v>
      </c>
      <c r="B31" s="334" t="s">
        <v>403</v>
      </c>
      <c r="C31" s="335" t="s">
        <v>146</v>
      </c>
      <c r="D31" s="336">
        <v>133772</v>
      </c>
      <c r="E31" s="425" t="s">
        <v>147</v>
      </c>
      <c r="F31" s="337">
        <v>67.349999999999994</v>
      </c>
      <c r="G31" s="338" t="s">
        <v>148</v>
      </c>
      <c r="H31" s="338" t="s">
        <v>158</v>
      </c>
    </row>
    <row r="32" spans="1:8" x14ac:dyDescent="0.3">
      <c r="A32" s="333" t="s">
        <v>145</v>
      </c>
      <c r="B32" s="334" t="s">
        <v>403</v>
      </c>
      <c r="C32" s="335" t="s">
        <v>146</v>
      </c>
      <c r="D32" s="336">
        <v>133773</v>
      </c>
      <c r="E32" s="425" t="s">
        <v>147</v>
      </c>
      <c r="F32" s="337">
        <v>121.15</v>
      </c>
      <c r="G32" s="338" t="s">
        <v>148</v>
      </c>
      <c r="H32" s="338" t="s">
        <v>158</v>
      </c>
    </row>
    <row r="33" spans="1:8" x14ac:dyDescent="0.3">
      <c r="A33" s="333" t="s">
        <v>145</v>
      </c>
      <c r="B33" s="334" t="s">
        <v>403</v>
      </c>
      <c r="C33" s="335" t="s">
        <v>146</v>
      </c>
      <c r="D33" s="336">
        <v>133774</v>
      </c>
      <c r="E33" s="335" t="s">
        <v>147</v>
      </c>
      <c r="F33" s="337">
        <v>352.99</v>
      </c>
      <c r="G33" s="338" t="s">
        <v>148</v>
      </c>
      <c r="H33" s="338" t="s">
        <v>158</v>
      </c>
    </row>
    <row r="34" spans="1:8" x14ac:dyDescent="0.3">
      <c r="A34" s="333" t="s">
        <v>145</v>
      </c>
      <c r="B34" s="334" t="s">
        <v>409</v>
      </c>
      <c r="C34" s="335" t="s">
        <v>146</v>
      </c>
      <c r="D34" s="336">
        <v>134326</v>
      </c>
      <c r="E34" s="335" t="s">
        <v>147</v>
      </c>
      <c r="F34" s="337">
        <v>245.26</v>
      </c>
      <c r="G34" s="338" t="s">
        <v>148</v>
      </c>
      <c r="H34" s="338" t="s">
        <v>158</v>
      </c>
    </row>
    <row r="35" spans="1:8" x14ac:dyDescent="0.3">
      <c r="A35" s="333" t="s">
        <v>145</v>
      </c>
      <c r="B35" s="334" t="s">
        <v>409</v>
      </c>
      <c r="C35" s="335" t="s">
        <v>146</v>
      </c>
      <c r="D35" s="336">
        <v>134327</v>
      </c>
      <c r="E35" s="335" t="s">
        <v>147</v>
      </c>
      <c r="F35" s="337">
        <v>64.12</v>
      </c>
      <c r="G35" s="338" t="s">
        <v>148</v>
      </c>
      <c r="H35" s="338" t="s">
        <v>158</v>
      </c>
    </row>
    <row r="36" spans="1:8" x14ac:dyDescent="0.3">
      <c r="A36" s="333" t="s">
        <v>145</v>
      </c>
      <c r="B36" s="334" t="s">
        <v>422</v>
      </c>
      <c r="C36" s="335" t="s">
        <v>146</v>
      </c>
      <c r="D36" s="446">
        <v>134753</v>
      </c>
      <c r="E36" s="335" t="s">
        <v>147</v>
      </c>
      <c r="F36" s="337">
        <v>232.18</v>
      </c>
      <c r="G36" s="338" t="s">
        <v>148</v>
      </c>
      <c r="H36" s="338" t="s">
        <v>158</v>
      </c>
    </row>
    <row r="37" spans="1:8" x14ac:dyDescent="0.3">
      <c r="A37" s="333" t="s">
        <v>145</v>
      </c>
      <c r="B37" s="334" t="s">
        <v>423</v>
      </c>
      <c r="C37" s="335" t="s">
        <v>146</v>
      </c>
      <c r="D37" s="446">
        <v>134942</v>
      </c>
      <c r="E37" s="335" t="s">
        <v>147</v>
      </c>
      <c r="F37" s="337">
        <v>6587.27</v>
      </c>
      <c r="G37" s="338" t="s">
        <v>148</v>
      </c>
      <c r="H37" s="338" t="s">
        <v>158</v>
      </c>
    </row>
    <row r="38" spans="1:8" x14ac:dyDescent="0.3">
      <c r="A38" s="333" t="s">
        <v>145</v>
      </c>
      <c r="B38" s="334" t="s">
        <v>427</v>
      </c>
      <c r="C38" s="335" t="s">
        <v>146</v>
      </c>
      <c r="D38" s="446">
        <v>135056</v>
      </c>
      <c r="E38" s="335" t="s">
        <v>147</v>
      </c>
      <c r="F38" s="337">
        <v>272.89999999999998</v>
      </c>
      <c r="G38" s="338" t="s">
        <v>148</v>
      </c>
      <c r="H38" s="338" t="s">
        <v>158</v>
      </c>
    </row>
    <row r="39" spans="1:8" x14ac:dyDescent="0.3">
      <c r="A39" s="333" t="s">
        <v>145</v>
      </c>
      <c r="B39" s="334" t="s">
        <v>428</v>
      </c>
      <c r="C39" s="335" t="s">
        <v>146</v>
      </c>
      <c r="D39" s="446">
        <v>135367</v>
      </c>
      <c r="E39" s="335" t="s">
        <v>147</v>
      </c>
      <c r="F39" s="337">
        <v>1809.32</v>
      </c>
      <c r="G39" s="338" t="s">
        <v>148</v>
      </c>
      <c r="H39" s="338" t="s">
        <v>158</v>
      </c>
    </row>
    <row r="40" spans="1:8" x14ac:dyDescent="0.3">
      <c r="A40" s="333" t="s">
        <v>145</v>
      </c>
      <c r="B40" s="334" t="s">
        <v>429</v>
      </c>
      <c r="C40" s="335" t="s">
        <v>146</v>
      </c>
      <c r="D40" s="446">
        <v>135466</v>
      </c>
      <c r="E40" s="335" t="s">
        <v>147</v>
      </c>
      <c r="F40" s="337">
        <v>55.9</v>
      </c>
      <c r="G40" s="338" t="s">
        <v>148</v>
      </c>
      <c r="H40" s="338" t="s">
        <v>158</v>
      </c>
    </row>
    <row r="41" spans="1:8" x14ac:dyDescent="0.3">
      <c r="A41" s="333" t="s">
        <v>145</v>
      </c>
      <c r="B41" s="334" t="s">
        <v>430</v>
      </c>
      <c r="C41" s="335" t="s">
        <v>146</v>
      </c>
      <c r="D41" s="446">
        <v>135626</v>
      </c>
      <c r="E41" s="335" t="s">
        <v>147</v>
      </c>
      <c r="F41" s="337">
        <v>45.08</v>
      </c>
      <c r="G41" s="338" t="s">
        <v>148</v>
      </c>
      <c r="H41" s="338" t="s">
        <v>158</v>
      </c>
    </row>
    <row r="42" spans="1:8" x14ac:dyDescent="0.3">
      <c r="A42" s="333" t="s">
        <v>145</v>
      </c>
      <c r="B42" s="334" t="s">
        <v>430</v>
      </c>
      <c r="C42" s="335" t="s">
        <v>146</v>
      </c>
      <c r="D42" s="446">
        <v>135629</v>
      </c>
      <c r="E42" s="335" t="s">
        <v>147</v>
      </c>
      <c r="F42" s="337">
        <v>4.45</v>
      </c>
      <c r="G42" s="338" t="s">
        <v>148</v>
      </c>
      <c r="H42" s="338" t="s">
        <v>158</v>
      </c>
    </row>
    <row r="43" spans="1:8" x14ac:dyDescent="0.3">
      <c r="A43" s="333" t="s">
        <v>145</v>
      </c>
      <c r="B43" s="334" t="s">
        <v>439</v>
      </c>
      <c r="C43" s="335" t="s">
        <v>146</v>
      </c>
      <c r="D43" s="446">
        <v>136504</v>
      </c>
      <c r="E43" s="335" t="s">
        <v>147</v>
      </c>
      <c r="F43" s="337">
        <v>114.57</v>
      </c>
      <c r="G43" s="338" t="s">
        <v>148</v>
      </c>
      <c r="H43" s="338" t="s">
        <v>158</v>
      </c>
    </row>
    <row r="44" spans="1:8" x14ac:dyDescent="0.3">
      <c r="A44" s="333" t="s">
        <v>145</v>
      </c>
      <c r="B44" s="334" t="s">
        <v>439</v>
      </c>
      <c r="C44" s="335" t="s">
        <v>146</v>
      </c>
      <c r="D44" s="446">
        <v>136505</v>
      </c>
      <c r="E44" s="335" t="s">
        <v>147</v>
      </c>
      <c r="F44" s="337">
        <v>18.52</v>
      </c>
      <c r="G44" s="338" t="s">
        <v>148</v>
      </c>
      <c r="H44" s="338" t="s">
        <v>158</v>
      </c>
    </row>
    <row r="45" spans="1:8" x14ac:dyDescent="0.3">
      <c r="A45" s="333" t="s">
        <v>145</v>
      </c>
      <c r="B45" s="334" t="s">
        <v>439</v>
      </c>
      <c r="C45" s="335" t="s">
        <v>146</v>
      </c>
      <c r="D45" s="446">
        <v>136507</v>
      </c>
      <c r="E45" s="335" t="s">
        <v>147</v>
      </c>
      <c r="F45" s="337">
        <v>4.83</v>
      </c>
      <c r="G45" s="338" t="s">
        <v>148</v>
      </c>
      <c r="H45" s="338" t="s">
        <v>158</v>
      </c>
    </row>
    <row r="46" spans="1:8" x14ac:dyDescent="0.3">
      <c r="A46" s="333" t="s">
        <v>145</v>
      </c>
      <c r="B46" s="334" t="s">
        <v>439</v>
      </c>
      <c r="C46" s="335" t="s">
        <v>146</v>
      </c>
      <c r="D46" s="446">
        <v>136508</v>
      </c>
      <c r="E46" s="335" t="s">
        <v>147</v>
      </c>
      <c r="F46" s="337">
        <v>25.23</v>
      </c>
      <c r="G46" s="338" t="s">
        <v>148</v>
      </c>
      <c r="H46" s="338" t="s">
        <v>158</v>
      </c>
    </row>
    <row r="47" spans="1:8" x14ac:dyDescent="0.3">
      <c r="A47" s="333" t="s">
        <v>145</v>
      </c>
      <c r="B47" s="334" t="s">
        <v>439</v>
      </c>
      <c r="C47" s="335" t="s">
        <v>146</v>
      </c>
      <c r="D47" s="446">
        <v>136509</v>
      </c>
      <c r="E47" s="335" t="s">
        <v>147</v>
      </c>
      <c r="F47" s="337">
        <v>5.95</v>
      </c>
      <c r="G47" s="338" t="s">
        <v>148</v>
      </c>
      <c r="H47" s="338" t="s">
        <v>158</v>
      </c>
    </row>
    <row r="48" spans="1:8" x14ac:dyDescent="0.3">
      <c r="A48" s="333" t="s">
        <v>145</v>
      </c>
      <c r="B48" s="334" t="s">
        <v>439</v>
      </c>
      <c r="C48" s="335" t="s">
        <v>146</v>
      </c>
      <c r="D48" s="446">
        <v>136510</v>
      </c>
      <c r="E48" s="335" t="s">
        <v>147</v>
      </c>
      <c r="F48" s="337">
        <v>18.04</v>
      </c>
      <c r="G48" s="338" t="s">
        <v>148</v>
      </c>
      <c r="H48" s="338" t="s">
        <v>158</v>
      </c>
    </row>
    <row r="49" spans="1:8" x14ac:dyDescent="0.3">
      <c r="A49" s="333" t="s">
        <v>145</v>
      </c>
      <c r="B49" s="334" t="s">
        <v>446</v>
      </c>
      <c r="C49" s="335" t="s">
        <v>146</v>
      </c>
      <c r="D49" s="446">
        <v>137730</v>
      </c>
      <c r="E49" s="335" t="s">
        <v>147</v>
      </c>
      <c r="F49" s="337">
        <v>17.920000000000002</v>
      </c>
      <c r="G49" s="338" t="s">
        <v>148</v>
      </c>
      <c r="H49" s="338" t="s">
        <v>158</v>
      </c>
    </row>
    <row r="50" spans="1:8" x14ac:dyDescent="0.3">
      <c r="A50" s="333" t="s">
        <v>145</v>
      </c>
      <c r="B50" s="334" t="s">
        <v>446</v>
      </c>
      <c r="C50" s="335" t="s">
        <v>146</v>
      </c>
      <c r="D50" s="446">
        <v>137729</v>
      </c>
      <c r="E50" s="335" t="s">
        <v>147</v>
      </c>
      <c r="F50" s="337">
        <v>14.7</v>
      </c>
      <c r="G50" s="338" t="s">
        <v>148</v>
      </c>
      <c r="H50" s="338" t="s">
        <v>158</v>
      </c>
    </row>
    <row r="51" spans="1:8" x14ac:dyDescent="0.3">
      <c r="A51" s="333" t="s">
        <v>145</v>
      </c>
      <c r="B51" s="334" t="s">
        <v>446</v>
      </c>
      <c r="C51" s="335" t="s">
        <v>146</v>
      </c>
      <c r="D51" s="446">
        <v>137728</v>
      </c>
      <c r="E51" s="335" t="s">
        <v>147</v>
      </c>
      <c r="F51" s="337">
        <v>218.53</v>
      </c>
      <c r="G51" s="338" t="s">
        <v>148</v>
      </c>
      <c r="H51" s="338" t="s">
        <v>158</v>
      </c>
    </row>
    <row r="52" spans="1:8" x14ac:dyDescent="0.3">
      <c r="A52" s="333"/>
      <c r="B52" s="334"/>
      <c r="C52" s="335"/>
      <c r="D52" s="446"/>
      <c r="E52" s="425"/>
      <c r="F52" s="337"/>
      <c r="G52" s="338"/>
      <c r="H52" s="338"/>
    </row>
    <row r="53" spans="1:8" ht="15" thickBot="1" x14ac:dyDescent="0.35">
      <c r="F53" s="374">
        <f>SUM(F7:F51)</f>
        <v>35104.259999999995</v>
      </c>
    </row>
    <row r="54" spans="1:8" ht="15" thickTop="1" x14ac:dyDescent="0.3"/>
    <row r="55" spans="1:8" x14ac:dyDescent="0.3">
      <c r="A55" s="447" t="s">
        <v>434</v>
      </c>
    </row>
  </sheetData>
  <autoFilter ref="A6:H6" xr:uid="{00000000-0009-0000-0000-00001D000000}">
    <sortState xmlns:xlrd2="http://schemas.microsoft.com/office/spreadsheetml/2017/richdata2" ref="A7:H38">
      <sortCondition ref="D6"/>
    </sortState>
  </autoFilter>
  <hyperlinks>
    <hyperlink ref="A1" location="'C.5.11.1 F&amp;W Register'!A1" display="Back to MFMA-7.1 F&amp;W Register"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1.4414062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423</v>
      </c>
      <c r="C7" s="291" t="s">
        <v>424</v>
      </c>
      <c r="D7" s="296">
        <v>134943</v>
      </c>
      <c r="E7" s="425" t="s">
        <v>147</v>
      </c>
      <c r="F7" s="278">
        <v>208401.13</v>
      </c>
      <c r="G7" s="295" t="s">
        <v>148</v>
      </c>
      <c r="H7" s="338" t="s">
        <v>158</v>
      </c>
    </row>
    <row r="8" spans="1:8" s="80" customFormat="1" x14ac:dyDescent="0.3">
      <c r="A8" s="289"/>
      <c r="B8" s="290"/>
      <c r="C8" s="291"/>
      <c r="D8" s="296"/>
      <c r="E8" s="425"/>
      <c r="F8" s="278"/>
      <c r="G8" s="295"/>
      <c r="H8" s="338"/>
    </row>
    <row r="9" spans="1:8" ht="15" thickBot="1" x14ac:dyDescent="0.35">
      <c r="F9" s="374">
        <f>SUM(F7:F8)</f>
        <v>208401.13</v>
      </c>
    </row>
    <row r="10" spans="1:8" ht="15" thickTop="1" x14ac:dyDescent="0.3"/>
  </sheetData>
  <hyperlinks>
    <hyperlink ref="A1" location="'C.5.11.1 F&amp;W Register'!A1" display="Back to MFMA-7.1 F&amp;W Register"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H10"/>
  <sheetViews>
    <sheetView workbookViewId="0">
      <selection activeCell="D8" sqref="D8"/>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1.4414062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334</v>
      </c>
      <c r="C7" s="291" t="s">
        <v>96</v>
      </c>
      <c r="D7" s="296">
        <v>128803</v>
      </c>
      <c r="E7" s="425" t="s">
        <v>147</v>
      </c>
      <c r="F7" s="278">
        <v>303.57</v>
      </c>
      <c r="G7" s="295" t="s">
        <v>148</v>
      </c>
      <c r="H7" s="338" t="s">
        <v>158</v>
      </c>
    </row>
    <row r="8" spans="1:8" s="80" customFormat="1" x14ac:dyDescent="0.3">
      <c r="A8" s="289" t="s">
        <v>145</v>
      </c>
      <c r="B8" s="290" t="s">
        <v>334</v>
      </c>
      <c r="C8" s="291" t="s">
        <v>96</v>
      </c>
      <c r="D8" s="296">
        <v>128804</v>
      </c>
      <c r="E8" s="425" t="s">
        <v>147</v>
      </c>
      <c r="F8" s="278">
        <v>1454.61</v>
      </c>
      <c r="G8" s="295" t="s">
        <v>148</v>
      </c>
      <c r="H8" s="338" t="s">
        <v>158</v>
      </c>
    </row>
    <row r="9" spans="1:8" ht="15" thickBot="1" x14ac:dyDescent="0.35">
      <c r="F9" s="374">
        <f>SUM(F7:F8)</f>
        <v>1758.1799999999998</v>
      </c>
    </row>
    <row r="10" spans="1:8" ht="15" thickTop="1" x14ac:dyDescent="0.3"/>
  </sheetData>
  <autoFilter ref="A6:H6" xr:uid="{00000000-0009-0000-0000-00001F000000}">
    <sortState xmlns:xlrd2="http://schemas.microsoft.com/office/spreadsheetml/2017/richdata2" ref="A7:H9">
      <sortCondition ref="D6"/>
    </sortState>
  </autoFilter>
  <hyperlinks>
    <hyperlink ref="A1" location="'C.5.11.1 F&amp;W Register'!A1" display="Back to MFMA-7.1 F&amp;W Register"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000"/>
  </sheetPr>
  <dimension ref="A1:H11"/>
  <sheetViews>
    <sheetView workbookViewId="0">
      <selection activeCell="D9" sqref="D9"/>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390</v>
      </c>
      <c r="C7" s="335" t="s">
        <v>200</v>
      </c>
      <c r="D7" s="336">
        <v>128746</v>
      </c>
      <c r="E7" s="293" t="s">
        <v>147</v>
      </c>
      <c r="F7" s="337">
        <v>102.87</v>
      </c>
      <c r="G7" s="338" t="s">
        <v>148</v>
      </c>
      <c r="H7" s="338" t="s">
        <v>158</v>
      </c>
    </row>
    <row r="8" spans="1:8" x14ac:dyDescent="0.3">
      <c r="A8" s="333" t="s">
        <v>145</v>
      </c>
      <c r="B8" s="334" t="s">
        <v>391</v>
      </c>
      <c r="C8" s="335" t="s">
        <v>200</v>
      </c>
      <c r="D8" s="336">
        <v>133423</v>
      </c>
      <c r="E8" s="293" t="s">
        <v>147</v>
      </c>
      <c r="F8" s="337">
        <v>2.5299999999999998</v>
      </c>
      <c r="G8" s="338" t="s">
        <v>148</v>
      </c>
      <c r="H8" s="338" t="s">
        <v>158</v>
      </c>
    </row>
    <row r="9" spans="1:8" x14ac:dyDescent="0.3">
      <c r="A9" s="333" t="s">
        <v>145</v>
      </c>
      <c r="B9" s="334" t="s">
        <v>404</v>
      </c>
      <c r="C9" s="335" t="s">
        <v>200</v>
      </c>
      <c r="D9" s="336">
        <v>133939</v>
      </c>
      <c r="E9" s="297" t="s">
        <v>147</v>
      </c>
      <c r="F9" s="337">
        <v>230.70999999999998</v>
      </c>
      <c r="G9" s="338" t="s">
        <v>148</v>
      </c>
      <c r="H9" s="338" t="s">
        <v>158</v>
      </c>
    </row>
    <row r="10" spans="1:8" ht="15" thickBot="1" x14ac:dyDescent="0.35">
      <c r="F10" s="374">
        <f>SUM(F7:F9)</f>
        <v>336.11</v>
      </c>
    </row>
    <row r="11" spans="1:8" ht="15" thickTop="1" x14ac:dyDescent="0.3"/>
  </sheetData>
  <hyperlinks>
    <hyperlink ref="A1" location="'C.5.11.1 F&amp;W Register'!A1" display="Back to MFMA-7.1 F&amp;W Register"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392</v>
      </c>
      <c r="C7" s="335" t="s">
        <v>393</v>
      </c>
      <c r="D7" s="336">
        <v>133158</v>
      </c>
      <c r="E7" s="293" t="s">
        <v>147</v>
      </c>
      <c r="F7" s="337">
        <v>37869.39</v>
      </c>
      <c r="G7" s="338" t="s">
        <v>148</v>
      </c>
      <c r="H7" s="338" t="s">
        <v>158</v>
      </c>
    </row>
    <row r="8" spans="1:8" x14ac:dyDescent="0.3">
      <c r="A8" s="333" t="s">
        <v>145</v>
      </c>
      <c r="B8" s="334"/>
      <c r="C8" s="335"/>
      <c r="D8" s="336"/>
      <c r="E8" s="293"/>
      <c r="F8" s="337"/>
      <c r="G8" s="338"/>
      <c r="H8" s="338"/>
    </row>
    <row r="9" spans="1:8" ht="15" thickBot="1" x14ac:dyDescent="0.35">
      <c r="F9" s="374">
        <f>SUM(F7:F8)</f>
        <v>37869.39</v>
      </c>
    </row>
    <row r="10" spans="1:8" ht="15" thickTop="1" x14ac:dyDescent="0.3"/>
  </sheetData>
  <hyperlinks>
    <hyperlink ref="A1" location="'C.5.11.1 F&amp;W Register'!A1" display="Back to MFMA-7.1 F&amp;W Register"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00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435</v>
      </c>
      <c r="C7" s="335" t="s">
        <v>436</v>
      </c>
      <c r="D7" s="336">
        <v>130077</v>
      </c>
      <c r="E7" s="293" t="s">
        <v>147</v>
      </c>
      <c r="F7" s="337">
        <v>12004.21</v>
      </c>
      <c r="G7" s="338" t="s">
        <v>148</v>
      </c>
      <c r="H7" s="338" t="s">
        <v>158</v>
      </c>
    </row>
    <row r="8" spans="1:8" x14ac:dyDescent="0.3">
      <c r="A8" s="333" t="s">
        <v>145</v>
      </c>
      <c r="B8" s="334"/>
      <c r="C8" s="335"/>
      <c r="D8" s="336"/>
      <c r="E8" s="293"/>
      <c r="F8" s="337"/>
      <c r="G8" s="338"/>
      <c r="H8" s="338"/>
    </row>
    <row r="9" spans="1:8" ht="15" thickBot="1" x14ac:dyDescent="0.35">
      <c r="F9" s="374">
        <f>SUM(F7:F8)</f>
        <v>12004.21</v>
      </c>
    </row>
    <row r="10" spans="1:8" ht="15" thickTop="1" x14ac:dyDescent="0.3"/>
  </sheetData>
  <hyperlinks>
    <hyperlink ref="A1" location="'C.5.11.1 F&amp;W Register'!A1" display="Back to MFMA-7.1 F&amp;W Register"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398</v>
      </c>
      <c r="C7" s="335" t="s">
        <v>399</v>
      </c>
      <c r="D7" s="336">
        <v>133867</v>
      </c>
      <c r="E7" s="293" t="s">
        <v>147</v>
      </c>
      <c r="F7" s="337">
        <v>173579</v>
      </c>
      <c r="G7" s="338" t="s">
        <v>148</v>
      </c>
      <c r="H7" s="338" t="s">
        <v>158</v>
      </c>
    </row>
    <row r="8" spans="1:8" x14ac:dyDescent="0.3">
      <c r="A8" s="333" t="s">
        <v>145</v>
      </c>
      <c r="B8" s="334"/>
      <c r="C8" s="335"/>
      <c r="D8" s="336"/>
      <c r="E8" s="293"/>
      <c r="F8" s="337"/>
      <c r="G8" s="338"/>
      <c r="H8" s="338"/>
    </row>
    <row r="9" spans="1:8" ht="15" thickBot="1" x14ac:dyDescent="0.35">
      <c r="F9" s="374">
        <f>SUM(F7:F8)</f>
        <v>173579</v>
      </c>
    </row>
    <row r="10" spans="1:8" ht="15" thickTop="1" x14ac:dyDescent="0.3"/>
  </sheetData>
  <hyperlinks>
    <hyperlink ref="A1" location="'C.5.11.1 F&amp;W Register'!A1" display="Back to MFMA-7.1 F&amp;W Register"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sheetPr>
  <dimension ref="A1:H10"/>
  <sheetViews>
    <sheetView workbookViewId="0">
      <selection sqref="A1:XFD1048576"/>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406</v>
      </c>
      <c r="C7" s="335" t="s">
        <v>407</v>
      </c>
      <c r="D7" s="336">
        <v>134166</v>
      </c>
      <c r="E7" s="293" t="s">
        <v>147</v>
      </c>
      <c r="F7" s="337">
        <v>797779.41</v>
      </c>
      <c r="G7" s="338" t="s">
        <v>148</v>
      </c>
      <c r="H7" s="338" t="s">
        <v>158</v>
      </c>
    </row>
    <row r="8" spans="1:8" x14ac:dyDescent="0.3">
      <c r="A8" s="333" t="s">
        <v>145</v>
      </c>
      <c r="B8" s="334"/>
      <c r="C8" s="335"/>
      <c r="D8" s="336"/>
      <c r="E8" s="293"/>
      <c r="F8" s="337"/>
      <c r="G8" s="338"/>
      <c r="H8" s="338"/>
    </row>
    <row r="9" spans="1:8" ht="15" thickBot="1" x14ac:dyDescent="0.35">
      <c r="F9" s="374">
        <f>SUM(F7:F8)</f>
        <v>797779.41</v>
      </c>
    </row>
    <row r="10" spans="1:8" ht="15" thickTop="1" x14ac:dyDescent="0.3"/>
  </sheetData>
  <hyperlinks>
    <hyperlink ref="A1" location="'C.5.11.1 F&amp;W Register'!A1" display="Back to MFMA-7.1 F&amp;W Register"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406</v>
      </c>
      <c r="C7" s="335" t="s">
        <v>408</v>
      </c>
      <c r="D7" s="336">
        <v>134312</v>
      </c>
      <c r="E7" s="293" t="s">
        <v>147</v>
      </c>
      <c r="F7" s="337">
        <v>151280.95999999999</v>
      </c>
      <c r="G7" s="338" t="s">
        <v>148</v>
      </c>
      <c r="H7" s="338" t="s">
        <v>158</v>
      </c>
    </row>
    <row r="8" spans="1:8" x14ac:dyDescent="0.3">
      <c r="A8" s="333" t="s">
        <v>145</v>
      </c>
      <c r="B8" s="334"/>
      <c r="C8" s="335"/>
      <c r="D8" s="336"/>
      <c r="E8" s="293"/>
      <c r="F8" s="337"/>
      <c r="G8" s="338"/>
      <c r="H8" s="338"/>
    </row>
    <row r="9" spans="1:8" ht="15" thickBot="1" x14ac:dyDescent="0.35">
      <c r="F9" s="374">
        <f>SUM(F7:F8)</f>
        <v>151280.95999999999</v>
      </c>
    </row>
    <row r="10" spans="1:8" ht="15" thickTop="1" x14ac:dyDescent="0.3"/>
  </sheetData>
  <hyperlinks>
    <hyperlink ref="A1" location="'C.5.11.1 F&amp;W Register'!A1" display="Back to MFMA-7.1 F&amp;W Register"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sheetPr>
  <dimension ref="A1:H14"/>
  <sheetViews>
    <sheetView workbookViewId="0">
      <selection activeCell="D10" sqref="D10"/>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394</v>
      </c>
      <c r="C7" s="291" t="s">
        <v>335</v>
      </c>
      <c r="D7" s="336">
        <v>133281</v>
      </c>
      <c r="E7" s="293" t="s">
        <v>147</v>
      </c>
      <c r="F7" s="337">
        <v>259.05</v>
      </c>
      <c r="G7" s="338" t="s">
        <v>148</v>
      </c>
      <c r="H7" s="338" t="s">
        <v>158</v>
      </c>
    </row>
    <row r="8" spans="1:8" x14ac:dyDescent="0.3">
      <c r="A8" s="333" t="s">
        <v>145</v>
      </c>
      <c r="B8" s="334" t="s">
        <v>395</v>
      </c>
      <c r="C8" s="335" t="s">
        <v>335</v>
      </c>
      <c r="D8" s="336">
        <v>132933</v>
      </c>
      <c r="E8" s="293" t="s">
        <v>147</v>
      </c>
      <c r="F8" s="337">
        <v>25201.06</v>
      </c>
      <c r="G8" s="338" t="s">
        <v>148</v>
      </c>
      <c r="H8" s="338" t="s">
        <v>158</v>
      </c>
    </row>
    <row r="9" spans="1:8" x14ac:dyDescent="0.3">
      <c r="A9" s="333" t="s">
        <v>145</v>
      </c>
      <c r="B9" s="334" t="s">
        <v>411</v>
      </c>
      <c r="C9" s="335" t="s">
        <v>335</v>
      </c>
      <c r="D9" s="336">
        <v>134112</v>
      </c>
      <c r="E9" s="297" t="s">
        <v>147</v>
      </c>
      <c r="F9" s="337">
        <v>1.91</v>
      </c>
      <c r="G9" s="338" t="s">
        <v>148</v>
      </c>
      <c r="H9" s="338" t="s">
        <v>158</v>
      </c>
    </row>
    <row r="10" spans="1:8" x14ac:dyDescent="0.3">
      <c r="A10" s="333" t="s">
        <v>145</v>
      </c>
      <c r="B10" s="334" t="s">
        <v>410</v>
      </c>
      <c r="C10" s="335" t="s">
        <v>335</v>
      </c>
      <c r="D10" s="336">
        <v>134372</v>
      </c>
      <c r="E10" s="297" t="s">
        <v>147</v>
      </c>
      <c r="F10" s="337">
        <v>3.4</v>
      </c>
      <c r="G10" s="338" t="s">
        <v>148</v>
      </c>
      <c r="H10" s="338" t="s">
        <v>158</v>
      </c>
    </row>
    <row r="11" spans="1:8" x14ac:dyDescent="0.3">
      <c r="A11" s="333"/>
      <c r="B11" s="334"/>
      <c r="C11" s="335"/>
      <c r="D11" s="336"/>
      <c r="E11" s="297"/>
      <c r="F11" s="337"/>
      <c r="G11" s="338"/>
      <c r="H11" s="338"/>
    </row>
    <row r="12" spans="1:8" x14ac:dyDescent="0.3">
      <c r="A12" s="333"/>
      <c r="B12" s="334"/>
      <c r="C12" s="335"/>
      <c r="D12" s="336"/>
      <c r="E12" s="297"/>
      <c r="F12" s="337"/>
      <c r="G12" s="338"/>
      <c r="H12" s="338"/>
    </row>
    <row r="13" spans="1:8" ht="15" thickBot="1" x14ac:dyDescent="0.35">
      <c r="F13" s="374">
        <f>SUM(F7:F12)</f>
        <v>25465.420000000002</v>
      </c>
    </row>
    <row r="14" spans="1:8" ht="15" thickTop="1" x14ac:dyDescent="0.3"/>
  </sheetData>
  <hyperlinks>
    <hyperlink ref="A1" location="'C.5.11.1 F&amp;W Register'!A1" display="Back to MFMA-7.1 F&amp;W Register"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0"/>
  <sheetViews>
    <sheetView tabSelected="1" zoomScale="90" zoomScaleNormal="90" zoomScaleSheetLayoutView="90" workbookViewId="0"/>
  </sheetViews>
  <sheetFormatPr defaultRowHeight="14.4" x14ac:dyDescent="0.3"/>
  <cols>
    <col min="1" max="1" width="1.109375" style="1" customWidth="1"/>
    <col min="2" max="2" width="13.33203125" customWidth="1"/>
    <col min="3" max="3" width="101.6640625" customWidth="1"/>
    <col min="4" max="4" width="19.88671875" style="683" customWidth="1"/>
    <col min="5" max="6" width="19.88671875" style="1" customWidth="1"/>
    <col min="7" max="7" width="16.5546875" bestFit="1" customWidth="1"/>
    <col min="8" max="8" width="15.6640625" bestFit="1" customWidth="1"/>
    <col min="9" max="9" width="15" bestFit="1" customWidth="1"/>
    <col min="10" max="10" width="9.88671875" customWidth="1"/>
  </cols>
  <sheetData>
    <row r="1" spans="2:10" s="1" customFormat="1" ht="6" customHeight="1" thickBot="1" x14ac:dyDescent="0.35">
      <c r="B1" s="85"/>
      <c r="C1" s="86"/>
      <c r="D1" s="664"/>
      <c r="E1" s="87"/>
      <c r="F1" s="87"/>
      <c r="G1" s="15"/>
      <c r="H1" s="88"/>
      <c r="I1" s="88"/>
      <c r="J1" s="13"/>
    </row>
    <row r="2" spans="2:10" s="1" customFormat="1" ht="39.75" customHeight="1" x14ac:dyDescent="0.4">
      <c r="B2" s="6"/>
      <c r="C2" s="7"/>
      <c r="D2" s="665"/>
      <c r="E2" s="9" t="s">
        <v>2</v>
      </c>
      <c r="F2" s="684" t="s">
        <v>364</v>
      </c>
      <c r="G2" s="241"/>
      <c r="H2" s="241" t="s">
        <v>81</v>
      </c>
      <c r="I2" s="241" t="s">
        <v>81</v>
      </c>
      <c r="J2" s="241"/>
    </row>
    <row r="3" spans="2:10" s="1" customFormat="1" x14ac:dyDescent="0.3">
      <c r="B3" s="10"/>
      <c r="C3" s="11"/>
      <c r="D3" s="666"/>
      <c r="E3" s="12" t="s">
        <v>3</v>
      </c>
      <c r="F3" s="225" t="s">
        <v>255</v>
      </c>
      <c r="G3" s="90"/>
      <c r="H3" s="90" t="s">
        <v>81</v>
      </c>
      <c r="I3" s="90" t="s">
        <v>81</v>
      </c>
      <c r="J3" s="242"/>
    </row>
    <row r="4" spans="2:10" s="1" customFormat="1" x14ac:dyDescent="0.3">
      <c r="B4" s="10"/>
      <c r="C4" s="11"/>
      <c r="D4" s="666"/>
      <c r="E4" s="12" t="s">
        <v>4</v>
      </c>
      <c r="F4" s="633">
        <f ca="1">NOW()</f>
        <v>43857.495622106479</v>
      </c>
      <c r="G4" s="254"/>
      <c r="H4" s="238" t="s">
        <v>81</v>
      </c>
      <c r="I4" s="238" t="s">
        <v>81</v>
      </c>
      <c r="J4" s="242"/>
    </row>
    <row r="5" spans="2:10" s="1" customFormat="1" x14ac:dyDescent="0.3">
      <c r="B5" s="10"/>
      <c r="C5" s="11"/>
      <c r="D5" s="666"/>
      <c r="E5" s="12" t="s">
        <v>5</v>
      </c>
      <c r="F5" s="634"/>
      <c r="G5" s="12"/>
      <c r="H5" s="90"/>
      <c r="I5" s="90"/>
      <c r="J5" s="242"/>
    </row>
    <row r="6" spans="2:10" s="1" customFormat="1" x14ac:dyDescent="0.3">
      <c r="B6" s="10"/>
      <c r="C6" s="11"/>
      <c r="D6" s="666"/>
      <c r="E6" s="12" t="s">
        <v>4</v>
      </c>
      <c r="F6" s="634"/>
      <c r="G6" s="12"/>
      <c r="H6" s="91"/>
      <c r="I6" s="91"/>
      <c r="J6" s="242"/>
    </row>
    <row r="7" spans="2:10" s="1" customFormat="1" x14ac:dyDescent="0.3">
      <c r="B7" s="10" t="s">
        <v>132</v>
      </c>
      <c r="C7" s="13" t="s">
        <v>133</v>
      </c>
      <c r="D7" s="666"/>
      <c r="E7" s="13"/>
      <c r="F7" s="19"/>
      <c r="G7" s="13"/>
      <c r="H7" s="12"/>
      <c r="I7" s="15"/>
      <c r="J7" s="242"/>
    </row>
    <row r="8" spans="2:10" s="1" customFormat="1" x14ac:dyDescent="0.3">
      <c r="B8" s="10" t="s">
        <v>6</v>
      </c>
      <c r="C8" s="17" t="s">
        <v>621</v>
      </c>
      <c r="D8" s="666"/>
      <c r="E8" s="13"/>
      <c r="F8" s="19"/>
      <c r="G8" s="13"/>
      <c r="H8" s="12"/>
      <c r="I8" s="15"/>
      <c r="J8" s="242"/>
    </row>
    <row r="9" spans="2:10" s="1" customFormat="1" x14ac:dyDescent="0.3">
      <c r="B9" s="10" t="s">
        <v>7</v>
      </c>
      <c r="C9" s="13" t="s">
        <v>620</v>
      </c>
      <c r="D9" s="666"/>
      <c r="E9" s="13"/>
      <c r="F9" s="19"/>
      <c r="G9" s="13"/>
      <c r="H9" s="13"/>
      <c r="I9" s="13"/>
      <c r="J9" s="13"/>
    </row>
    <row r="10" spans="2:10" s="1" customFormat="1" ht="15" thickBot="1" x14ac:dyDescent="0.35">
      <c r="B10" s="20"/>
      <c r="C10" s="21"/>
      <c r="D10" s="667"/>
      <c r="E10" s="21"/>
      <c r="F10" s="22"/>
      <c r="G10" s="13"/>
      <c r="H10" s="13"/>
      <c r="I10" s="13"/>
      <c r="J10" s="13"/>
    </row>
    <row r="11" spans="2:10" s="1" customFormat="1" ht="15" thickBot="1" x14ac:dyDescent="0.35">
      <c r="B11" s="635"/>
      <c r="C11" s="92"/>
      <c r="D11" s="668"/>
      <c r="E11" s="85"/>
      <c r="F11" s="636"/>
      <c r="G11" s="93"/>
      <c r="H11" s="94"/>
      <c r="I11" s="95"/>
      <c r="J11" s="13"/>
    </row>
    <row r="12" spans="2:10" ht="15" customHeight="1" x14ac:dyDescent="0.3">
      <c r="B12" s="183"/>
      <c r="C12" s="184"/>
      <c r="D12" s="669"/>
      <c r="E12" s="810" t="s">
        <v>75</v>
      </c>
      <c r="F12" s="811"/>
      <c r="G12" s="243"/>
      <c r="H12" s="244"/>
      <c r="I12" s="243"/>
      <c r="J12" s="243"/>
    </row>
    <row r="13" spans="2:10" x14ac:dyDescent="0.3">
      <c r="B13" s="637" t="s">
        <v>76</v>
      </c>
      <c r="C13" s="185"/>
      <c r="D13" s="234"/>
      <c r="E13" s="186">
        <v>2019</v>
      </c>
      <c r="F13" s="638">
        <v>2018</v>
      </c>
      <c r="G13" s="235"/>
      <c r="H13" s="235"/>
      <c r="I13" s="243"/>
      <c r="J13" s="243"/>
    </row>
    <row r="14" spans="2:10" x14ac:dyDescent="0.3">
      <c r="B14" s="639"/>
      <c r="C14" s="187"/>
      <c r="D14" s="235"/>
      <c r="E14" s="188" t="s">
        <v>26</v>
      </c>
      <c r="F14" s="640" t="s">
        <v>26</v>
      </c>
      <c r="G14" s="235"/>
      <c r="H14" s="235"/>
      <c r="I14" s="243"/>
      <c r="J14" s="243"/>
    </row>
    <row r="15" spans="2:10" x14ac:dyDescent="0.3">
      <c r="B15" s="641"/>
      <c r="C15" s="187"/>
      <c r="D15" s="670"/>
      <c r="E15" s="189"/>
      <c r="F15" s="642"/>
      <c r="G15" s="236"/>
      <c r="H15" s="193"/>
      <c r="I15" s="243"/>
      <c r="J15" s="243"/>
    </row>
    <row r="16" spans="2:10" x14ac:dyDescent="0.3">
      <c r="B16" s="643" t="s">
        <v>77</v>
      </c>
      <c r="C16" s="187"/>
      <c r="D16" s="670"/>
      <c r="E16" s="189"/>
      <c r="F16" s="642"/>
      <c r="G16" s="236"/>
      <c r="H16" s="193"/>
    </row>
    <row r="17" spans="2:8" x14ac:dyDescent="0.3">
      <c r="B17" s="641" t="s">
        <v>1</v>
      </c>
      <c r="C17" s="187"/>
      <c r="D17" s="670"/>
      <c r="E17" s="189">
        <f>F21</f>
        <v>69685700.674999997</v>
      </c>
      <c r="F17" s="642">
        <v>43261014</v>
      </c>
      <c r="G17" s="236"/>
      <c r="H17" s="236"/>
    </row>
    <row r="18" spans="2:8" s="1" customFormat="1" x14ac:dyDescent="0.3">
      <c r="B18" s="641" t="s">
        <v>863</v>
      </c>
      <c r="C18" s="187"/>
      <c r="D18" s="670"/>
      <c r="E18" s="189">
        <v>21184</v>
      </c>
      <c r="F18" s="642"/>
      <c r="G18" s="236"/>
      <c r="H18" s="236"/>
    </row>
    <row r="19" spans="2:8" x14ac:dyDescent="0.3">
      <c r="B19" s="641" t="s">
        <v>866</v>
      </c>
      <c r="C19" s="187"/>
      <c r="D19" s="670"/>
      <c r="E19" s="775">
        <f>'C.5.11.1 F&amp;W Register'!C165</f>
        <v>8958980.4100000001</v>
      </c>
      <c r="F19" s="642">
        <f>'C.5.11.1 F&amp;W Register'!C143</f>
        <v>26424686.675000001</v>
      </c>
      <c r="G19" s="236"/>
      <c r="H19" s="236"/>
    </row>
    <row r="20" spans="2:8" s="1" customFormat="1" x14ac:dyDescent="0.3">
      <c r="B20" s="641" t="s">
        <v>864</v>
      </c>
      <c r="C20" s="187"/>
      <c r="D20" s="670"/>
      <c r="E20" s="189">
        <v>-12247</v>
      </c>
      <c r="F20" s="642"/>
      <c r="G20" s="236"/>
      <c r="H20" s="236"/>
    </row>
    <row r="21" spans="2:8" ht="15" thickBot="1" x14ac:dyDescent="0.35">
      <c r="B21" s="644" t="s">
        <v>865</v>
      </c>
      <c r="C21" s="191"/>
      <c r="D21" s="671"/>
      <c r="E21" s="192">
        <f>SUM(E17:E20)</f>
        <v>78653618.084999993</v>
      </c>
      <c r="F21" s="645">
        <f>SUM(F17:F20)</f>
        <v>69685700.674999997</v>
      </c>
      <c r="G21" s="245"/>
      <c r="H21" s="245"/>
    </row>
    <row r="22" spans="2:8" s="1" customFormat="1" ht="15" thickTop="1" x14ac:dyDescent="0.3">
      <c r="B22" s="641"/>
      <c r="C22" s="187"/>
      <c r="D22" s="672"/>
      <c r="E22" s="245"/>
      <c r="F22" s="646"/>
      <c r="G22" s="245"/>
      <c r="H22" s="245"/>
    </row>
    <row r="23" spans="2:8" s="1" customFormat="1" ht="40.200000000000003" x14ac:dyDescent="0.3">
      <c r="B23" s="647"/>
      <c r="C23" s="187"/>
      <c r="D23" s="379" t="s">
        <v>78</v>
      </c>
      <c r="E23" s="397"/>
      <c r="F23" s="648"/>
      <c r="G23" s="245"/>
      <c r="H23" s="245"/>
    </row>
    <row r="24" spans="2:8" s="1" customFormat="1" x14ac:dyDescent="0.3">
      <c r="B24" s="647" t="s">
        <v>650</v>
      </c>
      <c r="C24" s="187"/>
      <c r="F24" s="648"/>
      <c r="G24" s="245"/>
      <c r="H24" s="245"/>
    </row>
    <row r="25" spans="2:8" s="1" customFormat="1" x14ac:dyDescent="0.3">
      <c r="B25" s="641" t="s">
        <v>653</v>
      </c>
      <c r="C25" s="187"/>
      <c r="D25" s="673" t="s">
        <v>107</v>
      </c>
      <c r="E25" s="776">
        <f>'C.5.11.1 F&amp;W Register'!C146</f>
        <v>121709.75000000001</v>
      </c>
      <c r="F25" s="648"/>
      <c r="G25" s="245"/>
      <c r="H25" s="245"/>
    </row>
    <row r="26" spans="2:8" s="1" customFormat="1" x14ac:dyDescent="0.3">
      <c r="B26" s="641" t="s">
        <v>105</v>
      </c>
      <c r="C26" s="187"/>
      <c r="D26" s="673" t="s">
        <v>107</v>
      </c>
      <c r="E26" s="776">
        <f>'C.5.11.1 F&amp;W Register'!C147</f>
        <v>86335.52</v>
      </c>
      <c r="F26" s="648"/>
      <c r="G26" s="245"/>
      <c r="H26" s="245"/>
    </row>
    <row r="27" spans="2:8" s="1" customFormat="1" x14ac:dyDescent="0.3">
      <c r="B27" s="641" t="s">
        <v>657</v>
      </c>
      <c r="C27" s="187"/>
      <c r="D27" s="673" t="s">
        <v>107</v>
      </c>
      <c r="E27" s="776">
        <f>'C.5.11.1 F&amp;W Register'!C148</f>
        <v>207608.4</v>
      </c>
      <c r="F27" s="648"/>
      <c r="G27" s="245"/>
      <c r="H27" s="245"/>
    </row>
    <row r="28" spans="2:8" s="1" customFormat="1" x14ac:dyDescent="0.3">
      <c r="B28" s="641" t="s">
        <v>665</v>
      </c>
      <c r="C28" s="187"/>
      <c r="D28" s="673" t="s">
        <v>107</v>
      </c>
      <c r="E28" s="776">
        <f>'C.5.11.1 F&amp;W Register'!C149</f>
        <v>1635.66</v>
      </c>
      <c r="F28" s="648"/>
      <c r="G28" s="245"/>
      <c r="H28" s="245"/>
    </row>
    <row r="29" spans="2:8" s="1" customFormat="1" x14ac:dyDescent="0.3">
      <c r="B29" s="641" t="s">
        <v>685</v>
      </c>
      <c r="C29" s="187"/>
      <c r="D29" s="673" t="s">
        <v>107</v>
      </c>
      <c r="E29" s="776">
        <f>'C.5.11.1 F&amp;W Register'!C153</f>
        <v>571085.66</v>
      </c>
      <c r="F29" s="648"/>
      <c r="G29" s="245"/>
      <c r="H29" s="245"/>
    </row>
    <row r="30" spans="2:8" s="1" customFormat="1" x14ac:dyDescent="0.3">
      <c r="B30" s="641" t="s">
        <v>686</v>
      </c>
      <c r="C30" s="187"/>
      <c r="D30" s="673" t="s">
        <v>107</v>
      </c>
      <c r="E30" s="776">
        <f>'C.5.11.1 F&amp;W Register'!C150</f>
        <v>2725404.1</v>
      </c>
      <c r="F30" s="648"/>
      <c r="G30" s="245"/>
      <c r="H30" s="245"/>
    </row>
    <row r="31" spans="2:8" s="1" customFormat="1" x14ac:dyDescent="0.3">
      <c r="B31" s="641" t="s">
        <v>687</v>
      </c>
      <c r="C31" s="187"/>
      <c r="D31" s="673" t="s">
        <v>107</v>
      </c>
      <c r="E31" s="776">
        <f>'C.5.11.1 F&amp;W Register'!C151</f>
        <v>250268.24</v>
      </c>
      <c r="F31" s="648"/>
      <c r="G31" s="245"/>
      <c r="H31" s="245"/>
    </row>
    <row r="32" spans="2:8" s="1" customFormat="1" x14ac:dyDescent="0.3">
      <c r="B32" s="641" t="s">
        <v>688</v>
      </c>
      <c r="C32" s="187"/>
      <c r="D32" s="673" t="s">
        <v>107</v>
      </c>
      <c r="E32" s="776">
        <f>'C.5.11.1 F&amp;W Register'!C152</f>
        <v>793871.98</v>
      </c>
      <c r="F32" s="648"/>
      <c r="G32" s="245"/>
      <c r="H32" s="245"/>
    </row>
    <row r="33" spans="2:8" s="1" customFormat="1" x14ac:dyDescent="0.3">
      <c r="B33" s="641" t="s">
        <v>184</v>
      </c>
      <c r="C33" s="187"/>
      <c r="D33" s="673" t="s">
        <v>107</v>
      </c>
      <c r="E33" s="776">
        <f>'SARS - PAYE'!F9</f>
        <v>7771.13</v>
      </c>
      <c r="F33" s="648"/>
      <c r="G33" s="245"/>
      <c r="H33" s="245"/>
    </row>
    <row r="34" spans="2:8" s="1" customFormat="1" x14ac:dyDescent="0.3">
      <c r="B34" s="641" t="s">
        <v>697</v>
      </c>
      <c r="C34" s="187"/>
      <c r="D34" s="673" t="s">
        <v>107</v>
      </c>
      <c r="E34" s="776">
        <f>'C.5.11.1 F&amp;W Register'!C155</f>
        <v>195193.68</v>
      </c>
      <c r="F34" s="648"/>
      <c r="G34" s="245"/>
      <c r="H34" s="245"/>
    </row>
    <row r="35" spans="2:8" s="1" customFormat="1" x14ac:dyDescent="0.3">
      <c r="B35" s="641" t="s">
        <v>700</v>
      </c>
      <c r="C35" s="187"/>
      <c r="D35" s="673" t="s">
        <v>107</v>
      </c>
      <c r="E35" s="776">
        <f>'C.5.11.1 F&amp;W Register'!C156</f>
        <v>1474.16</v>
      </c>
      <c r="F35" s="648"/>
      <c r="G35" s="245"/>
      <c r="H35" s="245"/>
    </row>
    <row r="36" spans="2:8" s="1" customFormat="1" x14ac:dyDescent="0.3">
      <c r="B36" s="641" t="s">
        <v>831</v>
      </c>
      <c r="C36" s="187"/>
      <c r="D36" s="673" t="s">
        <v>107</v>
      </c>
      <c r="E36" s="776">
        <f>'C.5.11.1 F&amp;W Register'!C157</f>
        <v>67134.21999999971</v>
      </c>
      <c r="F36" s="648"/>
      <c r="G36" s="245"/>
      <c r="H36" s="245"/>
    </row>
    <row r="37" spans="2:8" s="1" customFormat="1" x14ac:dyDescent="0.3">
      <c r="B37" s="641" t="s">
        <v>832</v>
      </c>
      <c r="C37" s="187"/>
      <c r="D37" s="673" t="s">
        <v>107</v>
      </c>
      <c r="E37" s="776">
        <f>'C.5.11.1 F&amp;W Register'!C158</f>
        <v>7200.0199999999995</v>
      </c>
      <c r="F37" s="648"/>
      <c r="G37" s="245"/>
      <c r="H37" s="245"/>
    </row>
    <row r="38" spans="2:8" s="1" customFormat="1" x14ac:dyDescent="0.3">
      <c r="B38" s="641" t="s">
        <v>833</v>
      </c>
      <c r="C38" s="187"/>
      <c r="D38" s="673" t="s">
        <v>107</v>
      </c>
      <c r="E38" s="776">
        <f>'C.5.11.1 F&amp;W Register'!C159</f>
        <v>205791.94</v>
      </c>
      <c r="F38" s="648"/>
      <c r="G38" s="245"/>
      <c r="H38" s="245"/>
    </row>
    <row r="39" spans="2:8" s="1" customFormat="1" x14ac:dyDescent="0.3">
      <c r="B39" s="641" t="s">
        <v>849</v>
      </c>
      <c r="C39" s="187"/>
      <c r="D39" s="673" t="s">
        <v>107</v>
      </c>
      <c r="E39" s="776">
        <f>'C.5.11.1 F&amp;W Register'!C160</f>
        <v>424</v>
      </c>
      <c r="F39" s="648"/>
      <c r="G39" s="245"/>
      <c r="H39" s="245"/>
    </row>
    <row r="40" spans="2:8" s="1" customFormat="1" x14ac:dyDescent="0.3">
      <c r="B40" s="641" t="s">
        <v>850</v>
      </c>
      <c r="C40" s="187"/>
      <c r="D40" s="673" t="s">
        <v>107</v>
      </c>
      <c r="E40" s="776">
        <f>'C.5.11.1 F&amp;W Register'!C161</f>
        <v>125</v>
      </c>
      <c r="F40" s="648"/>
      <c r="G40" s="245"/>
      <c r="H40" s="245"/>
    </row>
    <row r="41" spans="2:8" s="1" customFormat="1" x14ac:dyDescent="0.3">
      <c r="B41" s="778" t="s">
        <v>883</v>
      </c>
      <c r="C41" s="187"/>
      <c r="D41" s="673" t="s">
        <v>107</v>
      </c>
      <c r="E41" s="776">
        <f>'C.5.11.1 F&amp;W Register'!C162</f>
        <v>453329.45</v>
      </c>
      <c r="F41" s="648"/>
      <c r="G41" s="245"/>
      <c r="H41" s="245"/>
    </row>
    <row r="42" spans="2:8" s="1" customFormat="1" x14ac:dyDescent="0.3">
      <c r="B42" s="779" t="s">
        <v>882</v>
      </c>
      <c r="C42" s="187"/>
      <c r="D42" s="673" t="s">
        <v>107</v>
      </c>
      <c r="E42" s="776">
        <f>'C.5.11.1 F&amp;W Register'!C163</f>
        <v>3262617.5</v>
      </c>
      <c r="F42" s="648"/>
      <c r="G42" s="245"/>
      <c r="H42" s="245"/>
    </row>
    <row r="43" spans="2:8" s="1" customFormat="1" x14ac:dyDescent="0.3">
      <c r="B43" s="647"/>
      <c r="C43" s="187"/>
      <c r="D43" s="379"/>
      <c r="E43" s="689"/>
      <c r="F43" s="648"/>
      <c r="G43" s="245"/>
      <c r="H43" s="245"/>
    </row>
    <row r="44" spans="2:8" s="1" customFormat="1" x14ac:dyDescent="0.3">
      <c r="B44" s="647" t="s">
        <v>367</v>
      </c>
      <c r="C44" s="187"/>
      <c r="D44" s="379"/>
      <c r="E44" s="397"/>
      <c r="F44" s="648"/>
      <c r="G44" s="245"/>
      <c r="H44" s="245"/>
    </row>
    <row r="45" spans="2:8" s="1" customFormat="1" x14ac:dyDescent="0.3">
      <c r="B45" s="641" t="s">
        <v>105</v>
      </c>
      <c r="C45" s="187"/>
      <c r="D45" s="673" t="s">
        <v>107</v>
      </c>
      <c r="E45" s="243"/>
      <c r="F45" s="651">
        <f>'C.5.11.1 F&amp;W Register'!C119</f>
        <v>180853.67999999996</v>
      </c>
      <c r="G45" s="245"/>
      <c r="H45" s="245"/>
    </row>
    <row r="46" spans="2:8" s="1" customFormat="1" x14ac:dyDescent="0.3">
      <c r="B46" s="641" t="s">
        <v>84</v>
      </c>
      <c r="C46" s="187"/>
      <c r="D46" s="673" t="s">
        <v>107</v>
      </c>
      <c r="E46" s="243"/>
      <c r="F46" s="651">
        <f>'C.5.11.1 F&amp;W Register'!C120</f>
        <v>35104.259999999995</v>
      </c>
      <c r="G46" s="245"/>
      <c r="H46" s="245"/>
    </row>
    <row r="47" spans="2:8" s="1" customFormat="1" x14ac:dyDescent="0.3">
      <c r="B47" s="641" t="s">
        <v>82</v>
      </c>
      <c r="C47" s="187"/>
      <c r="D47" s="673" t="s">
        <v>107</v>
      </c>
      <c r="E47" s="243"/>
      <c r="F47" s="651">
        <f>'C.5.11.1 F&amp;W Register'!C121</f>
        <v>1758.1799999999998</v>
      </c>
      <c r="G47" s="245"/>
      <c r="H47" s="245"/>
    </row>
    <row r="48" spans="2:8" s="1" customFormat="1" x14ac:dyDescent="0.3">
      <c r="B48" s="641" t="s">
        <v>201</v>
      </c>
      <c r="C48" s="187"/>
      <c r="D48" s="673" t="s">
        <v>107</v>
      </c>
      <c r="E48" s="243"/>
      <c r="F48" s="651">
        <f>'C.5.11.1 F&amp;W Register'!C122</f>
        <v>336.11</v>
      </c>
      <c r="G48" s="245"/>
      <c r="H48" s="245"/>
    </row>
    <row r="49" spans="2:8" s="1" customFormat="1" x14ac:dyDescent="0.3">
      <c r="B49" s="649" t="s">
        <v>397</v>
      </c>
      <c r="C49" s="187"/>
      <c r="D49" s="673" t="s">
        <v>107</v>
      </c>
      <c r="E49" s="243"/>
      <c r="F49" s="651">
        <f>'C.5.11.1 F&amp;W Register'!C123</f>
        <v>37869.39</v>
      </c>
      <c r="G49" s="245"/>
      <c r="H49" s="245"/>
    </row>
    <row r="50" spans="2:8" s="1" customFormat="1" x14ac:dyDescent="0.3">
      <c r="B50" s="649" t="s">
        <v>336</v>
      </c>
      <c r="C50" s="187"/>
      <c r="D50" s="673" t="s">
        <v>107</v>
      </c>
      <c r="E50" s="243"/>
      <c r="F50" s="651">
        <f>'C.5.11.1 F&amp;W Register'!C124</f>
        <v>25465.420000000002</v>
      </c>
      <c r="G50" s="245"/>
      <c r="H50" s="245"/>
    </row>
    <row r="51" spans="2:8" s="1" customFormat="1" x14ac:dyDescent="0.3">
      <c r="B51" s="649" t="s">
        <v>402</v>
      </c>
      <c r="C51" s="187"/>
      <c r="D51" s="673" t="s">
        <v>107</v>
      </c>
      <c r="E51" s="243"/>
      <c r="F51" s="651">
        <f>'C.5.11.1 F&amp;W Register'!C125</f>
        <v>173579</v>
      </c>
      <c r="G51" s="245"/>
      <c r="H51" s="245"/>
    </row>
    <row r="52" spans="2:8" s="1" customFormat="1" ht="15" customHeight="1" x14ac:dyDescent="0.3">
      <c r="B52" s="649" t="s">
        <v>416</v>
      </c>
      <c r="C52" s="187"/>
      <c r="D52" s="673" t="s">
        <v>107</v>
      </c>
      <c r="E52" s="243"/>
      <c r="F52" s="651">
        <f>'C.5.11.1 F&amp;W Register'!C126</f>
        <v>797779.41</v>
      </c>
      <c r="G52" s="245"/>
      <c r="H52" s="245"/>
    </row>
    <row r="53" spans="2:8" s="1" customFormat="1" ht="15" customHeight="1" x14ac:dyDescent="0.3">
      <c r="B53" s="649" t="s">
        <v>417</v>
      </c>
      <c r="C53" s="187"/>
      <c r="D53" s="673" t="s">
        <v>107</v>
      </c>
      <c r="E53" s="243"/>
      <c r="F53" s="651">
        <f>'C.5.11.1 F&amp;W Register'!C127</f>
        <v>151280.95999999999</v>
      </c>
      <c r="G53" s="245"/>
      <c r="H53" s="245"/>
    </row>
    <row r="54" spans="2:8" s="1" customFormat="1" x14ac:dyDescent="0.3">
      <c r="B54" s="641" t="s">
        <v>420</v>
      </c>
      <c r="C54" s="187"/>
      <c r="D54" s="673" t="s">
        <v>107</v>
      </c>
      <c r="E54" s="243"/>
      <c r="F54" s="651">
        <f>'C.5.11.1 F&amp;W Register'!C128</f>
        <v>41077</v>
      </c>
      <c r="G54" s="245"/>
      <c r="H54" s="245"/>
    </row>
    <row r="55" spans="2:8" s="1" customFormat="1" x14ac:dyDescent="0.3">
      <c r="B55" s="641" t="s">
        <v>426</v>
      </c>
      <c r="C55" s="187"/>
      <c r="D55" s="673" t="s">
        <v>107</v>
      </c>
      <c r="E55" s="243"/>
      <c r="F55" s="651">
        <f>'C.5.11.1 F&amp;W Register'!C129</f>
        <v>208401.13</v>
      </c>
      <c r="G55" s="245"/>
      <c r="H55" s="245"/>
    </row>
    <row r="56" spans="2:8" s="1" customFormat="1" x14ac:dyDescent="0.3">
      <c r="B56" s="641" t="s">
        <v>438</v>
      </c>
      <c r="C56" s="187"/>
      <c r="D56" s="673" t="s">
        <v>107</v>
      </c>
      <c r="E56" s="243"/>
      <c r="F56" s="651">
        <f>'C.5.11.1 F&amp;W Register'!C130</f>
        <v>12004.21</v>
      </c>
      <c r="G56" s="245"/>
      <c r="H56" s="245"/>
    </row>
    <row r="57" spans="2:8" s="1" customFormat="1" x14ac:dyDescent="0.3">
      <c r="B57" s="641" t="s">
        <v>445</v>
      </c>
      <c r="C57" s="187"/>
      <c r="D57" s="673" t="s">
        <v>107</v>
      </c>
      <c r="E57" s="243"/>
      <c r="F57" s="651">
        <f>'C.5.11.1 F&amp;W Register'!C131</f>
        <v>146453.28</v>
      </c>
      <c r="G57" s="245"/>
      <c r="H57" s="245"/>
    </row>
    <row r="58" spans="2:8" s="1" customFormat="1" x14ac:dyDescent="0.3">
      <c r="B58" s="641" t="s">
        <v>455</v>
      </c>
      <c r="C58" s="187"/>
      <c r="D58" s="673" t="s">
        <v>107</v>
      </c>
      <c r="E58" s="243"/>
      <c r="F58" s="651">
        <f>'C.5.11.1 F&amp;W Register'!C132</f>
        <v>44100</v>
      </c>
      <c r="G58" s="245"/>
      <c r="H58" s="245"/>
    </row>
    <row r="59" spans="2:8" s="1" customFormat="1" x14ac:dyDescent="0.3">
      <c r="B59" s="641" t="s">
        <v>469</v>
      </c>
      <c r="C59" s="187"/>
      <c r="D59" s="673" t="s">
        <v>107</v>
      </c>
      <c r="E59" s="243"/>
      <c r="F59" s="651">
        <f>'C.5.11.1 F&amp;W Register'!C133</f>
        <v>94777.645000000033</v>
      </c>
      <c r="G59" s="245"/>
      <c r="H59" s="245"/>
    </row>
    <row r="60" spans="2:8" s="1" customFormat="1" x14ac:dyDescent="0.3">
      <c r="B60" s="641" t="s">
        <v>609</v>
      </c>
      <c r="C60" s="187"/>
      <c r="D60" s="673" t="s">
        <v>107</v>
      </c>
      <c r="E60" s="243"/>
      <c r="F60" s="651">
        <f>'C.5.11.1 F&amp;W Register'!C134</f>
        <v>304800</v>
      </c>
      <c r="G60" s="245"/>
      <c r="H60" s="245"/>
    </row>
    <row r="61" spans="2:8" s="1" customFormat="1" x14ac:dyDescent="0.3">
      <c r="B61" s="641" t="s">
        <v>587</v>
      </c>
      <c r="C61" s="187"/>
      <c r="D61" s="673" t="s">
        <v>107</v>
      </c>
      <c r="E61" s="243"/>
      <c r="F61" s="651">
        <f>'C.5.11.1 F&amp;W Register'!C135</f>
        <v>1752770.4700000002</v>
      </c>
      <c r="G61" s="245"/>
      <c r="H61" s="245"/>
    </row>
    <row r="62" spans="2:8" s="1" customFormat="1" x14ac:dyDescent="0.3">
      <c r="B62" s="641" t="s">
        <v>616</v>
      </c>
      <c r="C62" s="187"/>
      <c r="D62" s="673" t="s">
        <v>107</v>
      </c>
      <c r="E62" s="243"/>
      <c r="F62" s="651">
        <f>'C.5.11.1 F&amp;W Register'!C136</f>
        <v>10937011.940000001</v>
      </c>
      <c r="G62" s="245"/>
      <c r="H62" s="245"/>
    </row>
    <row r="63" spans="2:8" s="1" customFormat="1" x14ac:dyDescent="0.3">
      <c r="B63" s="641" t="s">
        <v>599</v>
      </c>
      <c r="C63" s="187"/>
      <c r="D63" s="673" t="s">
        <v>107</v>
      </c>
      <c r="E63" s="243"/>
      <c r="F63" s="651">
        <f>'Refilwe Civils'!F9</f>
        <v>1526641.84</v>
      </c>
      <c r="G63" s="245"/>
      <c r="H63" s="245"/>
    </row>
    <row r="64" spans="2:8" s="1" customFormat="1" x14ac:dyDescent="0.3">
      <c r="B64" s="641" t="s">
        <v>615</v>
      </c>
      <c r="C64" s="187"/>
      <c r="D64" s="673" t="s">
        <v>107</v>
      </c>
      <c r="E64" s="243"/>
      <c r="F64" s="651">
        <f>'C.5.11.1 F&amp;W Register'!C138</f>
        <v>2153048.02</v>
      </c>
      <c r="G64" s="245"/>
      <c r="H64" s="245"/>
    </row>
    <row r="65" spans="2:8" s="1" customFormat="1" x14ac:dyDescent="0.3">
      <c r="B65" s="641" t="s">
        <v>604</v>
      </c>
      <c r="C65" s="187"/>
      <c r="D65" s="673" t="s">
        <v>107</v>
      </c>
      <c r="E65" s="243"/>
      <c r="F65" s="651">
        <v>201300</v>
      </c>
      <c r="G65" s="245"/>
      <c r="H65" s="245"/>
    </row>
    <row r="66" spans="2:8" s="1" customFormat="1" x14ac:dyDescent="0.3">
      <c r="B66" s="641" t="s">
        <v>610</v>
      </c>
      <c r="C66" s="187"/>
      <c r="D66" s="673" t="s">
        <v>107</v>
      </c>
      <c r="E66" s="243"/>
      <c r="F66" s="651">
        <f>'C.5.11.1 F&amp;W Register'!C140</f>
        <v>5754919.6099999994</v>
      </c>
      <c r="G66" s="245"/>
      <c r="H66" s="245"/>
    </row>
    <row r="67" spans="2:8" s="1" customFormat="1" x14ac:dyDescent="0.3">
      <c r="B67" s="641" t="s">
        <v>614</v>
      </c>
      <c r="C67" s="187"/>
      <c r="D67" s="673" t="s">
        <v>107</v>
      </c>
      <c r="E67" s="243"/>
      <c r="F67" s="651">
        <f>'C.5.11.1 F&amp;W Register'!C141</f>
        <v>1285544.78</v>
      </c>
      <c r="G67" s="245"/>
      <c r="H67" s="245"/>
    </row>
    <row r="68" spans="2:8" s="1" customFormat="1" x14ac:dyDescent="0.3">
      <c r="B68" s="777" t="s">
        <v>867</v>
      </c>
      <c r="C68" s="187"/>
      <c r="D68" s="673" t="s">
        <v>107</v>
      </c>
      <c r="E68" s="243"/>
      <c r="F68" s="651">
        <f>'C.5.11.1 F&amp;W Register'!C142</f>
        <v>557810.34</v>
      </c>
      <c r="G68" s="245"/>
      <c r="H68" s="245"/>
    </row>
    <row r="69" spans="2:8" s="1" customFormat="1" x14ac:dyDescent="0.3">
      <c r="B69" s="780"/>
      <c r="C69" s="187"/>
      <c r="D69" s="673"/>
      <c r="E69" s="243"/>
      <c r="F69" s="651"/>
      <c r="G69" s="245"/>
      <c r="H69" s="245"/>
    </row>
    <row r="70" spans="2:8" s="1" customFormat="1" x14ac:dyDescent="0.3">
      <c r="B70" s="779"/>
      <c r="C70" s="187"/>
      <c r="D70" s="673" t="s">
        <v>81</v>
      </c>
      <c r="E70" s="243"/>
      <c r="F70" s="651"/>
      <c r="G70" s="245"/>
      <c r="H70" s="245"/>
    </row>
    <row r="71" spans="2:8" s="1" customFormat="1" x14ac:dyDescent="0.3">
      <c r="B71" s="647"/>
      <c r="C71" s="187"/>
      <c r="D71" s="379"/>
      <c r="E71" s="397"/>
      <c r="F71" s="648"/>
      <c r="G71" s="245"/>
      <c r="H71" s="245"/>
    </row>
    <row r="72" spans="2:8" s="1" customFormat="1" x14ac:dyDescent="0.3">
      <c r="B72" s="647" t="s">
        <v>268</v>
      </c>
      <c r="C72" s="187"/>
      <c r="D72" s="379"/>
      <c r="E72" s="397"/>
      <c r="F72" s="648"/>
      <c r="G72" s="245"/>
      <c r="H72" s="245"/>
    </row>
    <row r="73" spans="2:8" s="1" customFormat="1" x14ac:dyDescent="0.3">
      <c r="B73" s="650" t="s">
        <v>105</v>
      </c>
      <c r="C73" s="401"/>
      <c r="D73" s="673" t="s">
        <v>107</v>
      </c>
      <c r="E73" s="243"/>
      <c r="F73" s="651">
        <f>'C.5.11.1 F&amp;W Register'!C98</f>
        <v>90756.5</v>
      </c>
      <c r="G73" s="245"/>
      <c r="H73" s="245"/>
    </row>
    <row r="74" spans="2:8" s="1" customFormat="1" x14ac:dyDescent="0.3">
      <c r="B74" s="652" t="s">
        <v>264</v>
      </c>
      <c r="C74" s="402"/>
      <c r="D74" s="673" t="s">
        <v>107</v>
      </c>
      <c r="E74" s="243"/>
      <c r="F74" s="651">
        <f>'C.5.11.1 F&amp;W Register'!C99</f>
        <v>18.29</v>
      </c>
      <c r="G74" s="245"/>
      <c r="H74" s="245"/>
    </row>
    <row r="75" spans="2:8" s="1" customFormat="1" x14ac:dyDescent="0.3">
      <c r="B75" s="652" t="s">
        <v>286</v>
      </c>
      <c r="C75" s="402"/>
      <c r="D75" s="673" t="s">
        <v>107</v>
      </c>
      <c r="E75" s="243"/>
      <c r="F75" s="651">
        <f>'C.5.11.1 F&amp;W Register'!C100</f>
        <v>321.56</v>
      </c>
      <c r="G75" s="245"/>
      <c r="H75" s="245"/>
    </row>
    <row r="76" spans="2:8" s="1" customFormat="1" x14ac:dyDescent="0.3">
      <c r="B76" s="641" t="s">
        <v>285</v>
      </c>
      <c r="C76" s="332"/>
      <c r="D76" s="673" t="s">
        <v>107</v>
      </c>
      <c r="E76" s="243"/>
      <c r="F76" s="651">
        <f>'C.5.11.1 F&amp;W Register'!C101</f>
        <v>1896019.62</v>
      </c>
      <c r="G76" s="245"/>
      <c r="H76" s="245"/>
    </row>
    <row r="77" spans="2:8" s="1" customFormat="1" x14ac:dyDescent="0.3">
      <c r="B77" s="653" t="s">
        <v>284</v>
      </c>
      <c r="C77" s="194"/>
      <c r="D77" s="673" t="s">
        <v>107</v>
      </c>
      <c r="E77" s="243"/>
      <c r="F77" s="651">
        <f>'C.5.11.1 F&amp;W Register'!C102</f>
        <v>370088.62</v>
      </c>
      <c r="G77" s="245"/>
      <c r="H77" s="245"/>
    </row>
    <row r="78" spans="2:8" s="1" customFormat="1" x14ac:dyDescent="0.3">
      <c r="B78" s="649" t="s">
        <v>283</v>
      </c>
      <c r="C78" s="196"/>
      <c r="D78" s="673" t="s">
        <v>107</v>
      </c>
      <c r="E78" s="243"/>
      <c r="F78" s="651">
        <f>'C.5.11.1 F&amp;W Register'!C103</f>
        <v>47495.28</v>
      </c>
      <c r="G78" s="245"/>
      <c r="H78" s="245"/>
    </row>
    <row r="79" spans="2:8" s="1" customFormat="1" x14ac:dyDescent="0.3">
      <c r="B79" s="649" t="s">
        <v>282</v>
      </c>
      <c r="C79" s="196"/>
      <c r="D79" s="673" t="s">
        <v>107</v>
      </c>
      <c r="E79" s="243"/>
      <c r="F79" s="651">
        <f>'C.5.11.1 F&amp;W Register'!C104</f>
        <v>1645.59</v>
      </c>
      <c r="G79" s="245"/>
      <c r="H79" s="245"/>
    </row>
    <row r="80" spans="2:8" s="1" customFormat="1" x14ac:dyDescent="0.3">
      <c r="B80" s="649" t="s">
        <v>281</v>
      </c>
      <c r="C80" s="196"/>
      <c r="D80" s="673" t="s">
        <v>107</v>
      </c>
      <c r="E80" s="243"/>
      <c r="F80" s="651">
        <f>'C.5.11.1 F&amp;W Register'!C105</f>
        <v>1256.3600000000001</v>
      </c>
      <c r="G80" s="245"/>
      <c r="H80" s="245"/>
    </row>
    <row r="81" spans="2:8" s="1" customFormat="1" x14ac:dyDescent="0.3">
      <c r="B81" s="654" t="s">
        <v>306</v>
      </c>
      <c r="C81" s="187"/>
      <c r="D81" s="673" t="s">
        <v>107</v>
      </c>
      <c r="E81" s="243"/>
      <c r="F81" s="651">
        <f>'C.5.11.1 F&amp;W Register'!C107</f>
        <v>15649.31</v>
      </c>
      <c r="G81" s="245"/>
      <c r="H81" s="245"/>
    </row>
    <row r="82" spans="2:8" s="1" customFormat="1" x14ac:dyDescent="0.3">
      <c r="B82" s="649" t="s">
        <v>307</v>
      </c>
      <c r="C82" s="187"/>
      <c r="D82" s="673" t="s">
        <v>107</v>
      </c>
      <c r="E82" s="243"/>
      <c r="F82" s="651">
        <f>'C.5.11.1 F&amp;W Register'!C108</f>
        <v>2447910.11</v>
      </c>
      <c r="G82" s="245"/>
      <c r="H82" s="245"/>
    </row>
    <row r="83" spans="2:8" s="1" customFormat="1" x14ac:dyDescent="0.3">
      <c r="B83" s="649" t="s">
        <v>311</v>
      </c>
      <c r="C83" s="187"/>
      <c r="D83" s="673" t="s">
        <v>107</v>
      </c>
      <c r="E83" s="243"/>
      <c r="F83" s="651">
        <f>'C.5.11.1 F&amp;W Register'!C109</f>
        <v>223008.35</v>
      </c>
      <c r="G83" s="245"/>
      <c r="H83" s="245"/>
    </row>
    <row r="84" spans="2:8" s="1" customFormat="1" x14ac:dyDescent="0.3">
      <c r="B84" s="649" t="s">
        <v>321</v>
      </c>
      <c r="C84" s="187"/>
      <c r="D84" s="673" t="s">
        <v>107</v>
      </c>
      <c r="E84" s="243"/>
      <c r="F84" s="651">
        <f>'C.5.11.1 F&amp;W Register'!C110</f>
        <v>1443.68</v>
      </c>
      <c r="G84" s="245"/>
      <c r="H84" s="245"/>
    </row>
    <row r="85" spans="2:8" s="1" customFormat="1" x14ac:dyDescent="0.3">
      <c r="B85" s="649" t="s">
        <v>322</v>
      </c>
      <c r="C85" s="187"/>
      <c r="D85" s="673" t="s">
        <v>107</v>
      </c>
      <c r="E85" s="243"/>
      <c r="F85" s="651">
        <f>'C.5.11.1 F&amp;W Register'!C112</f>
        <v>216779.49</v>
      </c>
      <c r="G85" s="245"/>
      <c r="H85" s="245"/>
    </row>
    <row r="86" spans="2:8" s="1" customFormat="1" x14ac:dyDescent="0.3">
      <c r="B86" s="649" t="s">
        <v>326</v>
      </c>
      <c r="C86" s="187"/>
      <c r="D86" s="673" t="s">
        <v>107</v>
      </c>
      <c r="E86" s="243"/>
      <c r="F86" s="651">
        <f>'C.5.11.1 F&amp;W Register'!C113</f>
        <v>1918580.11</v>
      </c>
      <c r="G86" s="245"/>
      <c r="H86" s="245"/>
    </row>
    <row r="87" spans="2:8" s="1" customFormat="1" x14ac:dyDescent="0.3">
      <c r="B87" s="649" t="s">
        <v>333</v>
      </c>
      <c r="C87" s="187"/>
      <c r="D87" s="673" t="s">
        <v>107</v>
      </c>
      <c r="E87" s="243"/>
      <c r="F87" s="651">
        <f>'C.5.11.1 F&amp;W Register'!C106</f>
        <v>2815.84</v>
      </c>
      <c r="G87" s="245"/>
      <c r="H87" s="245"/>
    </row>
    <row r="88" spans="2:8" s="1" customFormat="1" x14ac:dyDescent="0.3">
      <c r="B88" s="649" t="s">
        <v>336</v>
      </c>
      <c r="C88" s="187"/>
      <c r="D88" s="673" t="s">
        <v>107</v>
      </c>
      <c r="E88" s="243"/>
      <c r="F88" s="651">
        <f>'C.5.11.1 F&amp;W Register'!C111</f>
        <v>31550.9</v>
      </c>
      <c r="G88" s="245"/>
      <c r="H88" s="245"/>
    </row>
    <row r="89" spans="2:8" s="1" customFormat="1" ht="15" customHeight="1" x14ac:dyDescent="0.3">
      <c r="B89" s="649" t="s">
        <v>252</v>
      </c>
      <c r="C89" s="187"/>
      <c r="D89" s="673" t="s">
        <v>107</v>
      </c>
      <c r="E89" s="243"/>
      <c r="F89" s="651">
        <f>'C.5.11.1 F&amp;W Register'!C114</f>
        <v>252063.09198924742</v>
      </c>
      <c r="G89" s="245"/>
      <c r="H89" s="245"/>
    </row>
    <row r="90" spans="2:8" s="1" customFormat="1" x14ac:dyDescent="0.3">
      <c r="B90" s="641"/>
      <c r="C90" s="187"/>
      <c r="D90" s="672"/>
      <c r="E90" s="245"/>
      <c r="F90" s="651"/>
      <c r="G90" s="245"/>
      <c r="H90" s="245"/>
    </row>
    <row r="91" spans="2:8" s="1" customFormat="1" x14ac:dyDescent="0.3">
      <c r="B91" s="647" t="s">
        <v>225</v>
      </c>
      <c r="C91" s="187"/>
      <c r="D91" s="674"/>
      <c r="E91" s="379"/>
      <c r="F91" s="651"/>
      <c r="G91" s="195"/>
      <c r="H91" s="245"/>
    </row>
    <row r="92" spans="2:8" s="1" customFormat="1" x14ac:dyDescent="0.3">
      <c r="B92" s="655" t="s">
        <v>84</v>
      </c>
      <c r="C92" s="187"/>
      <c r="D92" s="673" t="s">
        <v>107</v>
      </c>
      <c r="E92" s="243"/>
      <c r="F92" s="651">
        <f>'C.5.11.1 F&amp;W Register'!C86</f>
        <v>127271.76</v>
      </c>
      <c r="G92" s="245"/>
      <c r="H92" s="245"/>
    </row>
    <row r="93" spans="2:8" s="1" customFormat="1" x14ac:dyDescent="0.3">
      <c r="B93" s="655" t="s">
        <v>230</v>
      </c>
      <c r="C93" s="187"/>
      <c r="D93" s="673" t="s">
        <v>107</v>
      </c>
      <c r="E93" s="243"/>
      <c r="F93" s="651">
        <f>'C.5.11.1 F&amp;W Register'!C87</f>
        <v>11700.07</v>
      </c>
      <c r="G93" s="245"/>
      <c r="H93" s="245"/>
    </row>
    <row r="94" spans="2:8" s="1" customFormat="1" x14ac:dyDescent="0.3">
      <c r="B94" s="656" t="s">
        <v>82</v>
      </c>
      <c r="C94" s="187"/>
      <c r="D94" s="673" t="s">
        <v>107</v>
      </c>
      <c r="E94" s="243"/>
      <c r="F94" s="651">
        <f>'C.5.11.1 F&amp;W Register'!C88</f>
        <v>1732.4100000000003</v>
      </c>
      <c r="G94" s="245"/>
      <c r="H94" s="245"/>
    </row>
    <row r="95" spans="2:8" s="1" customFormat="1" x14ac:dyDescent="0.3">
      <c r="B95" s="656" t="s">
        <v>213</v>
      </c>
      <c r="C95" s="187"/>
      <c r="D95" s="673" t="s">
        <v>107</v>
      </c>
      <c r="E95" s="243"/>
      <c r="F95" s="651">
        <f>'C.5.11.1 F&amp;W Register'!C89</f>
        <v>618.36000000000013</v>
      </c>
      <c r="G95" s="245"/>
      <c r="H95" s="245"/>
    </row>
    <row r="96" spans="2:8" s="1" customFormat="1" x14ac:dyDescent="0.3">
      <c r="B96" s="656" t="s">
        <v>201</v>
      </c>
      <c r="C96" s="187"/>
      <c r="D96" s="673" t="s">
        <v>107</v>
      </c>
      <c r="E96" s="243"/>
      <c r="F96" s="651">
        <f>'C.5.11.1 F&amp;W Register'!C90</f>
        <v>661.6</v>
      </c>
      <c r="G96" s="245"/>
      <c r="H96" s="245"/>
    </row>
    <row r="97" spans="2:8" s="1" customFormat="1" x14ac:dyDescent="0.3">
      <c r="B97" s="656" t="s">
        <v>105</v>
      </c>
      <c r="C97" s="187"/>
      <c r="D97" s="673" t="s">
        <v>107</v>
      </c>
      <c r="E97" s="243"/>
      <c r="F97" s="651">
        <f>'C.5.11.1 F&amp;W Register'!C91</f>
        <v>212973.37</v>
      </c>
      <c r="G97" s="245"/>
      <c r="H97" s="245"/>
    </row>
    <row r="98" spans="2:8" s="1" customFormat="1" x14ac:dyDescent="0.3">
      <c r="B98" s="656" t="s">
        <v>233</v>
      </c>
      <c r="C98" s="187"/>
      <c r="D98" s="673" t="s">
        <v>107</v>
      </c>
      <c r="E98" s="243"/>
      <c r="F98" s="651">
        <f>'Kramer Weihmann Joubert'!F11</f>
        <v>3796.41</v>
      </c>
      <c r="G98" s="245"/>
      <c r="H98" s="245"/>
    </row>
    <row r="99" spans="2:8" x14ac:dyDescent="0.3">
      <c r="B99" s="656" t="s">
        <v>253</v>
      </c>
      <c r="C99" s="187"/>
      <c r="D99" s="673" t="s">
        <v>107</v>
      </c>
      <c r="E99" s="243"/>
      <c r="F99" s="651">
        <f>SARS!F11</f>
        <v>117852.29</v>
      </c>
      <c r="G99" s="193"/>
      <c r="H99" s="193"/>
    </row>
    <row r="100" spans="2:8" s="1" customFormat="1" ht="14.25" customHeight="1" x14ac:dyDescent="0.3">
      <c r="B100" s="657" t="s">
        <v>252</v>
      </c>
      <c r="C100" s="322"/>
      <c r="D100" s="673" t="s">
        <v>107</v>
      </c>
      <c r="E100" s="243"/>
      <c r="F100" s="651">
        <f>Councillors!F13</f>
        <v>175911.83</v>
      </c>
      <c r="G100" s="193"/>
      <c r="H100" s="193"/>
    </row>
    <row r="101" spans="2:8" s="1" customFormat="1" x14ac:dyDescent="0.3">
      <c r="B101" s="639"/>
      <c r="C101" s="187"/>
      <c r="D101" s="673" t="s">
        <v>107</v>
      </c>
      <c r="E101" s="243"/>
      <c r="F101" s="651"/>
      <c r="G101" s="193"/>
      <c r="H101" s="193"/>
    </row>
    <row r="102" spans="2:8" s="1" customFormat="1" x14ac:dyDescent="0.3">
      <c r="B102" s="647" t="s">
        <v>180</v>
      </c>
      <c r="C102" s="243"/>
      <c r="D102" s="674"/>
      <c r="E102" s="243"/>
      <c r="F102" s="651"/>
      <c r="G102" s="243"/>
      <c r="H102" s="195"/>
    </row>
    <row r="103" spans="2:8" s="1" customFormat="1" x14ac:dyDescent="0.3">
      <c r="B103" s="655" t="s">
        <v>84</v>
      </c>
      <c r="C103" s="187"/>
      <c r="D103" s="673" t="s">
        <v>107</v>
      </c>
      <c r="E103" s="204"/>
      <c r="F103" s="651">
        <f>'C.5.11.1 F&amp;W Register'!C74</f>
        <v>20469.489999999998</v>
      </c>
      <c r="G103" s="222"/>
      <c r="H103" s="222"/>
    </row>
    <row r="104" spans="2:8" s="1" customFormat="1" x14ac:dyDescent="0.3">
      <c r="B104" s="655" t="s">
        <v>82</v>
      </c>
      <c r="C104" s="187"/>
      <c r="D104" s="673" t="s">
        <v>107</v>
      </c>
      <c r="E104" s="204"/>
      <c r="F104" s="651">
        <f>'C.5.11.1 F&amp;W Register'!C75</f>
        <v>256.33000000000004</v>
      </c>
      <c r="G104" s="222"/>
      <c r="H104" s="222"/>
    </row>
    <row r="105" spans="2:8" s="1" customFormat="1" x14ac:dyDescent="0.3">
      <c r="B105" s="656" t="s">
        <v>115</v>
      </c>
      <c r="C105" s="187"/>
      <c r="D105" s="673" t="s">
        <v>107</v>
      </c>
      <c r="E105" s="204"/>
      <c r="F105" s="651">
        <f>'C.5.11.1 F&amp;W Register'!C76</f>
        <v>5549.36</v>
      </c>
      <c r="G105" s="222"/>
      <c r="H105" s="222"/>
    </row>
    <row r="106" spans="2:8" s="1" customFormat="1" x14ac:dyDescent="0.3">
      <c r="B106" s="656" t="s">
        <v>213</v>
      </c>
      <c r="C106" s="187"/>
      <c r="D106" s="673" t="s">
        <v>107</v>
      </c>
      <c r="E106" s="204"/>
      <c r="F106" s="651">
        <f>'C.5.11.1 F&amp;W Register'!C77</f>
        <v>402.17999999999995</v>
      </c>
      <c r="G106" s="222"/>
      <c r="H106" s="222"/>
    </row>
    <row r="107" spans="2:8" s="1" customFormat="1" x14ac:dyDescent="0.3">
      <c r="B107" s="656" t="s">
        <v>183</v>
      </c>
      <c r="C107" s="187"/>
      <c r="D107" s="673" t="s">
        <v>107</v>
      </c>
      <c r="E107" s="204"/>
      <c r="F107" s="651">
        <f>'C.5.11.1 F&amp;W Register'!C78</f>
        <v>57044.39</v>
      </c>
      <c r="G107" s="222"/>
      <c r="H107" s="222"/>
    </row>
    <row r="108" spans="2:8" s="1" customFormat="1" x14ac:dyDescent="0.3">
      <c r="B108" s="656" t="s">
        <v>184</v>
      </c>
      <c r="C108" s="187"/>
      <c r="D108" s="673" t="s">
        <v>107</v>
      </c>
      <c r="E108" s="204"/>
      <c r="F108" s="651">
        <f>'C.5.11.1 F&amp;W Register'!C79</f>
        <v>45076.84</v>
      </c>
      <c r="G108" s="222"/>
      <c r="H108" s="222"/>
    </row>
    <row r="109" spans="2:8" s="1" customFormat="1" x14ac:dyDescent="0.3">
      <c r="B109" s="656" t="s">
        <v>198</v>
      </c>
      <c r="C109" s="187"/>
      <c r="D109" s="673" t="s">
        <v>107</v>
      </c>
      <c r="E109" s="204"/>
      <c r="F109" s="651">
        <f>'C.5.11.1 F&amp;W Register'!C80</f>
        <v>78938.47</v>
      </c>
      <c r="G109" s="222"/>
      <c r="H109" s="222"/>
    </row>
    <row r="110" spans="2:8" s="1" customFormat="1" x14ac:dyDescent="0.3">
      <c r="B110" s="656" t="s">
        <v>201</v>
      </c>
      <c r="C110" s="187"/>
      <c r="D110" s="673" t="s">
        <v>107</v>
      </c>
      <c r="E110" s="204"/>
      <c r="F110" s="651">
        <f>'C.5.11.1 F&amp;W Register'!C81</f>
        <v>213.01</v>
      </c>
      <c r="G110" s="222"/>
      <c r="H110" s="222"/>
    </row>
    <row r="111" spans="2:8" s="1" customFormat="1" x14ac:dyDescent="0.3">
      <c r="B111" s="656" t="s">
        <v>207</v>
      </c>
      <c r="C111" s="187"/>
      <c r="D111" s="673" t="s">
        <v>107</v>
      </c>
      <c r="E111" s="204"/>
      <c r="F111" s="651">
        <f>'C.5.11.1 F&amp;W Register'!C82</f>
        <v>1155.1199999999999</v>
      </c>
      <c r="G111" s="222"/>
      <c r="H111" s="222"/>
    </row>
    <row r="112" spans="2:8" s="1" customFormat="1" x14ac:dyDescent="0.3">
      <c r="B112" s="657"/>
      <c r="C112" s="187"/>
      <c r="D112" s="673"/>
      <c r="E112" s="204"/>
      <c r="F112" s="651"/>
      <c r="G112" s="222"/>
      <c r="H112" s="222"/>
    </row>
    <row r="113" spans="2:8" s="1" customFormat="1" x14ac:dyDescent="0.3">
      <c r="B113" s="647" t="s">
        <v>153</v>
      </c>
      <c r="C113" s="187"/>
      <c r="D113" s="673" t="s">
        <v>81</v>
      </c>
      <c r="E113" s="204"/>
      <c r="F113" s="651"/>
      <c r="G113" s="243"/>
      <c r="H113" s="222"/>
    </row>
    <row r="114" spans="2:8" s="1" customFormat="1" x14ac:dyDescent="0.3">
      <c r="B114" s="655" t="s">
        <v>84</v>
      </c>
      <c r="C114" s="187"/>
      <c r="D114" s="673" t="s">
        <v>107</v>
      </c>
      <c r="E114" s="204"/>
      <c r="F114" s="651">
        <v>138247.20000000001</v>
      </c>
      <c r="G114" s="627"/>
      <c r="H114" s="222"/>
    </row>
    <row r="115" spans="2:8" s="1" customFormat="1" x14ac:dyDescent="0.3">
      <c r="B115" s="655" t="s">
        <v>82</v>
      </c>
      <c r="C115" s="187"/>
      <c r="D115" s="673" t="s">
        <v>107</v>
      </c>
      <c r="E115" s="204"/>
      <c r="F115" s="651">
        <v>782.93000000000006</v>
      </c>
      <c r="G115" s="627"/>
      <c r="H115" s="222"/>
    </row>
    <row r="116" spans="2:8" s="1" customFormat="1" x14ac:dyDescent="0.3">
      <c r="B116" s="655" t="s">
        <v>154</v>
      </c>
      <c r="C116" s="187"/>
      <c r="D116" s="673" t="s">
        <v>107</v>
      </c>
      <c r="E116" s="204"/>
      <c r="F116" s="651">
        <v>975.82</v>
      </c>
      <c r="G116" s="627"/>
      <c r="H116" s="222"/>
    </row>
    <row r="117" spans="2:8" s="1" customFormat="1" x14ac:dyDescent="0.3">
      <c r="B117" s="655" t="s">
        <v>99</v>
      </c>
      <c r="C117" s="187"/>
      <c r="D117" s="673" t="s">
        <v>107</v>
      </c>
      <c r="E117" s="204"/>
      <c r="F117" s="651">
        <v>240.13</v>
      </c>
      <c r="G117" s="627"/>
      <c r="H117" s="222"/>
    </row>
    <row r="118" spans="2:8" s="1" customFormat="1" x14ac:dyDescent="0.3">
      <c r="B118" s="656" t="s">
        <v>115</v>
      </c>
      <c r="C118" s="187"/>
      <c r="D118" s="673" t="s">
        <v>107</v>
      </c>
      <c r="E118" s="204"/>
      <c r="F118" s="651">
        <v>769.2</v>
      </c>
      <c r="G118" s="627"/>
      <c r="H118" s="222"/>
    </row>
    <row r="119" spans="2:8" s="1" customFormat="1" x14ac:dyDescent="0.3">
      <c r="B119" s="656" t="s">
        <v>251</v>
      </c>
      <c r="C119" s="187"/>
      <c r="D119" s="673" t="s">
        <v>107</v>
      </c>
      <c r="E119" s="204"/>
      <c r="F119" s="651">
        <v>416.67999999999995</v>
      </c>
      <c r="G119" s="627"/>
      <c r="H119" s="222"/>
    </row>
    <row r="120" spans="2:8" s="1" customFormat="1" x14ac:dyDescent="0.3">
      <c r="B120" s="656" t="s">
        <v>162</v>
      </c>
      <c r="C120" s="187"/>
      <c r="D120" s="673" t="s">
        <v>107</v>
      </c>
      <c r="E120" s="204"/>
      <c r="F120" s="651">
        <v>525.46</v>
      </c>
      <c r="G120" s="627"/>
      <c r="H120" s="222"/>
    </row>
    <row r="121" spans="2:8" s="1" customFormat="1" x14ac:dyDescent="0.3">
      <c r="B121" s="656" t="s">
        <v>161</v>
      </c>
      <c r="C121" s="187"/>
      <c r="D121" s="673" t="s">
        <v>107</v>
      </c>
      <c r="E121" s="204"/>
      <c r="F121" s="651">
        <v>3818.37</v>
      </c>
      <c r="G121" s="628"/>
      <c r="H121" s="222"/>
    </row>
    <row r="122" spans="2:8" s="232" customFormat="1" x14ac:dyDescent="0.3">
      <c r="B122" s="656" t="s">
        <v>167</v>
      </c>
      <c r="C122" s="187"/>
      <c r="D122" s="673" t="s">
        <v>107</v>
      </c>
      <c r="E122" s="204"/>
      <c r="F122" s="651">
        <v>2360.46</v>
      </c>
      <c r="G122" s="628"/>
      <c r="H122" s="222"/>
    </row>
    <row r="123" spans="2:8" s="232" customFormat="1" x14ac:dyDescent="0.3">
      <c r="B123" s="656" t="s">
        <v>165</v>
      </c>
      <c r="C123" s="187"/>
      <c r="D123" s="673" t="s">
        <v>107</v>
      </c>
      <c r="E123" s="204"/>
      <c r="F123" s="651">
        <v>208.08</v>
      </c>
      <c r="G123" s="628"/>
      <c r="H123" s="222"/>
    </row>
    <row r="124" spans="2:8" s="232" customFormat="1" x14ac:dyDescent="0.3">
      <c r="B124" s="657"/>
      <c r="C124" s="187"/>
      <c r="D124" s="673"/>
      <c r="E124" s="204"/>
      <c r="F124" s="651"/>
      <c r="G124" s="628"/>
      <c r="H124" s="222"/>
    </row>
    <row r="125" spans="2:8" x14ac:dyDescent="0.3">
      <c r="B125" s="658" t="s">
        <v>114</v>
      </c>
      <c r="C125" s="194"/>
      <c r="D125" s="674"/>
      <c r="E125" s="243"/>
      <c r="F125" s="651"/>
      <c r="G125" s="243"/>
    </row>
    <row r="126" spans="2:8" s="1" customFormat="1" x14ac:dyDescent="0.3">
      <c r="B126" s="808" t="s">
        <v>83</v>
      </c>
      <c r="C126" s="809"/>
      <c r="D126" s="673" t="s">
        <v>107</v>
      </c>
      <c r="E126" s="204"/>
      <c r="F126" s="651">
        <v>42879.32</v>
      </c>
      <c r="G126" s="222"/>
      <c r="H126" s="222"/>
    </row>
    <row r="127" spans="2:8" s="1" customFormat="1" x14ac:dyDescent="0.3">
      <c r="B127" s="808" t="s">
        <v>84</v>
      </c>
      <c r="C127" s="809"/>
      <c r="D127" s="673" t="s">
        <v>107</v>
      </c>
      <c r="E127" s="204"/>
      <c r="F127" s="651">
        <v>41414.830000000009</v>
      </c>
      <c r="G127" s="222"/>
      <c r="H127" s="222"/>
    </row>
    <row r="128" spans="2:8" s="1" customFormat="1" x14ac:dyDescent="0.3">
      <c r="B128" s="808" t="s">
        <v>82</v>
      </c>
      <c r="C128" s="809"/>
      <c r="D128" s="673" t="s">
        <v>107</v>
      </c>
      <c r="E128" s="204"/>
      <c r="F128" s="651">
        <v>803.6099999999999</v>
      </c>
      <c r="G128" s="222"/>
      <c r="H128" s="222"/>
    </row>
    <row r="129" spans="2:8" x14ac:dyDescent="0.3">
      <c r="B129" s="808" t="s">
        <v>85</v>
      </c>
      <c r="C129" s="809"/>
      <c r="D129" s="673" t="s">
        <v>107</v>
      </c>
      <c r="E129" s="204"/>
      <c r="F129" s="651">
        <v>389.96</v>
      </c>
      <c r="G129" s="222"/>
      <c r="H129" s="222"/>
    </row>
    <row r="130" spans="2:8" x14ac:dyDescent="0.3">
      <c r="B130" s="808" t="s">
        <v>86</v>
      </c>
      <c r="C130" s="809"/>
      <c r="D130" s="673" t="s">
        <v>107</v>
      </c>
      <c r="E130" s="204"/>
      <c r="F130" s="651">
        <v>57.180000000000007</v>
      </c>
      <c r="G130" s="222"/>
      <c r="H130" s="222"/>
    </row>
    <row r="131" spans="2:8" x14ac:dyDescent="0.3">
      <c r="B131" s="808" t="s">
        <v>87</v>
      </c>
      <c r="C131" s="809"/>
      <c r="D131" s="673" t="s">
        <v>107</v>
      </c>
      <c r="E131" s="204"/>
      <c r="F131" s="651">
        <v>12247</v>
      </c>
      <c r="G131" s="688"/>
      <c r="H131" s="222"/>
    </row>
    <row r="132" spans="2:8" s="1" customFormat="1" x14ac:dyDescent="0.3">
      <c r="B132" s="808" t="s">
        <v>88</v>
      </c>
      <c r="C132" s="809"/>
      <c r="D132" s="673" t="s">
        <v>107</v>
      </c>
      <c r="E132" s="204"/>
      <c r="F132" s="651">
        <v>164.64</v>
      </c>
      <c r="G132" s="222"/>
      <c r="H132" s="222"/>
    </row>
    <row r="133" spans="2:8" s="1" customFormat="1" x14ac:dyDescent="0.3">
      <c r="B133" s="650" t="s">
        <v>65</v>
      </c>
      <c r="C133" s="686"/>
      <c r="D133" s="673" t="s">
        <v>107</v>
      </c>
      <c r="E133" s="204"/>
      <c r="F133" s="651">
        <v>147204.16</v>
      </c>
      <c r="G133" s="222"/>
      <c r="H133" s="222"/>
    </row>
    <row r="134" spans="2:8" s="1" customFormat="1" x14ac:dyDescent="0.3">
      <c r="B134" s="808" t="s">
        <v>99</v>
      </c>
      <c r="C134" s="809"/>
      <c r="D134" s="673" t="s">
        <v>107</v>
      </c>
      <c r="E134" s="204"/>
      <c r="F134" s="651">
        <v>100031.25</v>
      </c>
      <c r="G134" s="222"/>
      <c r="H134" s="222"/>
    </row>
    <row r="135" spans="2:8" s="1" customFormat="1" x14ac:dyDescent="0.3">
      <c r="B135" s="808" t="s">
        <v>100</v>
      </c>
      <c r="C135" s="809"/>
      <c r="D135" s="673" t="s">
        <v>107</v>
      </c>
      <c r="E135" s="204"/>
      <c r="F135" s="651">
        <v>4851.2300000000005</v>
      </c>
      <c r="G135" s="222"/>
      <c r="H135" s="222"/>
    </row>
    <row r="136" spans="2:8" s="1" customFormat="1" x14ac:dyDescent="0.3">
      <c r="B136" s="808" t="s">
        <v>101</v>
      </c>
      <c r="C136" s="809"/>
      <c r="D136" s="673" t="s">
        <v>107</v>
      </c>
      <c r="E136" s="204"/>
      <c r="F136" s="651">
        <v>60820.43</v>
      </c>
      <c r="G136" s="222"/>
      <c r="H136" s="222"/>
    </row>
    <row r="137" spans="2:8" s="1" customFormat="1" x14ac:dyDescent="0.3">
      <c r="B137" s="650" t="s">
        <v>115</v>
      </c>
      <c r="C137" s="686"/>
      <c r="D137" s="673" t="s">
        <v>107</v>
      </c>
      <c r="E137" s="204"/>
      <c r="F137" s="651">
        <v>11505.88</v>
      </c>
      <c r="G137" s="629"/>
      <c r="H137" s="222"/>
    </row>
    <row r="138" spans="2:8" s="1" customFormat="1" x14ac:dyDescent="0.3">
      <c r="B138" s="659" t="s">
        <v>119</v>
      </c>
      <c r="C138" s="686"/>
      <c r="D138" s="675" t="s">
        <v>107</v>
      </c>
      <c r="E138" s="213"/>
      <c r="F138" s="651">
        <v>375765.04</v>
      </c>
      <c r="G138" s="629"/>
      <c r="H138" s="222"/>
    </row>
    <row r="139" spans="2:8" s="1" customFormat="1" x14ac:dyDescent="0.3">
      <c r="B139" s="659"/>
      <c r="C139" s="686"/>
      <c r="D139" s="675"/>
      <c r="E139" s="213"/>
      <c r="F139" s="651"/>
      <c r="G139" s="629"/>
      <c r="H139" s="222"/>
    </row>
    <row r="140" spans="2:8" s="1" customFormat="1" x14ac:dyDescent="0.3">
      <c r="B140" s="660" t="s">
        <v>110</v>
      </c>
      <c r="C140" s="686"/>
      <c r="D140" s="673"/>
      <c r="E140" s="204"/>
      <c r="F140" s="651"/>
      <c r="G140" s="630"/>
      <c r="H140" s="222"/>
    </row>
    <row r="141" spans="2:8" s="1" customFormat="1" x14ac:dyDescent="0.3">
      <c r="B141" s="808" t="s">
        <v>65</v>
      </c>
      <c r="C141" s="809"/>
      <c r="D141" s="673" t="s">
        <v>107</v>
      </c>
      <c r="E141" s="204"/>
      <c r="F141" s="651">
        <v>113832</v>
      </c>
      <c r="G141" s="222"/>
      <c r="H141" s="222"/>
    </row>
    <row r="142" spans="2:8" s="1" customFormat="1" x14ac:dyDescent="0.3">
      <c r="B142" s="808" t="s">
        <v>111</v>
      </c>
      <c r="C142" s="809"/>
      <c r="D142" s="673" t="s">
        <v>107</v>
      </c>
      <c r="E142" s="204"/>
      <c r="F142" s="651">
        <v>13816522</v>
      </c>
      <c r="G142" s="222"/>
      <c r="H142" s="222"/>
    </row>
    <row r="143" spans="2:8" s="1" customFormat="1" x14ac:dyDescent="0.3">
      <c r="B143" s="650" t="s">
        <v>113</v>
      </c>
      <c r="C143" s="686"/>
      <c r="D143" s="673" t="s">
        <v>107</v>
      </c>
      <c r="E143" s="204"/>
      <c r="F143" s="651">
        <v>38520</v>
      </c>
      <c r="G143" s="222"/>
      <c r="H143" s="222"/>
    </row>
    <row r="144" spans="2:8" s="1" customFormat="1" x14ac:dyDescent="0.3">
      <c r="B144" s="650" t="s">
        <v>112</v>
      </c>
      <c r="C144" s="686"/>
      <c r="D144" s="673" t="s">
        <v>107</v>
      </c>
      <c r="E144" s="204"/>
      <c r="F144" s="651">
        <v>31162</v>
      </c>
      <c r="G144" s="222"/>
      <c r="H144" s="222"/>
    </row>
    <row r="145" spans="2:10" s="1" customFormat="1" x14ac:dyDescent="0.3">
      <c r="B145" s="659" t="s">
        <v>130</v>
      </c>
      <c r="C145" s="686"/>
      <c r="D145" s="675" t="s">
        <v>107</v>
      </c>
      <c r="E145" s="213"/>
      <c r="F145" s="651">
        <v>378248.59</v>
      </c>
      <c r="G145" s="630"/>
      <c r="H145" s="222"/>
      <c r="J145" s="221" t="s">
        <v>81</v>
      </c>
    </row>
    <row r="146" spans="2:10" s="1" customFormat="1" x14ac:dyDescent="0.3">
      <c r="B146" s="650"/>
      <c r="C146" s="686"/>
      <c r="D146" s="673"/>
      <c r="E146" s="204"/>
      <c r="F146" s="651"/>
      <c r="G146" s="222"/>
      <c r="H146" s="222"/>
    </row>
    <row r="147" spans="2:10" s="1" customFormat="1" x14ac:dyDescent="0.3">
      <c r="B147" s="660" t="s">
        <v>109</v>
      </c>
      <c r="C147" s="686"/>
      <c r="D147" s="673"/>
      <c r="E147" s="204"/>
      <c r="F147" s="651"/>
      <c r="G147" s="222"/>
      <c r="H147" s="222"/>
    </row>
    <row r="148" spans="2:10" s="1" customFormat="1" x14ac:dyDescent="0.3">
      <c r="B148" s="808" t="s">
        <v>65</v>
      </c>
      <c r="C148" s="809"/>
      <c r="D148" s="676" t="s">
        <v>107</v>
      </c>
      <c r="E148" s="203"/>
      <c r="F148" s="651">
        <v>7729134</v>
      </c>
      <c r="G148" s="631"/>
      <c r="H148" s="222"/>
    </row>
    <row r="149" spans="2:10" s="1" customFormat="1" ht="105.6" x14ac:dyDescent="0.3">
      <c r="B149" s="808" t="s">
        <v>79</v>
      </c>
      <c r="C149" s="809"/>
      <c r="D149" s="677" t="s">
        <v>106</v>
      </c>
      <c r="E149" s="201"/>
      <c r="F149" s="651">
        <v>171147</v>
      </c>
      <c r="G149" s="632"/>
      <c r="H149" s="222"/>
    </row>
    <row r="150" spans="2:10" s="1" customFormat="1" x14ac:dyDescent="0.3">
      <c r="B150" s="685" t="s">
        <v>81</v>
      </c>
      <c r="C150" s="686"/>
      <c r="D150" s="678" t="s">
        <v>81</v>
      </c>
      <c r="E150" s="206"/>
      <c r="F150" s="651" t="s">
        <v>81</v>
      </c>
      <c r="G150" s="223"/>
      <c r="H150" s="223"/>
    </row>
    <row r="151" spans="2:10" s="1" customFormat="1" x14ac:dyDescent="0.3">
      <c r="B151" s="660" t="s">
        <v>108</v>
      </c>
      <c r="C151" s="243"/>
      <c r="D151" s="674"/>
      <c r="E151" s="243"/>
      <c r="F151" s="651"/>
      <c r="G151" s="244"/>
      <c r="H151" s="774"/>
    </row>
    <row r="152" spans="2:10" s="1" customFormat="1" x14ac:dyDescent="0.3">
      <c r="B152" s="378" t="s">
        <v>63</v>
      </c>
      <c r="C152" s="243"/>
      <c r="D152" s="674"/>
      <c r="E152" s="243"/>
      <c r="F152" s="757">
        <v>5099888.33</v>
      </c>
      <c r="G152" s="244"/>
      <c r="H152" s="2"/>
    </row>
    <row r="153" spans="2:10" ht="15" thickBot="1" x14ac:dyDescent="0.35">
      <c r="B153" s="661"/>
      <c r="C153" s="662"/>
      <c r="D153" s="679"/>
      <c r="E153" s="690">
        <f>SUM(E25:E152)</f>
        <v>8958980.4100000001</v>
      </c>
      <c r="F153" s="663">
        <f>SUM(F73:F152)</f>
        <v>36703958.771989249</v>
      </c>
      <c r="G153" s="240"/>
      <c r="H153" s="240"/>
    </row>
    <row r="154" spans="2:10" x14ac:dyDescent="0.3">
      <c r="B154" s="3"/>
      <c r="C154" s="3"/>
      <c r="D154" s="680"/>
      <c r="E154" s="197"/>
      <c r="F154" s="197"/>
      <c r="G154" s="198"/>
      <c r="H154" s="198"/>
    </row>
    <row r="155" spans="2:10" ht="42" hidden="1" x14ac:dyDescent="0.3">
      <c r="B155" s="3"/>
      <c r="C155" s="772" t="s">
        <v>842</v>
      </c>
      <c r="D155" s="681"/>
      <c r="E155" s="96"/>
      <c r="F155" s="96"/>
      <c r="G155" s="198"/>
      <c r="H155" s="198"/>
    </row>
    <row r="156" spans="2:10" x14ac:dyDescent="0.3">
      <c r="B156" s="3"/>
      <c r="C156" s="3"/>
      <c r="D156" s="680"/>
      <c r="E156" s="763"/>
      <c r="F156" s="197"/>
      <c r="G156" s="198"/>
      <c r="H156" s="198"/>
    </row>
    <row r="157" spans="2:10" x14ac:dyDescent="0.3">
      <c r="B157" s="3"/>
      <c r="C157" s="199"/>
      <c r="D157" s="681"/>
      <c r="E157" s="96"/>
      <c r="F157" s="96"/>
      <c r="G157" s="198"/>
      <c r="H157" s="198"/>
    </row>
    <row r="158" spans="2:10" x14ac:dyDescent="0.3">
      <c r="B158" s="3"/>
      <c r="C158" s="3"/>
      <c r="D158" s="680"/>
      <c r="E158" s="197"/>
      <c r="F158" s="197"/>
      <c r="G158" s="198"/>
      <c r="H158" s="208" t="s">
        <v>81</v>
      </c>
    </row>
    <row r="159" spans="2:10" x14ac:dyDescent="0.3">
      <c r="B159" s="3"/>
      <c r="C159" s="3"/>
      <c r="D159" s="681"/>
      <c r="E159" s="96"/>
      <c r="F159" s="96"/>
      <c r="G159" s="198"/>
      <c r="H159" s="198"/>
    </row>
    <row r="160" spans="2:10" x14ac:dyDescent="0.3">
      <c r="B160" s="3"/>
      <c r="C160" s="200"/>
      <c r="D160" s="682"/>
      <c r="E160" s="200"/>
      <c r="F160" s="200"/>
      <c r="G160" s="198"/>
      <c r="H160" s="198"/>
    </row>
    <row r="161" spans="2:8" x14ac:dyDescent="0.3">
      <c r="B161" s="3"/>
      <c r="C161" s="200"/>
      <c r="D161" s="682"/>
      <c r="E161" s="200"/>
      <c r="F161" s="200"/>
      <c r="G161" s="198"/>
      <c r="H161" s="198"/>
    </row>
    <row r="162" spans="2:8" x14ac:dyDescent="0.3">
      <c r="B162" s="3"/>
      <c r="C162" s="200"/>
      <c r="D162" s="682"/>
      <c r="E162" s="200"/>
      <c r="F162" s="200"/>
      <c r="G162" s="198"/>
      <c r="H162" s="198"/>
    </row>
    <row r="163" spans="2:8" x14ac:dyDescent="0.3">
      <c r="B163" s="3"/>
      <c r="C163" s="200"/>
      <c r="D163" s="682"/>
      <c r="E163" s="200"/>
      <c r="F163" s="200"/>
      <c r="G163" s="198"/>
      <c r="H163" s="198"/>
    </row>
    <row r="164" spans="2:8" x14ac:dyDescent="0.3">
      <c r="B164" s="3"/>
      <c r="C164" s="200"/>
      <c r="D164" s="682"/>
      <c r="E164" s="200"/>
      <c r="F164" s="200"/>
      <c r="G164" s="198"/>
      <c r="H164" s="198"/>
    </row>
    <row r="165" spans="2:8" x14ac:dyDescent="0.3">
      <c r="B165" s="3"/>
      <c r="C165" s="200"/>
      <c r="D165" s="682"/>
      <c r="E165" s="200"/>
      <c r="F165" s="200"/>
      <c r="G165" s="198"/>
      <c r="H165" s="198"/>
    </row>
    <row r="166" spans="2:8" x14ac:dyDescent="0.3">
      <c r="B166" s="3"/>
      <c r="C166" s="200"/>
      <c r="D166" s="682"/>
      <c r="E166" s="200"/>
      <c r="F166" s="200"/>
      <c r="G166" s="198"/>
      <c r="H166" s="198"/>
    </row>
    <row r="167" spans="2:8" x14ac:dyDescent="0.3">
      <c r="B167" s="3"/>
      <c r="C167" s="200"/>
      <c r="D167" s="682"/>
      <c r="E167" s="200"/>
      <c r="F167" s="200"/>
      <c r="G167" s="198"/>
      <c r="H167" s="198"/>
    </row>
    <row r="168" spans="2:8" x14ac:dyDescent="0.3">
      <c r="B168" s="3"/>
      <c r="C168" s="200"/>
      <c r="D168" s="682"/>
      <c r="E168" s="200"/>
      <c r="F168" s="200"/>
      <c r="G168" s="198"/>
      <c r="H168" s="198"/>
    </row>
    <row r="169" spans="2:8" x14ac:dyDescent="0.3">
      <c r="B169" s="3"/>
      <c r="C169" s="200"/>
      <c r="D169" s="682"/>
      <c r="E169" s="200"/>
      <c r="F169" s="200"/>
      <c r="G169" s="198"/>
      <c r="H169" s="198"/>
    </row>
    <row r="170" spans="2:8" x14ac:dyDescent="0.3">
      <c r="B170" s="3"/>
      <c r="C170" s="200"/>
      <c r="D170" s="682"/>
      <c r="E170" s="200"/>
      <c r="F170" s="200"/>
      <c r="G170" s="198"/>
      <c r="H170" s="198"/>
    </row>
    <row r="171" spans="2:8" x14ac:dyDescent="0.3">
      <c r="B171" s="3"/>
      <c r="C171" s="200"/>
      <c r="D171" s="682"/>
      <c r="E171" s="200"/>
      <c r="F171" s="200"/>
      <c r="G171" s="198"/>
      <c r="H171" s="198"/>
    </row>
    <row r="172" spans="2:8" x14ac:dyDescent="0.3">
      <c r="B172" s="3"/>
      <c r="C172" s="200"/>
      <c r="D172" s="682"/>
      <c r="E172" s="200"/>
      <c r="F172" s="200"/>
      <c r="G172" s="198"/>
      <c r="H172" s="198"/>
    </row>
    <row r="173" spans="2:8" x14ac:dyDescent="0.3">
      <c r="B173" s="3"/>
      <c r="C173" s="200"/>
      <c r="D173" s="682"/>
      <c r="E173" s="200"/>
      <c r="F173" s="200"/>
      <c r="G173" s="198"/>
      <c r="H173" s="198"/>
    </row>
    <row r="174" spans="2:8" x14ac:dyDescent="0.3">
      <c r="B174" s="3"/>
      <c r="C174" s="200"/>
      <c r="D174" s="682"/>
      <c r="E174" s="200"/>
      <c r="F174" s="200"/>
      <c r="G174" s="198"/>
      <c r="H174" s="198"/>
    </row>
    <row r="175" spans="2:8" x14ac:dyDescent="0.3">
      <c r="B175" s="3"/>
      <c r="C175" s="200"/>
      <c r="D175" s="682"/>
      <c r="E175" s="200"/>
      <c r="F175" s="200"/>
      <c r="G175" s="198"/>
      <c r="H175" s="198"/>
    </row>
    <row r="176" spans="2:8" x14ac:dyDescent="0.3">
      <c r="B176" s="3"/>
      <c r="C176" s="200"/>
      <c r="D176" s="682"/>
      <c r="E176" s="200"/>
      <c r="F176" s="200"/>
      <c r="G176" s="198"/>
      <c r="H176" s="198"/>
    </row>
    <row r="177" spans="2:8" x14ac:dyDescent="0.3">
      <c r="B177" s="3"/>
      <c r="C177" s="200"/>
      <c r="D177" s="682"/>
      <c r="E177" s="200"/>
      <c r="F177" s="200"/>
      <c r="G177" s="198"/>
      <c r="H177" s="198"/>
    </row>
    <row r="178" spans="2:8" x14ac:dyDescent="0.3">
      <c r="B178" s="3"/>
      <c r="C178" s="200"/>
      <c r="D178" s="682"/>
      <c r="E178" s="200"/>
      <c r="F178" s="200"/>
      <c r="G178" s="198"/>
      <c r="H178" s="198"/>
    </row>
    <row r="179" spans="2:8" x14ac:dyDescent="0.3">
      <c r="B179" s="3"/>
      <c r="C179" s="200"/>
      <c r="D179" s="682"/>
      <c r="E179" s="200"/>
      <c r="F179" s="200"/>
      <c r="G179" s="198"/>
      <c r="H179" s="198"/>
    </row>
    <row r="180" spans="2:8" x14ac:dyDescent="0.3">
      <c r="B180" s="3"/>
      <c r="C180" s="200"/>
      <c r="D180" s="682"/>
      <c r="E180" s="200"/>
      <c r="F180" s="200"/>
      <c r="G180" s="198"/>
      <c r="H180" s="198"/>
    </row>
    <row r="181" spans="2:8" x14ac:dyDescent="0.3">
      <c r="B181" s="3"/>
      <c r="C181" s="200"/>
      <c r="D181" s="682"/>
      <c r="E181" s="200"/>
      <c r="F181" s="200"/>
      <c r="G181" s="198"/>
      <c r="H181" s="198"/>
    </row>
    <row r="182" spans="2:8" x14ac:dyDescent="0.3">
      <c r="B182" s="3"/>
      <c r="C182" s="200"/>
      <c r="D182" s="682"/>
      <c r="E182" s="200"/>
      <c r="F182" s="200"/>
      <c r="G182" s="198"/>
      <c r="H182" s="198"/>
    </row>
    <row r="183" spans="2:8" x14ac:dyDescent="0.3">
      <c r="B183" s="3"/>
      <c r="C183" s="200"/>
      <c r="D183" s="682"/>
      <c r="E183" s="200"/>
      <c r="F183" s="200"/>
      <c r="G183" s="198"/>
      <c r="H183" s="198"/>
    </row>
    <row r="184" spans="2:8" x14ac:dyDescent="0.3">
      <c r="B184" s="3"/>
      <c r="C184" s="200"/>
      <c r="D184" s="682"/>
      <c r="E184" s="200"/>
      <c r="F184" s="200"/>
      <c r="G184" s="198"/>
      <c r="H184" s="198"/>
    </row>
    <row r="185" spans="2:8" x14ac:dyDescent="0.3">
      <c r="B185" s="3"/>
      <c r="C185" s="200"/>
      <c r="D185" s="682"/>
      <c r="E185" s="200"/>
      <c r="F185" s="200"/>
      <c r="G185" s="198"/>
      <c r="H185" s="198"/>
    </row>
    <row r="186" spans="2:8" x14ac:dyDescent="0.3">
      <c r="B186" s="3"/>
      <c r="C186" s="200"/>
      <c r="D186" s="682"/>
      <c r="E186" s="200"/>
      <c r="F186" s="200"/>
      <c r="G186" s="198"/>
      <c r="H186" s="198"/>
    </row>
    <row r="187" spans="2:8" x14ac:dyDescent="0.3">
      <c r="B187" s="3"/>
      <c r="C187" s="200"/>
      <c r="D187" s="682"/>
      <c r="E187" s="200"/>
      <c r="F187" s="200"/>
      <c r="G187" s="198"/>
      <c r="H187" s="198"/>
    </row>
    <row r="188" spans="2:8" x14ac:dyDescent="0.3">
      <c r="B188" s="3"/>
      <c r="C188" s="200"/>
      <c r="D188" s="682"/>
      <c r="E188" s="200"/>
      <c r="F188" s="200"/>
      <c r="G188" s="198"/>
      <c r="H188" s="198"/>
    </row>
    <row r="189" spans="2:8" x14ac:dyDescent="0.3">
      <c r="B189" s="3"/>
      <c r="C189" s="200"/>
      <c r="D189" s="682"/>
      <c r="E189" s="200"/>
      <c r="F189" s="200"/>
      <c r="G189" s="198"/>
      <c r="H189" s="198"/>
    </row>
    <row r="190" spans="2:8" x14ac:dyDescent="0.3">
      <c r="B190" s="3"/>
      <c r="C190" s="200"/>
      <c r="D190" s="682"/>
      <c r="E190" s="200"/>
      <c r="F190" s="200"/>
      <c r="G190" s="198"/>
      <c r="H190" s="198"/>
    </row>
    <row r="191" spans="2:8" x14ac:dyDescent="0.3">
      <c r="B191" s="3"/>
      <c r="C191" s="200"/>
      <c r="D191" s="682"/>
      <c r="E191" s="200"/>
      <c r="F191" s="200"/>
      <c r="G191" s="198"/>
      <c r="H191" s="198"/>
    </row>
    <row r="192" spans="2:8" x14ac:dyDescent="0.3">
      <c r="B192" s="3"/>
      <c r="C192" s="200"/>
      <c r="D192" s="682"/>
      <c r="E192" s="200"/>
      <c r="F192" s="200"/>
      <c r="G192" s="198"/>
      <c r="H192" s="198"/>
    </row>
    <row r="193" spans="2:8" x14ac:dyDescent="0.3">
      <c r="B193" s="3"/>
      <c r="C193" s="200"/>
      <c r="D193" s="682"/>
      <c r="E193" s="200"/>
      <c r="F193" s="200"/>
      <c r="G193" s="198"/>
      <c r="H193" s="198"/>
    </row>
    <row r="194" spans="2:8" x14ac:dyDescent="0.3">
      <c r="B194" s="3"/>
      <c r="C194" s="200"/>
      <c r="D194" s="682"/>
      <c r="E194" s="200"/>
      <c r="F194" s="200"/>
      <c r="G194" s="198"/>
      <c r="H194" s="198"/>
    </row>
    <row r="195" spans="2:8" x14ac:dyDescent="0.3">
      <c r="B195" s="3"/>
      <c r="C195" s="200"/>
      <c r="D195" s="682"/>
      <c r="E195" s="200"/>
      <c r="F195" s="200"/>
      <c r="G195" s="198"/>
      <c r="H195" s="198"/>
    </row>
    <row r="196" spans="2:8" x14ac:dyDescent="0.3">
      <c r="B196" s="3"/>
      <c r="C196" s="200"/>
      <c r="D196" s="682"/>
      <c r="E196" s="200"/>
      <c r="F196" s="200"/>
      <c r="G196" s="198"/>
      <c r="H196" s="198"/>
    </row>
    <row r="197" spans="2:8" x14ac:dyDescent="0.3">
      <c r="B197" s="3"/>
      <c r="C197" s="200"/>
      <c r="D197" s="682"/>
      <c r="E197" s="200"/>
      <c r="F197" s="200"/>
      <c r="G197" s="198"/>
      <c r="H197" s="198"/>
    </row>
    <row r="198" spans="2:8" x14ac:dyDescent="0.3">
      <c r="B198" s="3"/>
      <c r="C198" s="200"/>
      <c r="D198" s="682"/>
      <c r="E198" s="200"/>
      <c r="F198" s="200"/>
      <c r="G198" s="198"/>
      <c r="H198" s="198"/>
    </row>
    <row r="199" spans="2:8" x14ac:dyDescent="0.3">
      <c r="B199" s="3"/>
      <c r="C199" s="200"/>
      <c r="D199" s="682"/>
      <c r="E199" s="200"/>
      <c r="F199" s="200"/>
      <c r="G199" s="198"/>
      <c r="H199" s="198"/>
    </row>
    <row r="200" spans="2:8" x14ac:dyDescent="0.3">
      <c r="B200" s="3"/>
      <c r="C200" s="200"/>
      <c r="D200" s="682"/>
      <c r="E200" s="200"/>
      <c r="F200" s="200"/>
      <c r="G200" s="198"/>
      <c r="H200" s="198"/>
    </row>
    <row r="201" spans="2:8" x14ac:dyDescent="0.3">
      <c r="B201" s="3"/>
      <c r="C201" s="200"/>
      <c r="D201" s="682"/>
      <c r="E201" s="200"/>
      <c r="F201" s="200"/>
      <c r="G201" s="198"/>
      <c r="H201" s="198"/>
    </row>
    <row r="202" spans="2:8" x14ac:dyDescent="0.3">
      <c r="B202" s="3"/>
      <c r="C202" s="200"/>
      <c r="D202" s="682"/>
      <c r="E202" s="200"/>
      <c r="F202" s="200"/>
      <c r="G202" s="198"/>
      <c r="H202" s="198"/>
    </row>
    <row r="203" spans="2:8" x14ac:dyDescent="0.3">
      <c r="B203" s="3"/>
      <c r="C203" s="200"/>
      <c r="D203" s="682"/>
      <c r="E203" s="200"/>
      <c r="F203" s="200"/>
      <c r="G203" s="198"/>
      <c r="H203" s="198"/>
    </row>
    <row r="204" spans="2:8" x14ac:dyDescent="0.3">
      <c r="B204" s="3"/>
      <c r="C204" s="200"/>
      <c r="D204" s="682"/>
      <c r="E204" s="200"/>
      <c r="F204" s="200"/>
      <c r="G204" s="198"/>
      <c r="H204" s="198"/>
    </row>
    <row r="205" spans="2:8" x14ac:dyDescent="0.3">
      <c r="B205" s="3"/>
      <c r="C205" s="200"/>
      <c r="D205" s="682"/>
      <c r="E205" s="200"/>
      <c r="F205" s="200"/>
      <c r="G205" s="198"/>
      <c r="H205" s="198"/>
    </row>
    <row r="206" spans="2:8" x14ac:dyDescent="0.3">
      <c r="B206" s="3"/>
      <c r="C206" s="200"/>
      <c r="D206" s="682"/>
      <c r="E206" s="200"/>
      <c r="F206" s="200"/>
      <c r="G206" s="198"/>
      <c r="H206" s="198"/>
    </row>
    <row r="207" spans="2:8" x14ac:dyDescent="0.3">
      <c r="B207" s="3"/>
      <c r="C207" s="200"/>
      <c r="D207" s="682"/>
      <c r="E207" s="200"/>
      <c r="F207" s="200"/>
      <c r="G207" s="198"/>
      <c r="H207" s="198"/>
    </row>
    <row r="208" spans="2:8" x14ac:dyDescent="0.3">
      <c r="B208" s="3"/>
      <c r="C208" s="200"/>
      <c r="D208" s="682"/>
      <c r="E208" s="200"/>
      <c r="F208" s="200"/>
      <c r="G208" s="198"/>
      <c r="H208" s="198"/>
    </row>
    <row r="209" spans="2:8" x14ac:dyDescent="0.3">
      <c r="B209" s="3"/>
      <c r="C209" s="200"/>
      <c r="D209" s="682"/>
      <c r="E209" s="200"/>
      <c r="F209" s="200"/>
      <c r="G209" s="198"/>
      <c r="H209" s="198"/>
    </row>
    <row r="210" spans="2:8" x14ac:dyDescent="0.3">
      <c r="B210" s="3"/>
      <c r="C210" s="200"/>
      <c r="D210" s="682"/>
      <c r="E210" s="200"/>
      <c r="F210" s="200"/>
      <c r="G210" s="198"/>
      <c r="H210" s="198"/>
    </row>
    <row r="211" spans="2:8" x14ac:dyDescent="0.3">
      <c r="B211" s="3"/>
      <c r="C211" s="200"/>
      <c r="D211" s="682"/>
      <c r="E211" s="200"/>
      <c r="F211" s="200"/>
      <c r="G211" s="198"/>
      <c r="H211" s="198"/>
    </row>
    <row r="212" spans="2:8" x14ac:dyDescent="0.3">
      <c r="B212" s="3"/>
      <c r="C212" s="200"/>
      <c r="D212" s="682"/>
      <c r="E212" s="200"/>
      <c r="F212" s="200"/>
      <c r="G212" s="198"/>
      <c r="H212" s="198"/>
    </row>
    <row r="213" spans="2:8" x14ac:dyDescent="0.3">
      <c r="B213" s="3"/>
      <c r="C213" s="200"/>
      <c r="D213" s="682"/>
      <c r="E213" s="200"/>
      <c r="F213" s="200"/>
      <c r="G213" s="198"/>
      <c r="H213" s="198"/>
    </row>
    <row r="214" spans="2:8" x14ac:dyDescent="0.3">
      <c r="B214" s="3"/>
      <c r="C214" s="200"/>
      <c r="D214" s="682"/>
      <c r="E214" s="200"/>
      <c r="F214" s="200"/>
      <c r="G214" s="198"/>
      <c r="H214" s="198"/>
    </row>
    <row r="215" spans="2:8" x14ac:dyDescent="0.3">
      <c r="B215" s="3"/>
      <c r="C215" s="200"/>
      <c r="D215" s="682"/>
      <c r="E215" s="200"/>
      <c r="F215" s="200"/>
      <c r="G215" s="198"/>
      <c r="H215" s="198"/>
    </row>
    <row r="216" spans="2:8" x14ac:dyDescent="0.3">
      <c r="B216" s="3"/>
      <c r="C216" s="200"/>
      <c r="D216" s="682"/>
      <c r="E216" s="200"/>
      <c r="F216" s="200"/>
      <c r="G216" s="198"/>
      <c r="H216" s="198"/>
    </row>
    <row r="217" spans="2:8" x14ac:dyDescent="0.3">
      <c r="B217" s="3"/>
      <c r="C217" s="200"/>
      <c r="D217" s="682"/>
      <c r="E217" s="200"/>
      <c r="F217" s="200"/>
      <c r="G217" s="198"/>
      <c r="H217" s="198"/>
    </row>
    <row r="218" spans="2:8" x14ac:dyDescent="0.3">
      <c r="B218" s="3"/>
      <c r="C218" s="200"/>
      <c r="D218" s="682"/>
      <c r="E218" s="200"/>
      <c r="F218" s="200"/>
      <c r="G218" s="198"/>
      <c r="H218" s="198"/>
    </row>
    <row r="219" spans="2:8" x14ac:dyDescent="0.3">
      <c r="B219" s="3"/>
      <c r="C219" s="200"/>
      <c r="D219" s="682"/>
      <c r="E219" s="200"/>
      <c r="F219" s="200"/>
      <c r="G219" s="198"/>
      <c r="H219" s="198"/>
    </row>
    <row r="220" spans="2:8" x14ac:dyDescent="0.3">
      <c r="B220" s="3"/>
      <c r="C220" s="200"/>
      <c r="D220" s="682"/>
      <c r="E220" s="200"/>
      <c r="F220" s="200"/>
      <c r="G220" s="198"/>
      <c r="H220" s="198"/>
    </row>
    <row r="221" spans="2:8" x14ac:dyDescent="0.3">
      <c r="B221" s="3"/>
      <c r="C221" s="200"/>
      <c r="D221" s="682"/>
      <c r="E221" s="200"/>
      <c r="F221" s="200"/>
      <c r="G221" s="198"/>
      <c r="H221" s="198"/>
    </row>
    <row r="222" spans="2:8" x14ac:dyDescent="0.3">
      <c r="B222" s="3"/>
      <c r="C222" s="200"/>
      <c r="D222" s="682"/>
      <c r="E222" s="200"/>
      <c r="F222" s="200"/>
      <c r="G222" s="198"/>
      <c r="H222" s="198"/>
    </row>
    <row r="223" spans="2:8" x14ac:dyDescent="0.3">
      <c r="B223" s="3"/>
      <c r="C223" s="200"/>
      <c r="D223" s="682"/>
      <c r="E223" s="200"/>
      <c r="F223" s="200"/>
      <c r="G223" s="198"/>
      <c r="H223" s="198"/>
    </row>
    <row r="224" spans="2:8" x14ac:dyDescent="0.3">
      <c r="B224" s="3"/>
      <c r="C224" s="200"/>
      <c r="D224" s="682"/>
      <c r="E224" s="200"/>
      <c r="F224" s="200"/>
      <c r="G224" s="198"/>
      <c r="H224" s="198"/>
    </row>
    <row r="225" spans="2:8" x14ac:dyDescent="0.3">
      <c r="B225" s="3"/>
      <c r="C225" s="200"/>
      <c r="D225" s="682"/>
      <c r="E225" s="200"/>
      <c r="F225" s="200"/>
      <c r="G225" s="198"/>
      <c r="H225" s="198"/>
    </row>
    <row r="226" spans="2:8" x14ac:dyDescent="0.3">
      <c r="B226" s="3"/>
      <c r="C226" s="200"/>
      <c r="D226" s="682"/>
      <c r="E226" s="200"/>
      <c r="F226" s="200"/>
      <c r="G226" s="198"/>
      <c r="H226" s="198"/>
    </row>
    <row r="227" spans="2:8" x14ac:dyDescent="0.3">
      <c r="B227" s="3"/>
      <c r="C227" s="200"/>
      <c r="D227" s="682"/>
      <c r="E227" s="200"/>
      <c r="F227" s="200"/>
      <c r="G227" s="198"/>
      <c r="H227" s="198"/>
    </row>
    <row r="228" spans="2:8" x14ac:dyDescent="0.3">
      <c r="B228" s="3"/>
      <c r="C228" s="200"/>
      <c r="D228" s="682"/>
      <c r="E228" s="200"/>
      <c r="F228" s="200"/>
      <c r="G228" s="198"/>
      <c r="H228" s="198"/>
    </row>
    <row r="229" spans="2:8" x14ac:dyDescent="0.3">
      <c r="B229" s="3"/>
      <c r="C229" s="200"/>
      <c r="D229" s="682"/>
      <c r="E229" s="200"/>
      <c r="F229" s="200"/>
      <c r="G229" s="198"/>
      <c r="H229" s="198"/>
    </row>
    <row r="230" spans="2:8" x14ac:dyDescent="0.3">
      <c r="B230" s="3"/>
      <c r="C230" s="200"/>
      <c r="D230" s="682"/>
      <c r="E230" s="200"/>
      <c r="F230" s="200"/>
      <c r="G230" s="198"/>
      <c r="H230" s="198"/>
    </row>
    <row r="231" spans="2:8" x14ac:dyDescent="0.3">
      <c r="B231" s="3"/>
      <c r="C231" s="200"/>
      <c r="D231" s="682"/>
      <c r="E231" s="200"/>
      <c r="F231" s="200"/>
      <c r="G231" s="198"/>
      <c r="H231" s="198"/>
    </row>
    <row r="232" spans="2:8" x14ac:dyDescent="0.3">
      <c r="B232" s="3"/>
      <c r="C232" s="200"/>
      <c r="D232" s="682"/>
      <c r="E232" s="200"/>
      <c r="F232" s="200"/>
      <c r="G232" s="198"/>
      <c r="H232" s="198"/>
    </row>
    <row r="233" spans="2:8" x14ac:dyDescent="0.3">
      <c r="B233" s="3"/>
      <c r="C233" s="200"/>
      <c r="D233" s="682"/>
      <c r="E233" s="200"/>
      <c r="F233" s="200"/>
      <c r="G233" s="198"/>
      <c r="H233" s="198"/>
    </row>
    <row r="234" spans="2:8" x14ac:dyDescent="0.3">
      <c r="B234" s="3"/>
      <c r="C234" s="200"/>
      <c r="D234" s="682"/>
      <c r="E234" s="200"/>
      <c r="F234" s="200"/>
      <c r="G234" s="198"/>
      <c r="H234" s="198"/>
    </row>
    <row r="235" spans="2:8" x14ac:dyDescent="0.3">
      <c r="B235" s="3"/>
      <c r="C235" s="200"/>
      <c r="D235" s="682"/>
      <c r="E235" s="200"/>
      <c r="F235" s="200"/>
      <c r="G235" s="198"/>
      <c r="H235" s="198"/>
    </row>
    <row r="236" spans="2:8" x14ac:dyDescent="0.3">
      <c r="B236" s="3"/>
      <c r="C236" s="200"/>
      <c r="D236" s="682"/>
      <c r="E236" s="200"/>
      <c r="F236" s="200"/>
      <c r="G236" s="198"/>
      <c r="H236" s="198"/>
    </row>
    <row r="237" spans="2:8" x14ac:dyDescent="0.3">
      <c r="B237" s="3"/>
      <c r="C237" s="200"/>
      <c r="D237" s="682"/>
      <c r="E237" s="200"/>
      <c r="F237" s="200"/>
      <c r="G237" s="198"/>
      <c r="H237" s="198"/>
    </row>
    <row r="238" spans="2:8" x14ac:dyDescent="0.3">
      <c r="B238" s="3"/>
      <c r="C238" s="200"/>
      <c r="D238" s="682"/>
      <c r="E238" s="200"/>
      <c r="F238" s="200"/>
      <c r="G238" s="198"/>
      <c r="H238" s="198"/>
    </row>
    <row r="239" spans="2:8" x14ac:dyDescent="0.3">
      <c r="B239" s="3"/>
      <c r="C239" s="200"/>
      <c r="D239" s="682"/>
      <c r="E239" s="200"/>
      <c r="F239" s="200"/>
      <c r="G239" s="198"/>
      <c r="H239" s="198"/>
    </row>
    <row r="240" spans="2:8" x14ac:dyDescent="0.3">
      <c r="B240" s="3"/>
      <c r="C240" s="200"/>
      <c r="D240" s="682"/>
      <c r="E240" s="200"/>
      <c r="F240" s="200"/>
      <c r="G240" s="198"/>
      <c r="H240" s="198"/>
    </row>
  </sheetData>
  <mergeCells count="15">
    <mergeCell ref="B132:C132"/>
    <mergeCell ref="B148:C148"/>
    <mergeCell ref="B149:C149"/>
    <mergeCell ref="B134:C134"/>
    <mergeCell ref="B135:C135"/>
    <mergeCell ref="B136:C136"/>
    <mergeCell ref="B141:C141"/>
    <mergeCell ref="B142:C142"/>
    <mergeCell ref="B128:C128"/>
    <mergeCell ref="B126:C126"/>
    <mergeCell ref="B127:C127"/>
    <mergeCell ref="B131:C131"/>
    <mergeCell ref="E12:F12"/>
    <mergeCell ref="B129:C129"/>
    <mergeCell ref="B130:C130"/>
  </mergeCells>
  <pageMargins left="0.7" right="0.7" top="0.75" bottom="0.75" header="0.3" footer="0.3"/>
  <pageSetup paperSize="9" scale="43"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sheetPr>
  <dimension ref="A1:H10"/>
  <sheetViews>
    <sheetView workbookViewId="0">
      <selection activeCell="D7" sqref="D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453</v>
      </c>
      <c r="C7" s="335" t="s">
        <v>454</v>
      </c>
      <c r="D7" s="336">
        <v>137311</v>
      </c>
      <c r="E7" s="293" t="s">
        <v>147</v>
      </c>
      <c r="F7" s="337">
        <v>44100</v>
      </c>
      <c r="G7" s="338" t="s">
        <v>148</v>
      </c>
      <c r="H7" s="338" t="s">
        <v>158</v>
      </c>
    </row>
    <row r="8" spans="1:8" x14ac:dyDescent="0.3">
      <c r="A8" s="333" t="s">
        <v>145</v>
      </c>
      <c r="B8" s="334"/>
      <c r="C8" s="335"/>
      <c r="D8" s="336"/>
      <c r="E8" s="293"/>
      <c r="F8" s="337"/>
      <c r="G8" s="338"/>
      <c r="H8" s="338"/>
    </row>
    <row r="9" spans="1:8" ht="15" thickBot="1" x14ac:dyDescent="0.35">
      <c r="F9" s="374">
        <f>SUM(F7:F8)</f>
        <v>44100</v>
      </c>
    </row>
    <row r="10" spans="1:8" ht="15" thickTop="1" x14ac:dyDescent="0.3"/>
  </sheetData>
  <hyperlinks>
    <hyperlink ref="A1" location="'C.5.11.1 F&amp;W Register'!A1" display="Back to MFMA-7.1 F&amp;W Register"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000"/>
    <pageSetUpPr fitToPage="1"/>
  </sheetPr>
  <dimension ref="B1:T163"/>
  <sheetViews>
    <sheetView topLeftCell="A142" zoomScale="80" zoomScaleNormal="80" zoomScaleSheetLayoutView="90" workbookViewId="0">
      <selection activeCell="F161" sqref="F161"/>
    </sheetView>
  </sheetViews>
  <sheetFormatPr defaultColWidth="9.109375" defaultRowHeight="13.8" x14ac:dyDescent="0.3"/>
  <cols>
    <col min="1" max="1" width="0.88671875" style="281" customWidth="1"/>
    <col min="2" max="2" width="37.44140625" style="281" customWidth="1"/>
    <col min="3" max="3" width="24.33203125" style="281" customWidth="1"/>
    <col min="4" max="4" width="18.109375" style="281" customWidth="1"/>
    <col min="5" max="5" width="17.109375" style="281" customWidth="1"/>
    <col min="6" max="6" width="15.6640625" style="281" bestFit="1" customWidth="1"/>
    <col min="7" max="7" width="16.109375" style="281" customWidth="1"/>
    <col min="8" max="8" width="13.109375" style="281" customWidth="1"/>
    <col min="9" max="9" width="19.33203125" style="281" customWidth="1"/>
    <col min="10" max="10" width="14.44140625" style="281" customWidth="1"/>
    <col min="11" max="11" width="14" style="281" customWidth="1"/>
    <col min="12" max="12" width="19.44140625" style="281" customWidth="1"/>
    <col min="13" max="13" width="14.6640625" style="281" customWidth="1"/>
    <col min="14" max="14" width="9.5546875" style="281" customWidth="1"/>
    <col min="15" max="15" width="15.44140625" style="281" customWidth="1"/>
    <col min="16" max="16" width="14.44140625" style="281" customWidth="1"/>
    <col min="17" max="17" width="14.88671875" style="281" customWidth="1"/>
    <col min="18" max="18" width="15.88671875" style="281" customWidth="1"/>
    <col min="19" max="19" width="11.44140625" style="281" customWidth="1"/>
    <col min="20" max="16384" width="9.109375" style="281"/>
  </cols>
  <sheetData>
    <row r="1" spans="2:20" ht="14.4" thickBot="1" x14ac:dyDescent="0.35">
      <c r="B1" s="468"/>
      <c r="C1" s="469"/>
      <c r="D1" s="469"/>
      <c r="E1" s="469"/>
      <c r="F1" s="469"/>
      <c r="G1" s="469"/>
      <c r="H1" s="469"/>
      <c r="I1" s="469"/>
      <c r="J1" s="469"/>
      <c r="K1" s="469"/>
      <c r="L1" s="301"/>
      <c r="M1" s="301"/>
      <c r="N1" s="301"/>
      <c r="O1" s="301"/>
      <c r="P1" s="301"/>
    </row>
    <row r="2" spans="2:20" x14ac:dyDescent="0.3">
      <c r="B2" s="470"/>
      <c r="C2" s="471"/>
      <c r="D2" s="471"/>
      <c r="E2" s="471"/>
      <c r="F2" s="472" t="s">
        <v>2</v>
      </c>
      <c r="G2" s="473" t="s">
        <v>472</v>
      </c>
      <c r="H2" s="473"/>
      <c r="I2" s="473"/>
      <c r="J2" s="473"/>
      <c r="K2" s="473"/>
      <c r="L2" s="474"/>
      <c r="M2" s="474"/>
      <c r="N2" s="474"/>
      <c r="O2" s="474"/>
      <c r="P2" s="474"/>
      <c r="Q2" s="474"/>
      <c r="R2" s="474"/>
      <c r="S2" s="474"/>
      <c r="T2" s="475"/>
    </row>
    <row r="3" spans="2:20" x14ac:dyDescent="0.3">
      <c r="B3" s="468"/>
      <c r="C3" s="469"/>
      <c r="D3" s="469"/>
      <c r="E3" s="469"/>
      <c r="F3" s="476" t="s">
        <v>3</v>
      </c>
      <c r="G3" s="477" t="s">
        <v>473</v>
      </c>
      <c r="H3" s="477"/>
      <c r="I3" s="478"/>
      <c r="J3" s="478"/>
      <c r="K3" s="478"/>
      <c r="L3" s="301"/>
      <c r="M3" s="301"/>
      <c r="N3" s="301"/>
      <c r="O3" s="301"/>
      <c r="P3" s="301"/>
      <c r="Q3" s="301"/>
      <c r="R3" s="301"/>
      <c r="S3" s="301"/>
      <c r="T3" s="479"/>
    </row>
    <row r="4" spans="2:20" x14ac:dyDescent="0.3">
      <c r="B4" s="468"/>
      <c r="C4" s="469"/>
      <c r="D4" s="469"/>
      <c r="E4" s="469"/>
      <c r="F4" s="476" t="s">
        <v>4</v>
      </c>
      <c r="G4" s="480" t="s">
        <v>474</v>
      </c>
      <c r="H4" s="480"/>
      <c r="I4" s="481"/>
      <c r="J4" s="481"/>
      <c r="K4" s="481"/>
      <c r="L4" s="301"/>
      <c r="M4" s="301"/>
      <c r="N4" s="301"/>
      <c r="O4" s="301"/>
      <c r="P4" s="301"/>
      <c r="Q4" s="301"/>
      <c r="R4" s="301"/>
      <c r="S4" s="301"/>
      <c r="T4" s="479"/>
    </row>
    <row r="5" spans="2:20" x14ac:dyDescent="0.3">
      <c r="B5" s="468"/>
      <c r="C5" s="469"/>
      <c r="D5" s="469"/>
      <c r="E5" s="469"/>
      <c r="F5" s="476" t="s">
        <v>5</v>
      </c>
      <c r="G5" s="477" t="s">
        <v>475</v>
      </c>
      <c r="H5" s="477"/>
      <c r="I5" s="478"/>
      <c r="J5" s="478"/>
      <c r="K5" s="478"/>
      <c r="L5" s="301"/>
      <c r="M5" s="301"/>
      <c r="N5" s="301"/>
      <c r="O5" s="301"/>
      <c r="P5" s="301"/>
      <c r="Q5" s="301"/>
      <c r="R5" s="301"/>
      <c r="S5" s="301"/>
      <c r="T5" s="479"/>
    </row>
    <row r="6" spans="2:20" x14ac:dyDescent="0.3">
      <c r="B6" s="468"/>
      <c r="C6" s="469"/>
      <c r="D6" s="469"/>
      <c r="E6" s="469"/>
      <c r="F6" s="476" t="s">
        <v>4</v>
      </c>
      <c r="G6" s="482"/>
      <c r="H6" s="482"/>
      <c r="I6" s="483"/>
      <c r="J6" s="483"/>
      <c r="K6" s="483"/>
      <c r="L6" s="301"/>
      <c r="M6" s="301"/>
      <c r="N6" s="301"/>
      <c r="O6" s="301"/>
      <c r="P6" s="301"/>
      <c r="Q6" s="301"/>
      <c r="R6" s="301"/>
      <c r="S6" s="301"/>
      <c r="T6" s="479"/>
    </row>
    <row r="7" spans="2:20" x14ac:dyDescent="0.3">
      <c r="B7" s="468"/>
      <c r="C7" s="469"/>
      <c r="D7" s="469"/>
      <c r="E7" s="469"/>
      <c r="F7" s="476"/>
      <c r="G7" s="483"/>
      <c r="H7" s="483"/>
      <c r="I7" s="483"/>
      <c r="J7" s="483"/>
      <c r="K7" s="483"/>
      <c r="L7" s="301"/>
      <c r="M7" s="301"/>
      <c r="N7" s="301"/>
      <c r="O7" s="301"/>
      <c r="P7" s="301"/>
      <c r="Q7" s="301"/>
      <c r="R7" s="301"/>
      <c r="S7" s="301"/>
      <c r="T7" s="479"/>
    </row>
    <row r="8" spans="2:20" x14ac:dyDescent="0.3">
      <c r="B8" s="468" t="s">
        <v>476</v>
      </c>
      <c r="C8" s="484" t="s">
        <v>477</v>
      </c>
      <c r="D8" s="484"/>
      <c r="E8" s="484"/>
      <c r="F8" s="484"/>
      <c r="G8" s="484"/>
      <c r="H8" s="484"/>
      <c r="I8" s="484"/>
      <c r="J8" s="484"/>
      <c r="K8" s="484"/>
      <c r="L8" s="301"/>
      <c r="M8" s="301"/>
      <c r="N8" s="301"/>
      <c r="O8" s="301"/>
      <c r="P8" s="301"/>
      <c r="Q8" s="301"/>
      <c r="R8" s="301"/>
      <c r="S8" s="301"/>
      <c r="T8" s="479"/>
    </row>
    <row r="9" spans="2:20" x14ac:dyDescent="0.3">
      <c r="B9" s="468" t="s">
        <v>6</v>
      </c>
      <c r="C9" s="485" t="s">
        <v>478</v>
      </c>
      <c r="D9" s="486"/>
      <c r="E9" s="486"/>
      <c r="F9" s="486"/>
      <c r="G9" s="486"/>
      <c r="H9" s="486"/>
      <c r="I9" s="486"/>
      <c r="J9" s="486"/>
      <c r="K9" s="486"/>
      <c r="L9" s="301"/>
      <c r="M9" s="301"/>
      <c r="N9" s="301"/>
      <c r="O9" s="301"/>
      <c r="P9" s="301"/>
      <c r="Q9" s="301"/>
      <c r="R9" s="301"/>
      <c r="S9" s="301"/>
      <c r="T9" s="479"/>
    </row>
    <row r="10" spans="2:20" x14ac:dyDescent="0.3">
      <c r="B10" s="468" t="s">
        <v>7</v>
      </c>
      <c r="C10" s="487" t="s">
        <v>479</v>
      </c>
      <c r="D10" s="487"/>
      <c r="E10" s="487"/>
      <c r="F10" s="487"/>
      <c r="G10" s="487"/>
      <c r="H10" s="487"/>
      <c r="I10" s="487"/>
      <c r="J10" s="487"/>
      <c r="K10" s="487"/>
      <c r="L10" s="301"/>
      <c r="M10" s="301"/>
      <c r="N10" s="301"/>
      <c r="O10" s="301"/>
      <c r="P10" s="301"/>
      <c r="Q10" s="301"/>
      <c r="R10" s="301"/>
      <c r="S10" s="301"/>
      <c r="T10" s="479"/>
    </row>
    <row r="11" spans="2:20" ht="14.4" thickBot="1" x14ac:dyDescent="0.35">
      <c r="B11" s="488"/>
      <c r="C11" s="489"/>
      <c r="D11" s="489"/>
      <c r="E11" s="489"/>
      <c r="F11" s="489"/>
      <c r="G11" s="489"/>
      <c r="H11" s="489"/>
      <c r="I11" s="489"/>
      <c r="J11" s="489"/>
      <c r="K11" s="489"/>
      <c r="L11" s="490"/>
      <c r="M11" s="490"/>
      <c r="N11" s="490"/>
      <c r="O11" s="490"/>
      <c r="P11" s="490"/>
      <c r="Q11" s="490"/>
      <c r="R11" s="490"/>
      <c r="S11" s="490"/>
      <c r="T11" s="491"/>
    </row>
    <row r="12" spans="2:20" x14ac:dyDescent="0.3">
      <c r="B12" s="470"/>
      <c r="C12" s="492"/>
      <c r="D12" s="492"/>
      <c r="E12" s="492"/>
      <c r="F12" s="492"/>
      <c r="G12" s="492"/>
      <c r="H12" s="492"/>
      <c r="I12" s="492"/>
      <c r="J12" s="492"/>
      <c r="K12" s="492"/>
      <c r="L12" s="474"/>
      <c r="M12" s="474"/>
      <c r="N12" s="474"/>
      <c r="O12" s="474"/>
      <c r="P12" s="474"/>
      <c r="Q12" s="474"/>
      <c r="R12" s="474"/>
      <c r="S12" s="474"/>
      <c r="T12" s="475"/>
    </row>
    <row r="13" spans="2:20" x14ac:dyDescent="0.3">
      <c r="B13" s="468" t="s">
        <v>480</v>
      </c>
      <c r="C13" s="487"/>
      <c r="D13" s="487"/>
      <c r="E13" s="487"/>
      <c r="F13" s="487"/>
      <c r="G13" s="487"/>
      <c r="H13" s="487"/>
      <c r="I13" s="487"/>
      <c r="J13" s="487"/>
      <c r="K13" s="487"/>
      <c r="L13" s="301"/>
      <c r="M13" s="301"/>
      <c r="N13" s="301"/>
      <c r="O13" s="301"/>
      <c r="P13" s="301"/>
      <c r="Q13" s="301"/>
      <c r="R13" s="301"/>
      <c r="S13" s="301"/>
      <c r="T13" s="479"/>
    </row>
    <row r="14" spans="2:20" x14ac:dyDescent="0.3">
      <c r="B14" s="493"/>
      <c r="C14" s="487"/>
      <c r="D14" s="487"/>
      <c r="E14" s="487"/>
      <c r="F14" s="487"/>
      <c r="G14" s="487"/>
      <c r="H14" s="487"/>
      <c r="I14" s="487"/>
      <c r="J14" s="487"/>
      <c r="K14" s="487"/>
      <c r="L14" s="301"/>
      <c r="M14" s="301"/>
      <c r="N14" s="301"/>
      <c r="O14" s="301"/>
      <c r="P14" s="301"/>
      <c r="Q14" s="301"/>
      <c r="R14" s="301"/>
      <c r="S14" s="301"/>
      <c r="T14" s="479"/>
    </row>
    <row r="15" spans="2:20" x14ac:dyDescent="0.3">
      <c r="B15" s="493" t="s">
        <v>481</v>
      </c>
      <c r="C15" s="487"/>
      <c r="D15" s="487"/>
      <c r="E15" s="487"/>
      <c r="F15" s="487"/>
      <c r="G15" s="487"/>
      <c r="H15" s="487"/>
      <c r="I15" s="494"/>
      <c r="J15" s="487"/>
      <c r="K15" s="487"/>
      <c r="L15" s="301"/>
      <c r="M15" s="301"/>
      <c r="N15" s="301"/>
      <c r="O15" s="301"/>
      <c r="P15" s="301"/>
      <c r="Q15" s="301"/>
      <c r="R15" s="301"/>
      <c r="S15" s="301"/>
      <c r="T15" s="479"/>
    </row>
    <row r="16" spans="2:20" ht="14.4" thickBot="1" x14ac:dyDescent="0.35">
      <c r="B16" s="493" t="s">
        <v>482</v>
      </c>
      <c r="C16" s="487"/>
      <c r="D16" s="487"/>
      <c r="E16" s="487"/>
      <c r="F16" s="487"/>
      <c r="G16" s="487"/>
      <c r="H16" s="487"/>
      <c r="I16" s="487"/>
      <c r="J16" s="487"/>
      <c r="K16" s="487"/>
      <c r="L16" s="301"/>
      <c r="M16" s="301"/>
      <c r="N16" s="301"/>
      <c r="O16" s="301"/>
      <c r="P16" s="301"/>
      <c r="Q16" s="301"/>
      <c r="R16" s="301"/>
      <c r="S16" s="301"/>
      <c r="T16" s="479"/>
    </row>
    <row r="17" spans="2:20" ht="14.4" thickBot="1" x14ac:dyDescent="0.35">
      <c r="B17" s="468"/>
      <c r="C17" s="487"/>
      <c r="D17" s="487"/>
      <c r="E17" s="487"/>
      <c r="F17" s="487"/>
      <c r="G17" s="487"/>
      <c r="H17" s="487"/>
      <c r="I17" s="487"/>
      <c r="J17" s="487"/>
      <c r="K17" s="487"/>
      <c r="L17" s="495"/>
      <c r="M17" s="301"/>
      <c r="N17" s="301"/>
      <c r="O17" s="495"/>
      <c r="P17" s="816" t="s">
        <v>483</v>
      </c>
      <c r="Q17" s="817"/>
      <c r="R17" s="301"/>
      <c r="S17" s="301"/>
      <c r="T17" s="479"/>
    </row>
    <row r="18" spans="2:20" ht="15" customHeight="1" x14ac:dyDescent="0.3">
      <c r="B18" s="496"/>
      <c r="C18" s="818" t="s">
        <v>484</v>
      </c>
      <c r="D18" s="820" t="s">
        <v>485</v>
      </c>
      <c r="E18" s="821"/>
      <c r="F18" s="822"/>
      <c r="G18" s="823" t="s">
        <v>486</v>
      </c>
      <c r="H18" s="497" t="s">
        <v>487</v>
      </c>
      <c r="I18" s="825" t="s">
        <v>488</v>
      </c>
      <c r="J18" s="826"/>
      <c r="K18" s="826"/>
      <c r="L18" s="827" t="s">
        <v>489</v>
      </c>
      <c r="M18" s="815" t="s">
        <v>486</v>
      </c>
      <c r="N18" s="498" t="s">
        <v>487</v>
      </c>
      <c r="O18" s="829" t="s">
        <v>490</v>
      </c>
      <c r="P18" s="830" t="s">
        <v>491</v>
      </c>
      <c r="Q18" s="832" t="s">
        <v>489</v>
      </c>
      <c r="R18" s="815" t="s">
        <v>486</v>
      </c>
      <c r="S18" s="301"/>
      <c r="T18" s="479"/>
    </row>
    <row r="19" spans="2:20" ht="41.4" x14ac:dyDescent="0.3">
      <c r="B19" s="496"/>
      <c r="C19" s="819"/>
      <c r="D19" s="499" t="s">
        <v>492</v>
      </c>
      <c r="E19" s="499" t="s">
        <v>493</v>
      </c>
      <c r="F19" s="499" t="s">
        <v>494</v>
      </c>
      <c r="G19" s="824"/>
      <c r="H19" s="500"/>
      <c r="I19" s="501" t="s">
        <v>495</v>
      </c>
      <c r="J19" s="501" t="s">
        <v>496</v>
      </c>
      <c r="K19" s="502" t="s">
        <v>497</v>
      </c>
      <c r="L19" s="828"/>
      <c r="M19" s="815"/>
      <c r="N19" s="499"/>
      <c r="O19" s="829"/>
      <c r="P19" s="831"/>
      <c r="Q19" s="828"/>
      <c r="R19" s="815"/>
      <c r="S19" s="301"/>
      <c r="T19" s="479"/>
    </row>
    <row r="20" spans="2:20" x14ac:dyDescent="0.3">
      <c r="B20" s="496" t="s">
        <v>498</v>
      </c>
      <c r="C20" s="503">
        <f>1298317</f>
        <v>1298317</v>
      </c>
      <c r="D20" s="436">
        <f>'[2]Top 4 - 201718 FY'!P22-'[2]Top 4 - 201718 FY'!P21</f>
        <v>1298316.96</v>
      </c>
      <c r="E20" s="436">
        <f>'[2]Top 4 - 201718 FY'!P32-'[2]Top 4 - 201718 FY'!P31</f>
        <v>0</v>
      </c>
      <c r="F20" s="436">
        <f>SUM(D20:E20)</f>
        <v>1298316.96</v>
      </c>
      <c r="G20" s="436">
        <f>C20-F20</f>
        <v>4.0000000037252903E-2</v>
      </c>
      <c r="H20" s="504"/>
      <c r="I20" s="503">
        <f>3400*12</f>
        <v>40800</v>
      </c>
      <c r="J20" s="503">
        <f>300*12</f>
        <v>3600</v>
      </c>
      <c r="K20" s="503">
        <f>I20+J20</f>
        <v>44400</v>
      </c>
      <c r="L20" s="505">
        <f>'[2]Top 4 - 201718 FY'!P21</f>
        <v>44400</v>
      </c>
      <c r="M20" s="506">
        <f>K20-L20</f>
        <v>0</v>
      </c>
      <c r="N20" s="504"/>
      <c r="O20" s="507">
        <f>F20+L20</f>
        <v>1342716.96</v>
      </c>
      <c r="P20" s="503">
        <f>C20*0.25</f>
        <v>324579.25</v>
      </c>
      <c r="Q20" s="505">
        <v>0</v>
      </c>
      <c r="R20" s="508">
        <f>P20-Q20</f>
        <v>324579.25</v>
      </c>
      <c r="S20" s="509"/>
      <c r="T20" s="479"/>
    </row>
    <row r="21" spans="2:20" x14ac:dyDescent="0.3">
      <c r="B21" s="496" t="s">
        <v>499</v>
      </c>
      <c r="C21" s="503">
        <f>1048546</f>
        <v>1048546</v>
      </c>
      <c r="D21" s="436">
        <f>'[2]Top 4 - 201718 FY'!P56-'[2]Top 4 - 201718 FY'!P55</f>
        <v>935501.16999999993</v>
      </c>
      <c r="E21" s="436">
        <f>'[2]Top 4 - 201718 FY'!P71-'[2]Top 4 - 201718 FY'!P70</f>
        <v>113044.85999999999</v>
      </c>
      <c r="F21" s="436">
        <f>SUM(D21:E21)</f>
        <v>1048546.0299999999</v>
      </c>
      <c r="G21" s="278">
        <f>C21-F21</f>
        <v>-2.9999999911524355E-2</v>
      </c>
      <c r="H21" s="510"/>
      <c r="I21" s="503">
        <f t="shared" ref="I21:I23" si="0">3400*12</f>
        <v>40800</v>
      </c>
      <c r="J21" s="503">
        <f t="shared" ref="J21:J23" si="1">300*12</f>
        <v>3600</v>
      </c>
      <c r="K21" s="503">
        <f t="shared" ref="K21:K26" si="2">I21+J21</f>
        <v>44400</v>
      </c>
      <c r="L21" s="505">
        <f>'[2]Top 4 - 201718 FY'!P55</f>
        <v>44400</v>
      </c>
      <c r="M21" s="506">
        <f t="shared" ref="M21:M25" si="3">K21-L21</f>
        <v>0</v>
      </c>
      <c r="N21" s="510"/>
      <c r="O21" s="507">
        <f>F21+L21</f>
        <v>1092946.0299999998</v>
      </c>
      <c r="P21" s="503">
        <f t="shared" ref="P21:P25" si="4">C21*0.25</f>
        <v>262136.5</v>
      </c>
      <c r="Q21" s="505">
        <f>'[2]Top 4 - 201718 FY'!P52</f>
        <v>262136.50999999998</v>
      </c>
      <c r="R21" s="508">
        <f>P21-Q21</f>
        <v>-9.9999999802093953E-3</v>
      </c>
      <c r="S21" s="511"/>
      <c r="T21" s="479"/>
    </row>
    <row r="22" spans="2:20" x14ac:dyDescent="0.3">
      <c r="B22" s="496" t="s">
        <v>500</v>
      </c>
      <c r="C22" s="503">
        <f>1048546</f>
        <v>1048546</v>
      </c>
      <c r="D22" s="436">
        <f>'[2]Top 4 - 201718 FY'!P99-'[2]Top 4 - 201718 FY'!P98</f>
        <v>1112121.6100000001</v>
      </c>
      <c r="E22" s="436">
        <f>'[2]Top 4 - 201718 FY'!P119-'[2]Top 4 - 201718 FY'!P118</f>
        <v>17280</v>
      </c>
      <c r="F22" s="436">
        <f>SUM(D22:E22)</f>
        <v>1129401.6100000001</v>
      </c>
      <c r="G22" s="512">
        <f>C22-F22</f>
        <v>-80855.610000000102</v>
      </c>
      <c r="H22" s="510" t="s">
        <v>501</v>
      </c>
      <c r="I22" s="503">
        <f t="shared" si="0"/>
        <v>40800</v>
      </c>
      <c r="J22" s="503">
        <f t="shared" si="1"/>
        <v>3600</v>
      </c>
      <c r="K22" s="503">
        <f t="shared" si="2"/>
        <v>44400</v>
      </c>
      <c r="L22" s="505">
        <f>'[2]Top 4 - 201718 FY'!P98</f>
        <v>44400</v>
      </c>
      <c r="M22" s="506">
        <f t="shared" si="3"/>
        <v>0</v>
      </c>
      <c r="N22" s="510"/>
      <c r="O22" s="507">
        <f t="shared" ref="O22:O26" si="5">F22+L22</f>
        <v>1173801.6100000001</v>
      </c>
      <c r="P22" s="503">
        <f>C22*0.25</f>
        <v>262136.5</v>
      </c>
      <c r="Q22" s="505">
        <f>'[2]Top 4 - 201718 FY'!P95</f>
        <v>262136.50999999998</v>
      </c>
      <c r="R22" s="508">
        <f t="shared" ref="R22:R24" si="6">P22-Q22</f>
        <v>-9.9999999802093953E-3</v>
      </c>
      <c r="S22" s="511"/>
      <c r="T22" s="479"/>
    </row>
    <row r="23" spans="2:20" x14ac:dyDescent="0.3">
      <c r="B23" s="496" t="s">
        <v>502</v>
      </c>
      <c r="C23" s="503">
        <f>987714</f>
        <v>987714</v>
      </c>
      <c r="D23" s="436">
        <f>'[2]Top 4 - 201718 FY'!P150-'[2]Top 4 - 201718 FY'!P149</f>
        <v>893390.4</v>
      </c>
      <c r="E23" s="436">
        <f>'[2]Top 4 - 201718 FY'!P168-'[2]Top 4 - 201718 FY'!P167</f>
        <v>97203.66</v>
      </c>
      <c r="F23" s="436">
        <f t="shared" ref="F23:F25" si="7">SUM(D23:E23)</f>
        <v>990594.06</v>
      </c>
      <c r="G23" s="512">
        <f>C23-F23</f>
        <v>-2880.0600000000559</v>
      </c>
      <c r="H23" s="510" t="s">
        <v>503</v>
      </c>
      <c r="I23" s="503">
        <f t="shared" si="0"/>
        <v>40800</v>
      </c>
      <c r="J23" s="503">
        <f t="shared" si="1"/>
        <v>3600</v>
      </c>
      <c r="K23" s="503">
        <f t="shared" si="2"/>
        <v>44400</v>
      </c>
      <c r="L23" s="505">
        <f>'[2]Top 4 - 201718 FY'!P149</f>
        <v>44400</v>
      </c>
      <c r="M23" s="506">
        <f t="shared" si="3"/>
        <v>0</v>
      </c>
      <c r="N23" s="510"/>
      <c r="O23" s="507">
        <f t="shared" si="5"/>
        <v>1034994.06</v>
      </c>
      <c r="P23" s="503">
        <f t="shared" si="4"/>
        <v>246928.5</v>
      </c>
      <c r="Q23" s="505">
        <f>'[2]Top 4 - 201718 FY'!P146</f>
        <v>246928.53000000003</v>
      </c>
      <c r="R23" s="508">
        <f t="shared" si="6"/>
        <v>-3.0000000027939677E-2</v>
      </c>
      <c r="S23" s="513"/>
      <c r="T23" s="479"/>
    </row>
    <row r="24" spans="2:20" x14ac:dyDescent="0.3">
      <c r="B24" s="496" t="s">
        <v>504</v>
      </c>
      <c r="C24" s="503">
        <f>987714*9</f>
        <v>8889426</v>
      </c>
      <c r="D24" s="436">
        <f>'[2]Mayoral Committee 201718 FY'!P10-'[2]Mayoral Committee 201718 FY'!P8</f>
        <v>8593798.379999999</v>
      </c>
      <c r="E24" s="436">
        <f>'[2]Mayoral Committee 201718 FY'!P15-'[2]Mayoral Committee 201718 FY'!P14</f>
        <v>286836.56000000006</v>
      </c>
      <c r="F24" s="436">
        <f t="shared" si="7"/>
        <v>8880634.9399999995</v>
      </c>
      <c r="G24" s="278">
        <f t="shared" ref="G24:G25" si="8">C24-F24</f>
        <v>8791.0600000005215</v>
      </c>
      <c r="H24" s="514" t="s">
        <v>505</v>
      </c>
      <c r="I24" s="503">
        <f>3400*12*9</f>
        <v>367200</v>
      </c>
      <c r="J24" s="503">
        <f>300*12*9</f>
        <v>32400</v>
      </c>
      <c r="K24" s="503">
        <f t="shared" si="2"/>
        <v>399600</v>
      </c>
      <c r="L24" s="505">
        <f>'[2]Mayoral Committee 201718 FY'!P8</f>
        <v>399600</v>
      </c>
      <c r="M24" s="508">
        <f t="shared" si="3"/>
        <v>0</v>
      </c>
      <c r="N24" s="515"/>
      <c r="O24" s="507">
        <f t="shared" si="5"/>
        <v>9280234.9399999995</v>
      </c>
      <c r="P24" s="503">
        <f t="shared" si="4"/>
        <v>2222356.5</v>
      </c>
      <c r="Q24" s="505">
        <f>'[2]Mayoral Committee 201718 FY'!P5</f>
        <v>2218510.42</v>
      </c>
      <c r="R24" s="508">
        <f t="shared" si="6"/>
        <v>3846.0800000000745</v>
      </c>
      <c r="S24" s="516"/>
      <c r="T24" s="479"/>
    </row>
    <row r="25" spans="2:20" ht="29.25" customHeight="1" x14ac:dyDescent="0.3">
      <c r="B25" s="517" t="s">
        <v>506</v>
      </c>
      <c r="C25" s="503">
        <f>958740*5</f>
        <v>4793700</v>
      </c>
      <c r="D25" s="436">
        <f>'[2]S79 Committees 201718 FY'!P10-'[2]S79 Committees 201718 FY'!P8</f>
        <v>4456333.540000001</v>
      </c>
      <c r="E25" s="436">
        <f>'[2]S79 Committees 201718 FY'!P15-'[2]S79 Committees 201718 FY'!P14</f>
        <v>345227.76</v>
      </c>
      <c r="F25" s="436">
        <f t="shared" si="7"/>
        <v>4801561.3000000007</v>
      </c>
      <c r="G25" s="512">
        <f t="shared" si="8"/>
        <v>-7861.3000000007451</v>
      </c>
      <c r="H25" s="510" t="s">
        <v>507</v>
      </c>
      <c r="I25" s="503">
        <f>3400*12*5</f>
        <v>204000</v>
      </c>
      <c r="J25" s="503">
        <f>300*12*5</f>
        <v>18000</v>
      </c>
      <c r="K25" s="503">
        <f t="shared" si="2"/>
        <v>222000</v>
      </c>
      <c r="L25" s="505">
        <f>'[2]S79 Committees 201718 FY'!P8</f>
        <v>222000</v>
      </c>
      <c r="M25" s="508">
        <f t="shared" si="3"/>
        <v>0</v>
      </c>
      <c r="N25" s="510"/>
      <c r="O25" s="507">
        <f t="shared" si="5"/>
        <v>5023561.3000000007</v>
      </c>
      <c r="P25" s="503">
        <f t="shared" si="4"/>
        <v>1198425</v>
      </c>
      <c r="Q25" s="505">
        <f>'[2]S79 Committees 201718 FY'!P5</f>
        <v>1195687.25</v>
      </c>
      <c r="R25" s="508">
        <f>P25-Q25</f>
        <v>2737.75</v>
      </c>
      <c r="S25" s="518"/>
      <c r="T25" s="479"/>
    </row>
    <row r="26" spans="2:20" x14ac:dyDescent="0.3">
      <c r="B26" s="496" t="s">
        <v>508</v>
      </c>
      <c r="C26" s="503">
        <f>486228*85</f>
        <v>41329380</v>
      </c>
      <c r="D26" s="436">
        <f>'[2]Part-time councillors 201718 FY'!P15-'[2]Part-time councillors 201718 FY'!P9</f>
        <v>38512033.819999993</v>
      </c>
      <c r="E26" s="436">
        <f>'[2]Part-time councillors 201718 FY'!P22-'[2]Part-time councillors 201718 FY'!P19</f>
        <v>1274668.6699999985</v>
      </c>
      <c r="F26" s="436">
        <f>SUM(D26:E26)</f>
        <v>39786702.489999995</v>
      </c>
      <c r="G26" s="278">
        <f>C26-F26</f>
        <v>1542677.5100000054</v>
      </c>
      <c r="H26" s="510" t="s">
        <v>509</v>
      </c>
      <c r="I26" s="503">
        <f>3400*12*85</f>
        <v>3468000</v>
      </c>
      <c r="J26" s="503">
        <f>300*12*85</f>
        <v>306000</v>
      </c>
      <c r="K26" s="503">
        <f t="shared" si="2"/>
        <v>3774000</v>
      </c>
      <c r="L26" s="505">
        <f>'[2]Part-time councillors 201718 FY'!P9</f>
        <v>3604858.06</v>
      </c>
      <c r="M26" s="508">
        <f>K26-L26</f>
        <v>169141.93999999994</v>
      </c>
      <c r="N26" s="510"/>
      <c r="O26" s="507">
        <f t="shared" si="5"/>
        <v>43391560.549999997</v>
      </c>
      <c r="P26" s="503">
        <f>C26*0.25</f>
        <v>10332345</v>
      </c>
      <c r="Q26" s="505">
        <f>'[2]Part-time councillors 201718 FY'!P5</f>
        <v>8649751.7799999993</v>
      </c>
      <c r="R26" s="506">
        <f>P26-Q26</f>
        <v>1682593.2200000007</v>
      </c>
      <c r="S26" s="511"/>
      <c r="T26" s="479"/>
    </row>
    <row r="27" spans="2:20" ht="14.4" thickBot="1" x14ac:dyDescent="0.35">
      <c r="B27" s="519"/>
      <c r="C27" s="520">
        <f>SUM(C20:C26)</f>
        <v>59395629</v>
      </c>
      <c r="D27" s="520">
        <f>SUM(D20:D26)</f>
        <v>55801495.879999995</v>
      </c>
      <c r="E27" s="520">
        <f t="shared" ref="E27" si="9">SUM(E20:E26)</f>
        <v>2134261.5099999988</v>
      </c>
      <c r="F27" s="520">
        <f>SUM(F20:F26)</f>
        <v>57935757.389999993</v>
      </c>
      <c r="G27" s="521">
        <f>SUM(G20:G26)</f>
        <v>1459871.610000005</v>
      </c>
      <c r="H27" s="520"/>
      <c r="I27" s="522">
        <f t="shared" ref="I27:J27" si="10">SUM(I20:I26)</f>
        <v>4202400</v>
      </c>
      <c r="J27" s="522">
        <f t="shared" si="10"/>
        <v>370800</v>
      </c>
      <c r="K27" s="521">
        <f>SUM(K20:K26)</f>
        <v>4573200</v>
      </c>
      <c r="L27" s="521">
        <f>SUM(L20:L26)</f>
        <v>4404058.0600000005</v>
      </c>
      <c r="M27" s="521">
        <f>SUM(M20:M26)</f>
        <v>169141.93999999994</v>
      </c>
      <c r="N27" s="521"/>
      <c r="O27" s="521">
        <f>SUM(O20:O26)</f>
        <v>62339815.449999996</v>
      </c>
      <c r="P27" s="521">
        <f>SUM(P20:P26)</f>
        <v>14848907.25</v>
      </c>
      <c r="Q27" s="521">
        <f>SUM(Q20:Q26)</f>
        <v>12835151</v>
      </c>
      <c r="R27" s="521">
        <f>SUM(R20:R26)</f>
        <v>2013756.2500000007</v>
      </c>
      <c r="S27" s="301"/>
      <c r="T27" s="479"/>
    </row>
    <row r="28" spans="2:20" ht="15" thickTop="1" thickBot="1" x14ac:dyDescent="0.35">
      <c r="B28" s="523"/>
      <c r="C28" s="490"/>
      <c r="D28" s="490"/>
      <c r="E28" s="490"/>
      <c r="F28" s="490"/>
      <c r="G28" s="490"/>
      <c r="H28" s="490"/>
      <c r="I28" s="490"/>
      <c r="J28" s="490"/>
      <c r="K28" s="490"/>
      <c r="L28" s="490"/>
      <c r="M28" s="490"/>
      <c r="N28" s="490"/>
      <c r="O28" s="490"/>
      <c r="P28" s="490"/>
      <c r="Q28" s="490"/>
      <c r="R28" s="490"/>
      <c r="S28" s="490"/>
      <c r="T28" s="491"/>
    </row>
    <row r="29" spans="2:20" x14ac:dyDescent="0.3">
      <c r="B29" s="524"/>
      <c r="C29" s="474"/>
      <c r="D29" s="474"/>
      <c r="E29" s="474"/>
      <c r="F29" s="474"/>
      <c r="G29" s="474"/>
      <c r="H29" s="474"/>
      <c r="I29" s="475"/>
      <c r="J29" s="301"/>
      <c r="K29" s="301"/>
      <c r="L29" s="301"/>
      <c r="M29" s="301"/>
      <c r="N29" s="301"/>
      <c r="O29" s="301"/>
      <c r="P29" s="301"/>
      <c r="Q29" s="301"/>
      <c r="R29" s="301"/>
      <c r="S29" s="301"/>
      <c r="T29" s="301"/>
    </row>
    <row r="30" spans="2:20" x14ac:dyDescent="0.3">
      <c r="B30" s="833" t="s">
        <v>510</v>
      </c>
      <c r="C30" s="834"/>
      <c r="D30" s="834"/>
      <c r="E30" s="834"/>
      <c r="F30" s="834"/>
      <c r="G30" s="834"/>
      <c r="H30" s="834"/>
      <c r="I30" s="835"/>
      <c r="J30" s="301"/>
      <c r="K30" s="301"/>
      <c r="L30" s="301"/>
      <c r="M30" s="301"/>
      <c r="N30" s="301"/>
      <c r="O30" s="301"/>
      <c r="P30" s="301"/>
      <c r="Q30" s="301"/>
      <c r="R30" s="301"/>
      <c r="S30" s="301"/>
      <c r="T30" s="301"/>
    </row>
    <row r="31" spans="2:20" x14ac:dyDescent="0.3">
      <c r="B31" s="519"/>
      <c r="C31" s="301"/>
      <c r="D31" s="301"/>
      <c r="E31" s="301"/>
      <c r="F31" s="301"/>
      <c r="G31" s="301"/>
      <c r="H31" s="301"/>
      <c r="I31" s="525"/>
      <c r="J31" s="526"/>
      <c r="K31" s="526"/>
      <c r="L31" s="301"/>
      <c r="M31" s="301"/>
      <c r="N31" s="301"/>
      <c r="O31" s="301"/>
      <c r="P31" s="301"/>
      <c r="Q31" s="301"/>
      <c r="R31" s="301"/>
    </row>
    <row r="32" spans="2:20" ht="73.5" customHeight="1" x14ac:dyDescent="0.3">
      <c r="B32" s="527" t="s">
        <v>511</v>
      </c>
      <c r="C32" s="528" t="s">
        <v>512</v>
      </c>
      <c r="D32" s="528" t="s">
        <v>513</v>
      </c>
      <c r="E32" s="529" t="s">
        <v>514</v>
      </c>
      <c r="F32" s="528" t="s">
        <v>515</v>
      </c>
      <c r="G32" s="836" t="s">
        <v>516</v>
      </c>
      <c r="H32" s="837"/>
      <c r="I32" s="838"/>
      <c r="J32" s="530"/>
      <c r="O32" s="301"/>
      <c r="P32" s="301"/>
      <c r="Q32" s="301"/>
      <c r="R32" s="301"/>
    </row>
    <row r="33" spans="2:18" ht="45.75" customHeight="1" x14ac:dyDescent="0.3">
      <c r="B33" s="527"/>
      <c r="C33" s="528"/>
      <c r="D33" s="528"/>
      <c r="E33" s="529"/>
      <c r="F33" s="528"/>
      <c r="G33" s="531" t="s">
        <v>517</v>
      </c>
      <c r="H33" s="531" t="s">
        <v>518</v>
      </c>
      <c r="I33" s="532" t="s">
        <v>519</v>
      </c>
      <c r="J33" s="301"/>
      <c r="O33" s="301"/>
      <c r="P33" s="301"/>
      <c r="Q33" s="301"/>
      <c r="R33" s="301"/>
    </row>
    <row r="34" spans="2:18" x14ac:dyDescent="0.3">
      <c r="B34" s="496" t="s">
        <v>520</v>
      </c>
      <c r="C34" s="503">
        <f>C20</f>
        <v>1298317</v>
      </c>
      <c r="D34" s="506">
        <f>K20</f>
        <v>44400</v>
      </c>
      <c r="E34" s="533">
        <f>C34+D34</f>
        <v>1342717</v>
      </c>
      <c r="F34" s="506">
        <f>C34*0.25</f>
        <v>324579.25</v>
      </c>
      <c r="G34" s="436">
        <v>3400</v>
      </c>
      <c r="H34" s="436">
        <v>300</v>
      </c>
      <c r="I34" s="534">
        <f>G34+H34</f>
        <v>3700</v>
      </c>
      <c r="J34" s="535"/>
      <c r="K34" s="301"/>
      <c r="O34" s="301"/>
      <c r="P34" s="301"/>
      <c r="Q34" s="301"/>
      <c r="R34" s="301"/>
    </row>
    <row r="35" spans="2:18" x14ac:dyDescent="0.3">
      <c r="B35" s="496" t="s">
        <v>499</v>
      </c>
      <c r="C35" s="503">
        <f>C21</f>
        <v>1048546</v>
      </c>
      <c r="D35" s="506">
        <f>K21</f>
        <v>44400</v>
      </c>
      <c r="E35" s="533">
        <f t="shared" ref="E35:E40" si="11">C35+D35</f>
        <v>1092946</v>
      </c>
      <c r="F35" s="506">
        <f t="shared" ref="F35:F39" si="12">C35*0.25</f>
        <v>262136.5</v>
      </c>
      <c r="G35" s="436">
        <v>3400</v>
      </c>
      <c r="H35" s="436">
        <v>300</v>
      </c>
      <c r="I35" s="534">
        <f>G35+H35</f>
        <v>3700</v>
      </c>
      <c r="J35" s="301"/>
      <c r="K35" s="536"/>
      <c r="O35" s="301"/>
      <c r="P35" s="301"/>
      <c r="Q35" s="301"/>
      <c r="R35" s="301"/>
    </row>
    <row r="36" spans="2:18" x14ac:dyDescent="0.3">
      <c r="B36" s="496" t="s">
        <v>500</v>
      </c>
      <c r="C36" s="503">
        <f>C22</f>
        <v>1048546</v>
      </c>
      <c r="D36" s="506">
        <f>K22</f>
        <v>44400</v>
      </c>
      <c r="E36" s="533">
        <f t="shared" si="11"/>
        <v>1092946</v>
      </c>
      <c r="F36" s="506">
        <f t="shared" si="12"/>
        <v>262136.5</v>
      </c>
      <c r="G36" s="436">
        <v>3400</v>
      </c>
      <c r="H36" s="436">
        <v>300</v>
      </c>
      <c r="I36" s="534">
        <f t="shared" ref="I36:I40" si="13">G36+H36</f>
        <v>3700</v>
      </c>
      <c r="J36" s="301"/>
      <c r="K36" s="301"/>
      <c r="O36" s="301"/>
      <c r="P36" s="301"/>
      <c r="Q36" s="301"/>
      <c r="R36" s="301"/>
    </row>
    <row r="37" spans="2:18" x14ac:dyDescent="0.3">
      <c r="B37" s="496" t="s">
        <v>502</v>
      </c>
      <c r="C37" s="503">
        <f>C23</f>
        <v>987714</v>
      </c>
      <c r="D37" s="506">
        <f>K23</f>
        <v>44400</v>
      </c>
      <c r="E37" s="533">
        <f t="shared" si="11"/>
        <v>1032114</v>
      </c>
      <c r="F37" s="506">
        <f t="shared" si="12"/>
        <v>246928.5</v>
      </c>
      <c r="G37" s="436">
        <v>3400</v>
      </c>
      <c r="H37" s="436">
        <v>300</v>
      </c>
      <c r="I37" s="534">
        <f t="shared" si="13"/>
        <v>3700</v>
      </c>
      <c r="J37" s="301"/>
      <c r="K37" s="301"/>
      <c r="O37" s="301"/>
      <c r="P37" s="301"/>
      <c r="Q37" s="301"/>
      <c r="R37" s="301"/>
    </row>
    <row r="38" spans="2:18" x14ac:dyDescent="0.3">
      <c r="B38" s="496" t="s">
        <v>504</v>
      </c>
      <c r="C38" s="503">
        <f>987714</f>
        <v>987714</v>
      </c>
      <c r="D38" s="506">
        <f>(3400+300)*12</f>
        <v>44400</v>
      </c>
      <c r="E38" s="533">
        <f>C38+D38</f>
        <v>1032114</v>
      </c>
      <c r="F38" s="506">
        <f t="shared" si="12"/>
        <v>246928.5</v>
      </c>
      <c r="G38" s="436">
        <v>3400</v>
      </c>
      <c r="H38" s="436">
        <v>300</v>
      </c>
      <c r="I38" s="534">
        <f t="shared" si="13"/>
        <v>3700</v>
      </c>
      <c r="J38" s="301"/>
      <c r="K38" s="301"/>
      <c r="O38" s="301"/>
      <c r="P38" s="301"/>
      <c r="Q38" s="301"/>
      <c r="R38" s="301"/>
    </row>
    <row r="39" spans="2:18" ht="27.6" x14ac:dyDescent="0.3">
      <c r="B39" s="517" t="s">
        <v>521</v>
      </c>
      <c r="C39" s="503">
        <f>958740</f>
        <v>958740</v>
      </c>
      <c r="D39" s="506">
        <f t="shared" ref="D39:D40" si="14">(3400+300)*12</f>
        <v>44400</v>
      </c>
      <c r="E39" s="533">
        <f>C39+D39</f>
        <v>1003140</v>
      </c>
      <c r="F39" s="506">
        <f t="shared" si="12"/>
        <v>239685</v>
      </c>
      <c r="G39" s="436">
        <v>3400</v>
      </c>
      <c r="H39" s="436">
        <v>300</v>
      </c>
      <c r="I39" s="534">
        <f t="shared" si="13"/>
        <v>3700</v>
      </c>
      <c r="J39" s="301"/>
      <c r="K39" s="301"/>
      <c r="O39" s="301"/>
      <c r="P39" s="301"/>
      <c r="Q39" s="301"/>
      <c r="R39" s="301"/>
    </row>
    <row r="40" spans="2:18" x14ac:dyDescent="0.3">
      <c r="B40" s="496" t="s">
        <v>508</v>
      </c>
      <c r="C40" s="503">
        <f>486228</f>
        <v>486228</v>
      </c>
      <c r="D40" s="506">
        <f t="shared" si="14"/>
        <v>44400</v>
      </c>
      <c r="E40" s="533">
        <f t="shared" si="11"/>
        <v>530628</v>
      </c>
      <c r="F40" s="506">
        <f>C40*0.25</f>
        <v>121557</v>
      </c>
      <c r="G40" s="436">
        <v>3400</v>
      </c>
      <c r="H40" s="436">
        <v>300</v>
      </c>
      <c r="I40" s="534">
        <f t="shared" si="13"/>
        <v>3700</v>
      </c>
      <c r="J40" s="301"/>
      <c r="K40" s="301"/>
      <c r="O40" s="301"/>
      <c r="P40" s="301"/>
      <c r="Q40" s="301"/>
      <c r="R40" s="301"/>
    </row>
    <row r="41" spans="2:18" x14ac:dyDescent="0.3">
      <c r="B41" s="537"/>
      <c r="C41" s="538"/>
      <c r="D41" s="536"/>
      <c r="E41" s="536"/>
      <c r="F41" s="536"/>
      <c r="G41" s="536"/>
      <c r="H41" s="536"/>
      <c r="I41" s="539"/>
      <c r="J41" s="301"/>
      <c r="K41" s="540"/>
    </row>
    <row r="42" spans="2:18" ht="30" customHeight="1" x14ac:dyDescent="0.3">
      <c r="B42" s="839" t="s">
        <v>522</v>
      </c>
      <c r="C42" s="840"/>
      <c r="D42" s="840"/>
      <c r="E42" s="840"/>
      <c r="F42" s="840"/>
      <c r="G42" s="840"/>
      <c r="H42" s="840"/>
      <c r="I42" s="841"/>
      <c r="J42" s="301"/>
    </row>
    <row r="44" spans="2:18" x14ac:dyDescent="0.3">
      <c r="B44" s="833" t="s">
        <v>523</v>
      </c>
      <c r="C44" s="834"/>
      <c r="D44" s="834"/>
      <c r="E44" s="834"/>
      <c r="F44" s="834"/>
      <c r="G44" s="834"/>
      <c r="H44" s="834"/>
      <c r="I44" s="835"/>
    </row>
    <row r="45" spans="2:18" ht="45" customHeight="1" x14ac:dyDescent="0.3">
      <c r="B45" s="527" t="s">
        <v>511</v>
      </c>
      <c r="C45" s="812" t="s">
        <v>524</v>
      </c>
      <c r="D45" s="813"/>
      <c r="E45" s="814"/>
      <c r="F45" s="815" t="s">
        <v>525</v>
      </c>
    </row>
    <row r="46" spans="2:18" ht="41.4" x14ac:dyDescent="0.3">
      <c r="B46" s="527"/>
      <c r="C46" s="528" t="s">
        <v>512</v>
      </c>
      <c r="D46" s="528" t="s">
        <v>513</v>
      </c>
      <c r="E46" s="529" t="s">
        <v>514</v>
      </c>
      <c r="F46" s="815"/>
    </row>
    <row r="47" spans="2:18" x14ac:dyDescent="0.3">
      <c r="B47" s="496" t="s">
        <v>520</v>
      </c>
      <c r="C47" s="436">
        <f>1298317/12</f>
        <v>108193.08333333333</v>
      </c>
      <c r="D47" s="506">
        <f t="shared" ref="D47:D53" si="15">I34</f>
        <v>3700</v>
      </c>
      <c r="E47" s="506">
        <f>C47+D47</f>
        <v>111893.08333333333</v>
      </c>
      <c r="F47" s="506">
        <f>C47*0.25</f>
        <v>27048.270833333332</v>
      </c>
      <c r="H47" s="540"/>
    </row>
    <row r="48" spans="2:18" x14ac:dyDescent="0.3">
      <c r="B48" s="496" t="s">
        <v>499</v>
      </c>
      <c r="C48" s="436">
        <f>1048546/12</f>
        <v>87378.833333333328</v>
      </c>
      <c r="D48" s="506">
        <f t="shared" si="15"/>
        <v>3700</v>
      </c>
      <c r="E48" s="506">
        <f t="shared" ref="E48:E53" si="16">C48+D48</f>
        <v>91078.833333333328</v>
      </c>
      <c r="F48" s="506">
        <f t="shared" ref="F48:F53" si="17">C48*0.25</f>
        <v>21844.708333333332</v>
      </c>
    </row>
    <row r="49" spans="2:9" x14ac:dyDescent="0.3">
      <c r="B49" s="496" t="s">
        <v>500</v>
      </c>
      <c r="C49" s="436">
        <f>1048546/12</f>
        <v>87378.833333333328</v>
      </c>
      <c r="D49" s="506">
        <f t="shared" si="15"/>
        <v>3700</v>
      </c>
      <c r="E49" s="506">
        <f t="shared" si="16"/>
        <v>91078.833333333328</v>
      </c>
      <c r="F49" s="506">
        <f t="shared" si="17"/>
        <v>21844.708333333332</v>
      </c>
      <c r="H49" s="540"/>
    </row>
    <row r="50" spans="2:9" x14ac:dyDescent="0.3">
      <c r="B50" s="496" t="s">
        <v>502</v>
      </c>
      <c r="C50" s="436">
        <f>987714/12</f>
        <v>82309.5</v>
      </c>
      <c r="D50" s="506">
        <f t="shared" si="15"/>
        <v>3700</v>
      </c>
      <c r="E50" s="506">
        <f t="shared" si="16"/>
        <v>86009.5</v>
      </c>
      <c r="F50" s="506">
        <f t="shared" si="17"/>
        <v>20577.375</v>
      </c>
    </row>
    <row r="51" spans="2:9" x14ac:dyDescent="0.3">
      <c r="B51" s="496" t="s">
        <v>504</v>
      </c>
      <c r="C51" s="436">
        <f>987714/12</f>
        <v>82309.5</v>
      </c>
      <c r="D51" s="506">
        <f t="shared" si="15"/>
        <v>3700</v>
      </c>
      <c r="E51" s="506">
        <f t="shared" si="16"/>
        <v>86009.5</v>
      </c>
      <c r="F51" s="506">
        <f t="shared" si="17"/>
        <v>20577.375</v>
      </c>
    </row>
    <row r="52" spans="2:9" ht="27.6" x14ac:dyDescent="0.3">
      <c r="B52" s="517" t="s">
        <v>521</v>
      </c>
      <c r="C52" s="436">
        <f>958740/12</f>
        <v>79895</v>
      </c>
      <c r="D52" s="506">
        <f t="shared" si="15"/>
        <v>3700</v>
      </c>
      <c r="E52" s="506">
        <f t="shared" si="16"/>
        <v>83595</v>
      </c>
      <c r="F52" s="506">
        <f t="shared" si="17"/>
        <v>19973.75</v>
      </c>
    </row>
    <row r="53" spans="2:9" x14ac:dyDescent="0.3">
      <c r="B53" s="496" t="s">
        <v>508</v>
      </c>
      <c r="C53" s="436">
        <f>486228/12</f>
        <v>40519</v>
      </c>
      <c r="D53" s="506">
        <f t="shared" si="15"/>
        <v>3700</v>
      </c>
      <c r="E53" s="506">
        <f t="shared" si="16"/>
        <v>44219</v>
      </c>
      <c r="F53" s="506">
        <f t="shared" si="17"/>
        <v>10129.75</v>
      </c>
    </row>
    <row r="55" spans="2:9" x14ac:dyDescent="0.3">
      <c r="B55" s="279" t="s">
        <v>526</v>
      </c>
    </row>
    <row r="56" spans="2:9" ht="30" customHeight="1" x14ac:dyDescent="0.3">
      <c r="B56" s="843" t="s">
        <v>527</v>
      </c>
      <c r="C56" s="843"/>
      <c r="D56" s="843"/>
      <c r="E56" s="843"/>
      <c r="F56" s="843"/>
      <c r="G56" s="843"/>
      <c r="H56" s="843"/>
      <c r="I56" s="843"/>
    </row>
    <row r="57" spans="2:9" x14ac:dyDescent="0.3">
      <c r="B57" s="281" t="s">
        <v>528</v>
      </c>
      <c r="D57" s="541" t="s">
        <v>529</v>
      </c>
    </row>
    <row r="58" spans="2:9" x14ac:dyDescent="0.3">
      <c r="B58" s="281" t="s">
        <v>530</v>
      </c>
      <c r="D58" s="541" t="s">
        <v>531</v>
      </c>
    </row>
    <row r="59" spans="2:9" x14ac:dyDescent="0.3">
      <c r="B59" s="281" t="s">
        <v>532</v>
      </c>
      <c r="D59" s="541" t="s">
        <v>531</v>
      </c>
    </row>
    <row r="60" spans="2:9" x14ac:dyDescent="0.3">
      <c r="B60" s="281" t="s">
        <v>533</v>
      </c>
      <c r="D60" s="541" t="s">
        <v>531</v>
      </c>
    </row>
    <row r="61" spans="2:9" x14ac:dyDescent="0.3">
      <c r="B61" s="281" t="s">
        <v>534</v>
      </c>
      <c r="D61" s="541" t="s">
        <v>531</v>
      </c>
    </row>
    <row r="62" spans="2:9" ht="14.4" thickBot="1" x14ac:dyDescent="0.35">
      <c r="B62" s="281" t="s">
        <v>535</v>
      </c>
      <c r="D62" s="542" t="s">
        <v>529</v>
      </c>
    </row>
    <row r="63" spans="2:9" ht="15" thickTop="1" thickBot="1" x14ac:dyDescent="0.35"/>
    <row r="64" spans="2:9" ht="14.4" thickBot="1" x14ac:dyDescent="0.35">
      <c r="B64" s="844" t="s">
        <v>536</v>
      </c>
      <c r="C64" s="845"/>
      <c r="D64" s="845"/>
      <c r="E64" s="845"/>
      <c r="F64" s="845"/>
      <c r="G64" s="845"/>
      <c r="H64" s="845"/>
      <c r="I64" s="846"/>
    </row>
    <row r="65" spans="2:12" x14ac:dyDescent="0.3">
      <c r="B65" s="543" t="s">
        <v>537</v>
      </c>
      <c r="C65" s="301"/>
      <c r="D65" s="301"/>
      <c r="E65" s="301"/>
      <c r="F65" s="301"/>
      <c r="G65" s="301"/>
      <c r="H65" s="301"/>
      <c r="I65" s="479"/>
    </row>
    <row r="66" spans="2:12" x14ac:dyDescent="0.3">
      <c r="B66" s="544" t="s">
        <v>538</v>
      </c>
      <c r="C66" s="545" t="s">
        <v>539</v>
      </c>
      <c r="D66" s="545" t="s">
        <v>540</v>
      </c>
      <c r="E66" s="545" t="s">
        <v>541</v>
      </c>
      <c r="F66" s="545" t="s">
        <v>542</v>
      </c>
      <c r="G66" s="546" t="s">
        <v>543</v>
      </c>
      <c r="H66" s="301"/>
      <c r="I66" s="479"/>
    </row>
    <row r="67" spans="2:12" x14ac:dyDescent="0.3">
      <c r="B67" s="519" t="s">
        <v>456</v>
      </c>
      <c r="C67" s="301" t="s">
        <v>457</v>
      </c>
      <c r="D67" s="278">
        <f>E36</f>
        <v>1092946</v>
      </c>
      <c r="E67" s="547">
        <f>'[2]Top 4 - 201718 FY'!P99+'[2]Top 4 - 201718 FY'!P117</f>
        <v>1173801.6100000001</v>
      </c>
      <c r="F67" s="278">
        <f>D67-E67</f>
        <v>-80855.610000000102</v>
      </c>
      <c r="G67" s="548" t="s">
        <v>501</v>
      </c>
      <c r="H67" s="513"/>
      <c r="I67" s="549"/>
    </row>
    <row r="68" spans="2:12" ht="14.4" thickBot="1" x14ac:dyDescent="0.35">
      <c r="B68" s="519"/>
      <c r="C68" s="301"/>
      <c r="D68" s="550">
        <f>SUM(D67:D67)</f>
        <v>1092946</v>
      </c>
      <c r="E68" s="550">
        <f>SUM(E67:E67)</f>
        <v>1173801.6100000001</v>
      </c>
      <c r="F68" s="550">
        <f>SUM(F67:F67)</f>
        <v>-80855.610000000102</v>
      </c>
      <c r="G68" s="301"/>
      <c r="H68" s="301"/>
      <c r="I68" s="549"/>
    </row>
    <row r="69" spans="2:12" ht="14.4" thickTop="1" x14ac:dyDescent="0.3">
      <c r="B69" s="519"/>
      <c r="C69" s="301"/>
      <c r="D69" s="301"/>
      <c r="E69" s="301"/>
      <c r="F69" s="301"/>
      <c r="G69" s="301"/>
      <c r="H69" s="301"/>
      <c r="I69" s="479"/>
    </row>
    <row r="70" spans="2:12" x14ac:dyDescent="0.3">
      <c r="B70" s="543" t="s">
        <v>544</v>
      </c>
      <c r="C70" s="301"/>
      <c r="D70" s="301"/>
      <c r="E70" s="301"/>
      <c r="F70" s="301"/>
      <c r="G70" s="301"/>
      <c r="H70" s="301"/>
      <c r="I70" s="479"/>
    </row>
    <row r="71" spans="2:12" x14ac:dyDescent="0.3">
      <c r="B71" s="544" t="s">
        <v>538</v>
      </c>
      <c r="C71" s="545" t="s">
        <v>539</v>
      </c>
      <c r="D71" s="545" t="s">
        <v>540</v>
      </c>
      <c r="E71" s="545" t="s">
        <v>541</v>
      </c>
      <c r="F71" s="545" t="s">
        <v>542</v>
      </c>
      <c r="G71" s="546" t="s">
        <v>543</v>
      </c>
      <c r="H71" s="301"/>
      <c r="I71" s="479"/>
    </row>
    <row r="72" spans="2:12" x14ac:dyDescent="0.3">
      <c r="B72" s="519" t="s">
        <v>463</v>
      </c>
      <c r="C72" s="301" t="s">
        <v>462</v>
      </c>
      <c r="D72" s="278">
        <f>E38*4/12</f>
        <v>344038</v>
      </c>
      <c r="E72" s="547">
        <f>'[2]Mayoral Committee 201718 FY'!P247+'[2]Mayoral Committee 201718 FY'!P259</f>
        <v>322360</v>
      </c>
      <c r="F72" s="278">
        <f>D72-E72</f>
        <v>21678</v>
      </c>
      <c r="G72" s="551" t="s">
        <v>507</v>
      </c>
      <c r="H72" s="301"/>
      <c r="I72" s="479"/>
    </row>
    <row r="73" spans="2:12" x14ac:dyDescent="0.3">
      <c r="B73" s="519" t="s">
        <v>458</v>
      </c>
      <c r="C73" s="301" t="s">
        <v>460</v>
      </c>
      <c r="D73" s="278">
        <f>E38*8/12</f>
        <v>688076</v>
      </c>
      <c r="E73" s="547">
        <f>'[2]Mayoral Committee 201718 FY'!P403+'[2]Mayoral Committee 201718 FY'!P415+'[2]Mayoral Committee 201718 FY'!P416</f>
        <v>699578.52</v>
      </c>
      <c r="F73" s="278">
        <f>D73-E73</f>
        <v>-11502.520000000019</v>
      </c>
      <c r="G73" s="551" t="s">
        <v>507</v>
      </c>
      <c r="H73" s="301"/>
      <c r="I73" s="479"/>
    </row>
    <row r="74" spans="2:12" x14ac:dyDescent="0.3">
      <c r="B74" s="519" t="s">
        <v>459</v>
      </c>
      <c r="C74" s="301" t="s">
        <v>461</v>
      </c>
      <c r="D74" s="278">
        <f>E38</f>
        <v>1032114</v>
      </c>
      <c r="E74" s="547">
        <f>'[2]Mayoral Committee 201718 FY'!P158+'[2]Mayoral Committee 201718 FY'!P173</f>
        <v>1033498.06</v>
      </c>
      <c r="F74" s="278">
        <f>D74-E74</f>
        <v>-1384.0600000000559</v>
      </c>
      <c r="G74" s="548" t="s">
        <v>545</v>
      </c>
      <c r="H74" s="301"/>
      <c r="I74" s="479"/>
    </row>
    <row r="75" spans="2:12" ht="14.4" thickBot="1" x14ac:dyDescent="0.35">
      <c r="B75" s="519"/>
      <c r="C75" s="301"/>
      <c r="D75" s="550">
        <f>SUM(D72:D74)</f>
        <v>2064228</v>
      </c>
      <c r="E75" s="550">
        <f t="shared" ref="E75:F75" si="18">SUM(E72:E74)</f>
        <v>2055436.58</v>
      </c>
      <c r="F75" s="550">
        <f t="shared" si="18"/>
        <v>8791.4199999999255</v>
      </c>
      <c r="G75" s="301"/>
      <c r="H75" s="301"/>
      <c r="I75" s="479"/>
    </row>
    <row r="76" spans="2:12" ht="14.4" thickTop="1" x14ac:dyDescent="0.3">
      <c r="B76" s="519"/>
      <c r="C76" s="301"/>
      <c r="D76" s="536"/>
      <c r="E76" s="536"/>
      <c r="F76" s="536"/>
      <c r="G76" s="301"/>
      <c r="H76" s="301"/>
      <c r="I76" s="479"/>
    </row>
    <row r="77" spans="2:12" x14ac:dyDescent="0.3">
      <c r="B77" s="543" t="s">
        <v>546</v>
      </c>
      <c r="C77" s="301"/>
      <c r="D77" s="301"/>
      <c r="E77" s="301"/>
      <c r="F77" s="301"/>
      <c r="G77" s="301"/>
      <c r="H77" s="301"/>
      <c r="I77" s="479"/>
      <c r="J77" s="540"/>
    </row>
    <row r="78" spans="2:12" x14ac:dyDescent="0.3">
      <c r="B78" s="544" t="s">
        <v>538</v>
      </c>
      <c r="C78" s="545" t="s">
        <v>539</v>
      </c>
      <c r="D78" s="545" t="s">
        <v>540</v>
      </c>
      <c r="E78" s="545" t="s">
        <v>541</v>
      </c>
      <c r="F78" s="545" t="s">
        <v>542</v>
      </c>
      <c r="G78" s="546" t="s">
        <v>543</v>
      </c>
      <c r="H78" s="301"/>
      <c r="I78" s="552"/>
      <c r="J78" s="469"/>
      <c r="K78" s="469"/>
      <c r="L78" s="469"/>
    </row>
    <row r="79" spans="2:12" x14ac:dyDescent="0.3">
      <c r="B79" s="519" t="s">
        <v>463</v>
      </c>
      <c r="C79" s="301" t="s">
        <v>462</v>
      </c>
      <c r="D79" s="278">
        <f>F38*4/12</f>
        <v>82309.5</v>
      </c>
      <c r="E79" s="547">
        <f>'[2]Mayoral Committee 201718 FY'!P243</f>
        <v>78390</v>
      </c>
      <c r="F79" s="278">
        <f>D79-E79</f>
        <v>3919.5</v>
      </c>
      <c r="G79" s="551" t="s">
        <v>507</v>
      </c>
      <c r="H79" s="301"/>
      <c r="I79" s="539"/>
      <c r="J79" s="536"/>
      <c r="K79" s="536"/>
      <c r="L79" s="536"/>
    </row>
    <row r="80" spans="2:12" x14ac:dyDescent="0.3">
      <c r="B80" s="519" t="s">
        <v>458</v>
      </c>
      <c r="C80" s="301" t="s">
        <v>460</v>
      </c>
      <c r="D80" s="278">
        <f>F38*8/12</f>
        <v>164619</v>
      </c>
      <c r="E80" s="547">
        <f>'[2]Mayoral Committee 201718 FY'!P399</f>
        <v>164692.18000000002</v>
      </c>
      <c r="F80" s="278">
        <f>D80-E80</f>
        <v>-73.180000000022119</v>
      </c>
      <c r="G80" s="551" t="s">
        <v>507</v>
      </c>
      <c r="H80" s="301"/>
      <c r="I80" s="479"/>
      <c r="J80" s="301"/>
      <c r="K80" s="536"/>
      <c r="L80" s="536"/>
    </row>
    <row r="81" spans="2:12" ht="14.4" thickBot="1" x14ac:dyDescent="0.35">
      <c r="B81" s="519"/>
      <c r="C81" s="301"/>
      <c r="D81" s="550">
        <f>SUM(D79:D80)</f>
        <v>246928.5</v>
      </c>
      <c r="E81" s="550">
        <f>SUM(E79:E80)</f>
        <v>243082.18000000002</v>
      </c>
      <c r="F81" s="550">
        <f>SUM(F79:F80)</f>
        <v>3846.3199999999779</v>
      </c>
      <c r="G81" s="301"/>
      <c r="H81" s="301"/>
      <c r="I81" s="553"/>
      <c r="J81" s="301"/>
      <c r="K81" s="520"/>
      <c r="L81" s="520"/>
    </row>
    <row r="82" spans="2:12" ht="14.4" thickTop="1" x14ac:dyDescent="0.3">
      <c r="B82" s="519"/>
      <c r="C82" s="301"/>
      <c r="D82" s="536"/>
      <c r="E82" s="536"/>
      <c r="F82" s="536"/>
      <c r="G82" s="301"/>
      <c r="H82" s="301"/>
      <c r="I82" s="479"/>
      <c r="J82" s="301"/>
      <c r="K82" s="301"/>
      <c r="L82" s="301"/>
    </row>
    <row r="83" spans="2:12" x14ac:dyDescent="0.3">
      <c r="B83" s="519"/>
      <c r="C83" s="301"/>
      <c r="D83" s="536"/>
      <c r="E83" s="536"/>
      <c r="F83" s="536"/>
      <c r="G83" s="301"/>
      <c r="H83" s="301"/>
      <c r="I83" s="539"/>
      <c r="J83" s="536"/>
      <c r="K83" s="301"/>
      <c r="L83" s="301"/>
    </row>
    <row r="84" spans="2:12" x14ac:dyDescent="0.3">
      <c r="B84" s="543" t="s">
        <v>547</v>
      </c>
      <c r="C84" s="301"/>
      <c r="D84" s="301"/>
      <c r="E84" s="301"/>
      <c r="F84" s="301"/>
      <c r="G84" s="301"/>
      <c r="H84" s="301"/>
      <c r="I84" s="479"/>
      <c r="J84" s="301"/>
      <c r="K84" s="301"/>
      <c r="L84" s="301"/>
    </row>
    <row r="85" spans="2:12" x14ac:dyDescent="0.3">
      <c r="B85" s="544" t="s">
        <v>538</v>
      </c>
      <c r="C85" s="545" t="s">
        <v>539</v>
      </c>
      <c r="D85" s="545" t="s">
        <v>540</v>
      </c>
      <c r="E85" s="545" t="s">
        <v>541</v>
      </c>
      <c r="F85" s="545" t="s">
        <v>542</v>
      </c>
      <c r="G85" s="546" t="s">
        <v>543</v>
      </c>
      <c r="H85" s="301"/>
      <c r="I85" s="479"/>
      <c r="J85" s="301"/>
      <c r="K85" s="301"/>
      <c r="L85" s="301"/>
    </row>
    <row r="86" spans="2:12" x14ac:dyDescent="0.3">
      <c r="B86" s="519" t="s">
        <v>463</v>
      </c>
      <c r="C86" s="301" t="s">
        <v>462</v>
      </c>
      <c r="D86" s="278">
        <f>E39*8/12</f>
        <v>668760</v>
      </c>
      <c r="E86" s="547">
        <f>'[2]S79 Committees 201718 FY'!P229+'[2]S79 Committees 201718 FY'!P241</f>
        <v>700095.96</v>
      </c>
      <c r="F86" s="278">
        <f>D86-E86</f>
        <v>-31335.959999999963</v>
      </c>
      <c r="G86" s="551" t="s">
        <v>507</v>
      </c>
      <c r="H86" s="301"/>
      <c r="I86" s="539"/>
      <c r="J86" s="536"/>
      <c r="K86" s="536"/>
      <c r="L86" s="536"/>
    </row>
    <row r="87" spans="2:12" x14ac:dyDescent="0.3">
      <c r="B87" s="519" t="s">
        <v>458</v>
      </c>
      <c r="C87" s="301" t="s">
        <v>460</v>
      </c>
      <c r="D87" s="278">
        <f>E39*4/12</f>
        <v>334380</v>
      </c>
      <c r="E87" s="547">
        <f>'[2]S79 Committees 201718 FY'!P64+'[2]S79 Committees 201718 FY'!P76+'[2]S79 Committees 201718 FY'!P77</f>
        <v>313162</v>
      </c>
      <c r="F87" s="278">
        <f>D87-E87</f>
        <v>21218</v>
      </c>
      <c r="G87" s="551" t="s">
        <v>507</v>
      </c>
      <c r="H87" s="301"/>
      <c r="I87" s="539"/>
      <c r="J87" s="301"/>
      <c r="K87" s="536"/>
      <c r="L87" s="536"/>
    </row>
    <row r="88" spans="2:12" ht="14.4" thickBot="1" x14ac:dyDescent="0.35">
      <c r="B88" s="519"/>
      <c r="C88" s="301"/>
      <c r="D88" s="550">
        <f>SUM(D86:D87)</f>
        <v>1003140</v>
      </c>
      <c r="E88" s="550">
        <f>SUM(E86:E87)</f>
        <v>1013257.96</v>
      </c>
      <c r="F88" s="550">
        <f>SUM(F86:F87)</f>
        <v>-10117.959999999963</v>
      </c>
      <c r="G88" s="301"/>
      <c r="H88" s="301"/>
      <c r="I88" s="479"/>
      <c r="J88" s="536"/>
      <c r="K88" s="520"/>
      <c r="L88" s="520"/>
    </row>
    <row r="89" spans="2:12" ht="14.4" thickTop="1" x14ac:dyDescent="0.3">
      <c r="B89" s="519"/>
      <c r="C89" s="301"/>
      <c r="D89" s="536"/>
      <c r="E89" s="536"/>
      <c r="F89" s="536"/>
      <c r="G89" s="301"/>
      <c r="H89" s="301"/>
      <c r="I89" s="479"/>
    </row>
    <row r="90" spans="2:12" x14ac:dyDescent="0.3">
      <c r="B90" s="543" t="s">
        <v>548</v>
      </c>
      <c r="C90" s="301"/>
      <c r="D90" s="301"/>
      <c r="E90" s="301"/>
      <c r="F90" s="301"/>
      <c r="G90" s="301"/>
      <c r="H90" s="301"/>
      <c r="I90" s="479"/>
    </row>
    <row r="91" spans="2:12" x14ac:dyDescent="0.3">
      <c r="B91" s="544" t="s">
        <v>538</v>
      </c>
      <c r="C91" s="545" t="s">
        <v>539</v>
      </c>
      <c r="D91" s="545" t="s">
        <v>540</v>
      </c>
      <c r="E91" s="545" t="s">
        <v>541</v>
      </c>
      <c r="F91" s="545" t="s">
        <v>542</v>
      </c>
      <c r="G91" s="546" t="s">
        <v>543</v>
      </c>
      <c r="H91" s="301"/>
      <c r="I91" s="479"/>
    </row>
    <row r="92" spans="2:12" x14ac:dyDescent="0.3">
      <c r="B92" s="519" t="s">
        <v>463</v>
      </c>
      <c r="C92" s="301" t="s">
        <v>462</v>
      </c>
      <c r="D92" s="278">
        <f>F39*8/12</f>
        <v>159790</v>
      </c>
      <c r="E92" s="547">
        <f>'[2]S79 Committees 201718 FY'!P225</f>
        <v>166124.01</v>
      </c>
      <c r="F92" s="278">
        <f>D92-E92</f>
        <v>-6334.0100000000093</v>
      </c>
      <c r="G92" s="551" t="s">
        <v>507</v>
      </c>
      <c r="H92" s="301"/>
      <c r="I92" s="479"/>
      <c r="K92" s="540"/>
    </row>
    <row r="93" spans="2:12" x14ac:dyDescent="0.3">
      <c r="B93" s="519" t="s">
        <v>458</v>
      </c>
      <c r="C93" s="301" t="s">
        <v>460</v>
      </c>
      <c r="D93" s="278">
        <f>F39*4/12</f>
        <v>79895</v>
      </c>
      <c r="E93" s="547">
        <f>'[2]S79 Committees 201718 FY'!P60</f>
        <v>76090.52</v>
      </c>
      <c r="F93" s="278">
        <f>D93-E93</f>
        <v>3804.4799999999959</v>
      </c>
      <c r="G93" s="551" t="s">
        <v>507</v>
      </c>
      <c r="H93" s="301"/>
      <c r="I93" s="479"/>
    </row>
    <row r="94" spans="2:12" ht="14.4" thickBot="1" x14ac:dyDescent="0.35">
      <c r="B94" s="519"/>
      <c r="C94" s="301"/>
      <c r="D94" s="550">
        <f>SUM(D92:D93)</f>
        <v>239685</v>
      </c>
      <c r="E94" s="550">
        <f>SUM(E92:E93)</f>
        <v>242214.53000000003</v>
      </c>
      <c r="F94" s="550">
        <f>SUM(F92:F93)</f>
        <v>-2529.5300000000134</v>
      </c>
      <c r="G94" s="301"/>
      <c r="H94" s="301"/>
      <c r="I94" s="539"/>
    </row>
    <row r="95" spans="2:12" ht="14.4" thickTop="1" x14ac:dyDescent="0.3">
      <c r="B95" s="519"/>
      <c r="C95" s="301"/>
      <c r="D95" s="536"/>
      <c r="E95" s="536"/>
      <c r="F95" s="536"/>
      <c r="G95" s="301"/>
      <c r="H95" s="301"/>
      <c r="I95" s="479"/>
    </row>
    <row r="96" spans="2:12" x14ac:dyDescent="0.3">
      <c r="B96" s="519"/>
      <c r="C96" s="301"/>
      <c r="D96" s="536"/>
      <c r="E96" s="536"/>
      <c r="F96" s="536"/>
      <c r="G96" s="301"/>
      <c r="H96" s="301"/>
      <c r="I96" s="479"/>
    </row>
    <row r="97" spans="2:14" x14ac:dyDescent="0.3">
      <c r="B97" s="543" t="s">
        <v>549</v>
      </c>
      <c r="C97" s="301"/>
      <c r="D97" s="301"/>
      <c r="E97" s="301"/>
      <c r="F97" s="301"/>
      <c r="G97" s="301"/>
      <c r="H97" s="301"/>
      <c r="I97" s="479"/>
    </row>
    <row r="98" spans="2:14" x14ac:dyDescent="0.3">
      <c r="B98" s="544" t="s">
        <v>538</v>
      </c>
      <c r="C98" s="545" t="s">
        <v>539</v>
      </c>
      <c r="D98" s="545" t="s">
        <v>540</v>
      </c>
      <c r="E98" s="545" t="s">
        <v>541</v>
      </c>
      <c r="F98" s="545" t="s">
        <v>542</v>
      </c>
      <c r="G98" s="546" t="s">
        <v>543</v>
      </c>
      <c r="H98" s="301"/>
      <c r="I98" s="479"/>
    </row>
    <row r="99" spans="2:14" x14ac:dyDescent="0.3">
      <c r="B99" s="519" t="s">
        <v>464</v>
      </c>
      <c r="C99" s="301" t="s">
        <v>465</v>
      </c>
      <c r="D99" s="278">
        <f>E40</f>
        <v>530628</v>
      </c>
      <c r="E99" s="547">
        <f>'[2]Part-time councillors 201718 FY'!P1780+'[2]Part-time councillors 201718 FY'!P1795+'[2]Part-time councillors 201718 FY'!P1796</f>
        <v>539267.94000000018</v>
      </c>
      <c r="F99" s="278">
        <f>D99-E99</f>
        <v>-8639.940000000177</v>
      </c>
      <c r="G99" s="554" t="s">
        <v>509</v>
      </c>
      <c r="H99" s="301"/>
      <c r="I99" s="479"/>
    </row>
    <row r="100" spans="2:14" x14ac:dyDescent="0.3">
      <c r="B100" s="519" t="s">
        <v>466</v>
      </c>
      <c r="C100" s="301" t="s">
        <v>467</v>
      </c>
      <c r="D100" s="278">
        <f>E40</f>
        <v>530628</v>
      </c>
      <c r="E100" s="547">
        <f>'[2]Part-time councillors 201718 FY'!P2852+'[2]Part-time councillors 201718 FY'!P2861</f>
        <v>531134.69999999984</v>
      </c>
      <c r="F100" s="278">
        <f>D100-E100</f>
        <v>-506.69999999983702</v>
      </c>
      <c r="G100" s="554" t="s">
        <v>509</v>
      </c>
      <c r="H100" s="301"/>
      <c r="I100" s="479"/>
    </row>
    <row r="101" spans="2:14" ht="14.4" thickBot="1" x14ac:dyDescent="0.35">
      <c r="B101" s="519"/>
      <c r="C101" s="301"/>
      <c r="D101" s="550">
        <f>SUM(D99:D100)</f>
        <v>1061256</v>
      </c>
      <c r="E101" s="550">
        <f>SUM(E99:E100)</f>
        <v>1070402.6400000001</v>
      </c>
      <c r="F101" s="550">
        <f>SUM(F99:F100)</f>
        <v>-9146.640000000014</v>
      </c>
      <c r="G101" s="301"/>
      <c r="H101" s="301"/>
      <c r="I101" s="479"/>
    </row>
    <row r="102" spans="2:14" ht="15" thickTop="1" thickBot="1" x14ac:dyDescent="0.35">
      <c r="B102" s="523"/>
      <c r="C102" s="490"/>
      <c r="D102" s="555"/>
      <c r="E102" s="555"/>
      <c r="F102" s="555"/>
      <c r="G102" s="490"/>
      <c r="H102" s="490"/>
      <c r="I102" s="491"/>
    </row>
    <row r="103" spans="2:14" ht="47.25" customHeight="1" x14ac:dyDescent="0.3">
      <c r="B103" s="556" t="s">
        <v>501</v>
      </c>
      <c r="C103" s="847" t="s">
        <v>550</v>
      </c>
      <c r="D103" s="847"/>
      <c r="E103" s="847"/>
      <c r="F103" s="847"/>
      <c r="G103" s="847"/>
      <c r="H103" s="848"/>
      <c r="I103" s="848"/>
      <c r="J103" s="848"/>
      <c r="K103" s="848"/>
    </row>
    <row r="104" spans="2:14" x14ac:dyDescent="0.3">
      <c r="B104" s="842"/>
      <c r="C104" s="849" t="s">
        <v>551</v>
      </c>
      <c r="D104" s="850"/>
      <c r="E104" s="850"/>
      <c r="F104" s="850"/>
      <c r="G104" s="851"/>
      <c r="H104" s="852" t="s">
        <v>552</v>
      </c>
      <c r="I104" s="852"/>
      <c r="J104" s="852"/>
      <c r="K104" s="852"/>
      <c r="L104" s="852"/>
      <c r="M104" s="557" t="s">
        <v>486</v>
      </c>
    </row>
    <row r="105" spans="2:14" x14ac:dyDescent="0.3">
      <c r="B105" s="842"/>
      <c r="C105" s="558" t="s">
        <v>553</v>
      </c>
      <c r="D105" s="559" t="s">
        <v>554</v>
      </c>
      <c r="E105" s="559" t="s">
        <v>555</v>
      </c>
      <c r="F105" s="560" t="s">
        <v>556</v>
      </c>
      <c r="G105" s="546" t="s">
        <v>0</v>
      </c>
      <c r="H105" s="561" t="s">
        <v>553</v>
      </c>
      <c r="I105" s="562" t="s">
        <v>554</v>
      </c>
      <c r="J105" s="562" t="s">
        <v>555</v>
      </c>
      <c r="K105" s="563" t="s">
        <v>556</v>
      </c>
      <c r="L105" s="564" t="s">
        <v>0</v>
      </c>
      <c r="M105" s="565"/>
    </row>
    <row r="106" spans="2:14" x14ac:dyDescent="0.3">
      <c r="B106" s="435" t="s">
        <v>557</v>
      </c>
      <c r="C106" s="566">
        <f>C49</f>
        <v>87378.833333333328</v>
      </c>
      <c r="D106" s="566">
        <f>C49</f>
        <v>87378.833333333328</v>
      </c>
      <c r="E106" s="566">
        <f>C49</f>
        <v>87378.833333333328</v>
      </c>
      <c r="F106" s="567">
        <f>C49</f>
        <v>87378.833333333328</v>
      </c>
      <c r="G106" s="566">
        <f>C106+D106+E106+F106</f>
        <v>349515.33333333331</v>
      </c>
      <c r="H106" s="568">
        <f>H107+H111</f>
        <v>113850.70999999999</v>
      </c>
      <c r="I106" s="566">
        <f t="shared" ref="I106" si="19">I107+I111</f>
        <v>113850.70999999999</v>
      </c>
      <c r="J106" s="566">
        <f>J107+J111</f>
        <v>113850.70999999999</v>
      </c>
      <c r="K106" s="569">
        <f>J107+J111</f>
        <v>113850.70999999999</v>
      </c>
      <c r="L106" s="566">
        <f>H106+I106+J106+K106</f>
        <v>455402.83999999997</v>
      </c>
      <c r="M106" s="568">
        <f t="shared" ref="M106:M110" si="20">G106-L106</f>
        <v>-105887.50666666665</v>
      </c>
    </row>
    <row r="107" spans="2:14" ht="14.4" thickBot="1" x14ac:dyDescent="0.35">
      <c r="B107" s="435" t="s">
        <v>558</v>
      </c>
      <c r="C107" s="570">
        <f>C108+C109+C110</f>
        <v>26471.878333333334</v>
      </c>
      <c r="D107" s="570">
        <f t="shared" ref="D107:F107" si="21">D108+D109+D110</f>
        <v>26471.878333333334</v>
      </c>
      <c r="E107" s="570">
        <f t="shared" si="21"/>
        <v>26471.878333333334</v>
      </c>
      <c r="F107" s="570">
        <f t="shared" si="21"/>
        <v>26471.878333333334</v>
      </c>
      <c r="G107" s="570">
        <f t="shared" ref="G107:G110" si="22">C107+D107+E107+F107</f>
        <v>105887.51333333334</v>
      </c>
      <c r="H107" s="571">
        <f>H108+H109+H110</f>
        <v>26471.879999999997</v>
      </c>
      <c r="I107" s="570">
        <f t="shared" ref="I107:J107" si="23">I108+I109+I110</f>
        <v>26471.879999999997</v>
      </c>
      <c r="J107" s="570">
        <f t="shared" si="23"/>
        <v>26471.879999999997</v>
      </c>
      <c r="K107" s="572">
        <f>H107+I107+J107</f>
        <v>79415.639999999985</v>
      </c>
      <c r="L107" s="570">
        <f t="shared" ref="L107:L111" si="24">H107+I107+J107+K107</f>
        <v>158831.27999999997</v>
      </c>
      <c r="M107" s="571">
        <f t="shared" si="20"/>
        <v>-52943.766666666634</v>
      </c>
    </row>
    <row r="108" spans="2:14" x14ac:dyDescent="0.3">
      <c r="B108" s="573" t="s">
        <v>559</v>
      </c>
      <c r="C108" s="574">
        <v>3187.17</v>
      </c>
      <c r="D108" s="574">
        <v>3187.17</v>
      </c>
      <c r="E108" s="574">
        <v>3187.17</v>
      </c>
      <c r="F108" s="574">
        <v>3187.17</v>
      </c>
      <c r="G108" s="575">
        <f t="shared" si="22"/>
        <v>12748.68</v>
      </c>
      <c r="H108" s="576">
        <v>3187.17</v>
      </c>
      <c r="I108" s="576">
        <v>3187.17</v>
      </c>
      <c r="J108" s="576">
        <v>3187.17</v>
      </c>
      <c r="K108" s="576">
        <v>3187.17</v>
      </c>
      <c r="L108" s="575">
        <f t="shared" si="24"/>
        <v>12748.68</v>
      </c>
      <c r="M108" s="575">
        <f t="shared" si="20"/>
        <v>0</v>
      </c>
    </row>
    <row r="109" spans="2:14" x14ac:dyDescent="0.3">
      <c r="B109" s="577" t="s">
        <v>483</v>
      </c>
      <c r="C109" s="578">
        <f>F49</f>
        <v>21844.708333333332</v>
      </c>
      <c r="D109" s="578">
        <f>F49</f>
        <v>21844.708333333332</v>
      </c>
      <c r="E109" s="578">
        <f>F49</f>
        <v>21844.708333333332</v>
      </c>
      <c r="F109" s="578">
        <f>F49</f>
        <v>21844.708333333332</v>
      </c>
      <c r="G109" s="578">
        <f t="shared" si="22"/>
        <v>87378.833333333328</v>
      </c>
      <c r="H109" s="579">
        <v>21844.71</v>
      </c>
      <c r="I109" s="579">
        <v>21844.71</v>
      </c>
      <c r="J109" s="579">
        <v>21844.71</v>
      </c>
      <c r="K109" s="579">
        <v>21844.71</v>
      </c>
      <c r="L109" s="578">
        <f t="shared" si="24"/>
        <v>87378.84</v>
      </c>
      <c r="M109" s="579">
        <f t="shared" si="20"/>
        <v>-6.6666666680248454E-3</v>
      </c>
    </row>
    <row r="110" spans="2:14" ht="14.4" thickBot="1" x14ac:dyDescent="0.35">
      <c r="B110" s="577" t="s">
        <v>560</v>
      </c>
      <c r="C110" s="580">
        <v>1440</v>
      </c>
      <c r="D110" s="580">
        <v>1440</v>
      </c>
      <c r="E110" s="580">
        <v>1440</v>
      </c>
      <c r="F110" s="581">
        <v>1440</v>
      </c>
      <c r="G110" s="581">
        <f t="shared" si="22"/>
        <v>5760</v>
      </c>
      <c r="H110" s="580">
        <f>'[2]Top 4 - 201718 FY'!J117</f>
        <v>1440</v>
      </c>
      <c r="I110" s="580">
        <f>'[2]Top 4 - 201718 FY'!K117</f>
        <v>1440</v>
      </c>
      <c r="J110" s="580">
        <f>'[2]Top 4 - 201718 FY'!L117</f>
        <v>1440</v>
      </c>
      <c r="K110" s="580">
        <f>'[2]Top 4 - 201718 FY'!M117</f>
        <v>1440</v>
      </c>
      <c r="L110" s="581">
        <f t="shared" si="24"/>
        <v>5760</v>
      </c>
      <c r="M110" s="581">
        <f t="shared" si="20"/>
        <v>0</v>
      </c>
    </row>
    <row r="111" spans="2:14" ht="14.4" thickBot="1" x14ac:dyDescent="0.35">
      <c r="B111" s="296" t="s">
        <v>561</v>
      </c>
      <c r="C111" s="582">
        <f>C106-C107</f>
        <v>60906.954999999994</v>
      </c>
      <c r="D111" s="582">
        <f t="shared" ref="D111:F111" si="25">D106-D107</f>
        <v>60906.954999999994</v>
      </c>
      <c r="E111" s="582">
        <f t="shared" si="25"/>
        <v>60906.954999999994</v>
      </c>
      <c r="F111" s="582">
        <f t="shared" si="25"/>
        <v>60906.954999999994</v>
      </c>
      <c r="G111" s="583">
        <f>C111+D111+E111+F111</f>
        <v>243627.81999999998</v>
      </c>
      <c r="H111" s="584">
        <f>'[2]Top 4 - 201718 FY'!J96</f>
        <v>87378.83</v>
      </c>
      <c r="I111" s="584">
        <f>'[2]Top 4 - 201718 FY'!K96</f>
        <v>87378.83</v>
      </c>
      <c r="J111" s="584">
        <f>'[2]Top 4 - 201718 FY'!L96</f>
        <v>87378.83</v>
      </c>
      <c r="K111" s="584">
        <f>'[2]Top 4 - 201718 FY'!M96</f>
        <v>62346.95</v>
      </c>
      <c r="L111" s="583">
        <f t="shared" si="24"/>
        <v>324483.44</v>
      </c>
      <c r="M111" s="583">
        <f>G111-L111</f>
        <v>-80855.620000000024</v>
      </c>
      <c r="N111" s="585" t="s">
        <v>562</v>
      </c>
    </row>
    <row r="112" spans="2:14" ht="14.4" thickTop="1" x14ac:dyDescent="0.3">
      <c r="B112" s="301"/>
    </row>
    <row r="113" spans="2:13" x14ac:dyDescent="0.3">
      <c r="B113" s="556" t="s">
        <v>545</v>
      </c>
      <c r="C113" s="513" t="s">
        <v>563</v>
      </c>
      <c r="D113" s="536"/>
      <c r="E113" s="536"/>
      <c r="F113" s="536"/>
    </row>
    <row r="114" spans="2:13" s="590" customFormat="1" ht="27.6" x14ac:dyDescent="0.3">
      <c r="B114" s="842"/>
      <c r="C114" s="586" t="s">
        <v>551</v>
      </c>
      <c r="D114" s="586" t="s">
        <v>552</v>
      </c>
      <c r="E114" s="587" t="s">
        <v>564</v>
      </c>
      <c r="F114" s="588"/>
      <c r="G114" s="588"/>
      <c r="H114" s="588"/>
      <c r="I114" s="588"/>
      <c r="J114" s="588"/>
      <c r="K114" s="588"/>
      <c r="L114" s="588"/>
      <c r="M114" s="589"/>
    </row>
    <row r="115" spans="2:13" s="590" customFormat="1" x14ac:dyDescent="0.3">
      <c r="B115" s="842"/>
      <c r="C115" s="558" t="s">
        <v>553</v>
      </c>
      <c r="D115" s="559" t="s">
        <v>553</v>
      </c>
      <c r="E115" s="591" t="s">
        <v>553</v>
      </c>
      <c r="F115" s="592"/>
      <c r="G115" s="593"/>
      <c r="H115" s="592"/>
      <c r="I115" s="594"/>
      <c r="J115" s="594"/>
      <c r="K115" s="594"/>
      <c r="L115" s="595"/>
      <c r="M115" s="589"/>
    </row>
    <row r="116" spans="2:13" s="590" customFormat="1" x14ac:dyDescent="0.3">
      <c r="B116" s="435" t="s">
        <v>557</v>
      </c>
      <c r="C116" s="566">
        <f>C51</f>
        <v>82309.5</v>
      </c>
      <c r="D116" s="566">
        <f>'[2]Mayoral Committee 201718 FY'!L154+'[2]Mayoral Committee 201718 FY'!L155+'[2]Mayoral Committee 201718 FY'!L173</f>
        <v>83693.509999999995</v>
      </c>
      <c r="E116" s="567">
        <f>C116-D116</f>
        <v>-1384.0099999999948</v>
      </c>
      <c r="F116" s="520"/>
      <c r="G116" s="520"/>
      <c r="H116" s="520"/>
      <c r="I116" s="520"/>
      <c r="J116" s="520"/>
      <c r="K116" s="596"/>
      <c r="L116" s="520"/>
      <c r="M116" s="520"/>
    </row>
    <row r="117" spans="2:13" s="590" customFormat="1" ht="14.4" thickBot="1" x14ac:dyDescent="0.35">
      <c r="B117" s="435" t="s">
        <v>558</v>
      </c>
      <c r="C117" s="570">
        <f>C118+C119+C120</f>
        <v>21961.375</v>
      </c>
      <c r="D117" s="570">
        <f t="shared" ref="D117" si="26">D118+D119+D120</f>
        <v>21961.38</v>
      </c>
      <c r="E117" s="597">
        <f>C117-D117</f>
        <v>-5.0000000010186341E-3</v>
      </c>
      <c r="F117" s="585"/>
      <c r="G117" s="585"/>
      <c r="H117" s="585"/>
      <c r="I117" s="585"/>
      <c r="J117" s="585"/>
      <c r="K117" s="598"/>
      <c r="L117" s="585"/>
      <c r="M117" s="585"/>
    </row>
    <row r="118" spans="2:13" s="590" customFormat="1" x14ac:dyDescent="0.3">
      <c r="B118" s="573" t="s">
        <v>559</v>
      </c>
      <c r="C118" s="574">
        <v>0</v>
      </c>
      <c r="D118" s="574">
        <v>0</v>
      </c>
      <c r="E118" s="599">
        <f>C118-D118</f>
        <v>0</v>
      </c>
      <c r="F118" s="513"/>
      <c r="G118" s="518"/>
      <c r="H118" s="538"/>
      <c r="I118" s="538"/>
      <c r="J118" s="538"/>
      <c r="K118" s="538"/>
      <c r="L118" s="518"/>
      <c r="M118" s="518"/>
    </row>
    <row r="119" spans="2:13" s="590" customFormat="1" x14ac:dyDescent="0.3">
      <c r="B119" s="577" t="s">
        <v>483</v>
      </c>
      <c r="C119" s="578">
        <f>F51</f>
        <v>20577.375</v>
      </c>
      <c r="D119" s="578">
        <f>'[3]Mayoral Committee 201718 FY'!M154</f>
        <v>20577.38</v>
      </c>
      <c r="E119" s="600">
        <f>C119-D119</f>
        <v>-5.0000000010186341E-3</v>
      </c>
      <c r="F119" s="518"/>
      <c r="G119" s="518"/>
      <c r="H119" s="538"/>
      <c r="I119" s="538"/>
      <c r="J119" s="538"/>
      <c r="K119" s="538"/>
      <c r="L119" s="518"/>
      <c r="M119" s="538"/>
    </row>
    <row r="120" spans="2:13" s="590" customFormat="1" ht="14.4" thickBot="1" x14ac:dyDescent="0.35">
      <c r="B120" s="577" t="s">
        <v>560</v>
      </c>
      <c r="C120" s="580">
        <v>1384</v>
      </c>
      <c r="D120" s="580">
        <f>'[3]Mayoral Committee 201718 FY'!M173</f>
        <v>1384</v>
      </c>
      <c r="E120" s="601">
        <f>C120-D120</f>
        <v>0</v>
      </c>
      <c r="F120" s="518"/>
      <c r="G120" s="518"/>
      <c r="H120" s="538"/>
      <c r="I120" s="538"/>
      <c r="J120" s="538"/>
      <c r="K120" s="538"/>
      <c r="L120" s="518"/>
      <c r="M120" s="518"/>
    </row>
    <row r="121" spans="2:13" s="590" customFormat="1" ht="14.4" thickBot="1" x14ac:dyDescent="0.35">
      <c r="B121" s="296" t="s">
        <v>561</v>
      </c>
      <c r="C121" s="582">
        <f>C116-C117</f>
        <v>60348.125</v>
      </c>
      <c r="D121" s="582">
        <f t="shared" ref="D121:E121" si="27">D116-D117</f>
        <v>61732.12999999999</v>
      </c>
      <c r="E121" s="582">
        <f t="shared" si="27"/>
        <v>-1384.0049999999937</v>
      </c>
      <c r="F121" s="585" t="s">
        <v>562</v>
      </c>
      <c r="G121" s="585"/>
      <c r="H121" s="598"/>
      <c r="I121" s="598"/>
      <c r="J121" s="598"/>
      <c r="K121" s="598"/>
      <c r="L121" s="585"/>
      <c r="M121" s="585"/>
    </row>
    <row r="122" spans="2:13" ht="14.4" thickTop="1" x14ac:dyDescent="0.3">
      <c r="B122" s="301"/>
      <c r="C122" s="513"/>
      <c r="D122" s="536"/>
      <c r="E122" s="536"/>
      <c r="F122" s="536"/>
    </row>
    <row r="123" spans="2:13" x14ac:dyDescent="0.3">
      <c r="B123" s="301"/>
      <c r="C123" s="301"/>
      <c r="D123" s="536"/>
      <c r="E123" s="536"/>
      <c r="F123" s="536"/>
      <c r="J123" s="540"/>
    </row>
    <row r="124" spans="2:13" x14ac:dyDescent="0.3">
      <c r="B124" s="602" t="s">
        <v>507</v>
      </c>
      <c r="C124" s="603" t="s">
        <v>565</v>
      </c>
      <c r="D124" s="604"/>
      <c r="E124" s="604"/>
      <c r="F124" s="604"/>
      <c r="G124" s="603"/>
      <c r="H124" s="605"/>
      <c r="J124" s="540"/>
    </row>
    <row r="125" spans="2:13" x14ac:dyDescent="0.3">
      <c r="B125" s="509"/>
      <c r="C125" s="301" t="s">
        <v>566</v>
      </c>
      <c r="D125" s="536"/>
      <c r="E125" s="536"/>
      <c r="F125" s="536"/>
      <c r="G125" s="301"/>
      <c r="H125" s="606"/>
      <c r="J125" s="540"/>
    </row>
    <row r="126" spans="2:13" x14ac:dyDescent="0.3">
      <c r="B126" s="509"/>
      <c r="C126" s="513" t="s">
        <v>567</v>
      </c>
      <c r="D126" s="536"/>
      <c r="E126" s="536"/>
      <c r="F126" s="536"/>
      <c r="G126" s="301"/>
      <c r="H126" s="606"/>
      <c r="J126" s="540"/>
    </row>
    <row r="127" spans="2:13" x14ac:dyDescent="0.3">
      <c r="B127" s="509"/>
      <c r="C127" s="513" t="s">
        <v>568</v>
      </c>
      <c r="D127" s="536"/>
      <c r="E127" s="536"/>
      <c r="F127" s="536"/>
      <c r="G127" s="301"/>
      <c r="H127" s="606"/>
    </row>
    <row r="128" spans="2:13" x14ac:dyDescent="0.3">
      <c r="B128" s="509"/>
      <c r="C128" s="513"/>
      <c r="D128" s="536"/>
      <c r="E128" s="536"/>
      <c r="F128" s="536"/>
      <c r="G128" s="301"/>
      <c r="H128" s="606"/>
    </row>
    <row r="129" spans="2:10" x14ac:dyDescent="0.3">
      <c r="B129" s="509"/>
      <c r="C129" s="607" t="s">
        <v>569</v>
      </c>
      <c r="D129" s="545" t="s">
        <v>570</v>
      </c>
      <c r="E129" s="568" t="s">
        <v>564</v>
      </c>
      <c r="F129" s="536"/>
      <c r="G129" s="301"/>
      <c r="H129" s="606"/>
    </row>
    <row r="130" spans="2:10" x14ac:dyDescent="0.3">
      <c r="B130" s="608" t="s">
        <v>571</v>
      </c>
      <c r="C130" s="469"/>
      <c r="D130" s="469"/>
      <c r="E130" s="536"/>
      <c r="F130" s="536"/>
      <c r="G130" s="301"/>
      <c r="H130" s="606"/>
    </row>
    <row r="131" spans="2:10" x14ac:dyDescent="0.3">
      <c r="B131" s="609" t="s">
        <v>492</v>
      </c>
      <c r="C131" s="536">
        <f>F72</f>
        <v>21678</v>
      </c>
      <c r="D131" s="536">
        <f>F73</f>
        <v>-11502.520000000019</v>
      </c>
      <c r="E131" s="536">
        <f>SUM(C131:D131)</f>
        <v>10175.479999999981</v>
      </c>
      <c r="F131" s="536"/>
      <c r="G131" s="301"/>
      <c r="H131" s="606"/>
    </row>
    <row r="132" spans="2:10" x14ac:dyDescent="0.3">
      <c r="B132" s="608" t="s">
        <v>572</v>
      </c>
      <c r="C132" s="513"/>
      <c r="D132" s="536"/>
      <c r="E132" s="536"/>
      <c r="F132" s="536"/>
      <c r="G132" s="301"/>
      <c r="H132" s="606"/>
    </row>
    <row r="133" spans="2:10" x14ac:dyDescent="0.3">
      <c r="B133" s="609" t="s">
        <v>492</v>
      </c>
      <c r="C133" s="518">
        <f>F86</f>
        <v>-31335.959999999963</v>
      </c>
      <c r="D133" s="536">
        <f>F87</f>
        <v>21218</v>
      </c>
      <c r="E133" s="536">
        <f>SUM(C133:D133)</f>
        <v>-10117.959999999963</v>
      </c>
      <c r="F133" s="536"/>
      <c r="G133" s="301"/>
      <c r="H133" s="606"/>
    </row>
    <row r="134" spans="2:10" ht="14.4" thickBot="1" x14ac:dyDescent="0.35">
      <c r="B134" s="608" t="s">
        <v>573</v>
      </c>
      <c r="C134" s="522">
        <f>SUM(C131:C133)</f>
        <v>-9657.9599999999627</v>
      </c>
      <c r="D134" s="522">
        <f>SUM(D131:D133)</f>
        <v>9715.4799999999814</v>
      </c>
      <c r="E134" s="522">
        <f>SUM(E131:E133)</f>
        <v>57.520000000018626</v>
      </c>
      <c r="F134" s="536"/>
      <c r="G134" s="301"/>
      <c r="H134" s="606"/>
    </row>
    <row r="135" spans="2:10" ht="14.4" thickTop="1" x14ac:dyDescent="0.3">
      <c r="B135" s="608"/>
      <c r="C135" s="520"/>
      <c r="D135" s="520"/>
      <c r="E135" s="520"/>
      <c r="F135" s="536"/>
      <c r="G135" s="301"/>
      <c r="H135" s="606"/>
    </row>
    <row r="136" spans="2:10" x14ac:dyDescent="0.3">
      <c r="B136" s="608"/>
      <c r="C136" s="520"/>
      <c r="D136" s="520"/>
      <c r="E136" s="520"/>
      <c r="F136" s="536"/>
      <c r="G136" s="301"/>
      <c r="H136" s="606"/>
    </row>
    <row r="137" spans="2:10" x14ac:dyDescent="0.3">
      <c r="B137" s="509"/>
      <c r="C137" s="607" t="s">
        <v>569</v>
      </c>
      <c r="D137" s="545" t="s">
        <v>570</v>
      </c>
      <c r="E137" s="568" t="s">
        <v>564</v>
      </c>
      <c r="F137" s="536"/>
      <c r="G137" s="301"/>
      <c r="H137" s="606"/>
    </row>
    <row r="138" spans="2:10" x14ac:dyDescent="0.3">
      <c r="B138" s="608" t="s">
        <v>571</v>
      </c>
      <c r="C138" s="469"/>
      <c r="D138" s="469"/>
      <c r="E138" s="536"/>
      <c r="F138" s="536"/>
      <c r="G138" s="301"/>
      <c r="H138" s="606"/>
    </row>
    <row r="139" spans="2:10" x14ac:dyDescent="0.3">
      <c r="B139" s="609" t="s">
        <v>574</v>
      </c>
      <c r="C139" s="536">
        <f>F79</f>
        <v>3919.5</v>
      </c>
      <c r="D139" s="536">
        <f>F80</f>
        <v>-73.180000000022119</v>
      </c>
      <c r="E139" s="536">
        <f>SUM(C139:D139)</f>
        <v>3846.3199999999779</v>
      </c>
      <c r="F139" s="536"/>
      <c r="G139" s="301"/>
      <c r="H139" s="606"/>
    </row>
    <row r="140" spans="2:10" x14ac:dyDescent="0.3">
      <c r="B140" s="608" t="s">
        <v>572</v>
      </c>
      <c r="C140" s="513"/>
      <c r="D140" s="536"/>
      <c r="E140" s="536"/>
      <c r="F140" s="536"/>
      <c r="G140" s="301"/>
      <c r="H140" s="606"/>
    </row>
    <row r="141" spans="2:10" x14ac:dyDescent="0.3">
      <c r="B141" s="609" t="s">
        <v>574</v>
      </c>
      <c r="C141" s="518">
        <f>F92</f>
        <v>-6334.0100000000093</v>
      </c>
      <c r="D141" s="536">
        <f>F93</f>
        <v>3804.4799999999959</v>
      </c>
      <c r="E141" s="536">
        <f>SUM(C141:D141)</f>
        <v>-2529.5300000000134</v>
      </c>
      <c r="F141" s="536"/>
      <c r="G141" s="301"/>
      <c r="H141" s="606"/>
    </row>
    <row r="142" spans="2:10" ht="14.4" thickBot="1" x14ac:dyDescent="0.35">
      <c r="B142" s="608" t="s">
        <v>573</v>
      </c>
      <c r="C142" s="522">
        <f>SUM(C139:C141)</f>
        <v>-2414.5100000000093</v>
      </c>
      <c r="D142" s="522">
        <f>SUM(D139:D141)</f>
        <v>3731.2999999999738</v>
      </c>
      <c r="E142" s="522">
        <f>SUM(E139:E141)</f>
        <v>1316.7899999999645</v>
      </c>
      <c r="F142" s="536"/>
      <c r="G142" s="301"/>
      <c r="H142" s="606"/>
    </row>
    <row r="143" spans="2:10" ht="14.4" thickTop="1" x14ac:dyDescent="0.3">
      <c r="B143" s="608"/>
      <c r="C143" s="520"/>
      <c r="D143" s="520"/>
      <c r="E143" s="520"/>
      <c r="F143" s="536"/>
      <c r="G143" s="301"/>
      <c r="H143" s="606"/>
    </row>
    <row r="144" spans="2:10" x14ac:dyDescent="0.3">
      <c r="B144" s="610"/>
      <c r="C144" s="495"/>
      <c r="D144" s="611"/>
      <c r="E144" s="611"/>
      <c r="F144" s="611"/>
      <c r="G144" s="495"/>
      <c r="H144" s="612"/>
      <c r="J144" s="540"/>
    </row>
    <row r="145" spans="2:6" x14ac:dyDescent="0.3">
      <c r="B145" s="554" t="s">
        <v>509</v>
      </c>
      <c r="C145" s="513" t="s">
        <v>575</v>
      </c>
      <c r="D145" s="536"/>
      <c r="E145" s="536"/>
      <c r="F145" s="536"/>
    </row>
    <row r="146" spans="2:6" x14ac:dyDescent="0.3">
      <c r="B146" s="301"/>
      <c r="C146" s="301"/>
      <c r="D146" s="536"/>
      <c r="E146" s="536"/>
      <c r="F146" s="536"/>
    </row>
    <row r="148" spans="2:6" x14ac:dyDescent="0.3">
      <c r="C148" s="281" t="s">
        <v>576</v>
      </c>
    </row>
    <row r="149" spans="2:6" x14ac:dyDescent="0.3">
      <c r="C149" s="281" t="s">
        <v>577</v>
      </c>
    </row>
    <row r="151" spans="2:6" x14ac:dyDescent="0.3">
      <c r="B151" s="613" t="s">
        <v>503</v>
      </c>
      <c r="C151" s="281" t="s">
        <v>578</v>
      </c>
    </row>
    <row r="152" spans="2:6" x14ac:dyDescent="0.3">
      <c r="C152" s="279" t="s">
        <v>579</v>
      </c>
      <c r="D152" s="279"/>
      <c r="E152" s="614">
        <f>'[2]Top 4 - 201718 FY'!P166</f>
        <v>2880</v>
      </c>
      <c r="F152" s="585" t="s">
        <v>562</v>
      </c>
    </row>
    <row r="153" spans="2:6" x14ac:dyDescent="0.3">
      <c r="C153" s="615" t="s">
        <v>580</v>
      </c>
      <c r="D153" s="615"/>
      <c r="E153" s="614">
        <f>G23</f>
        <v>-2880.0600000000559</v>
      </c>
    </row>
    <row r="154" spans="2:6" ht="14.4" thickBot="1" x14ac:dyDescent="0.35">
      <c r="C154" s="279"/>
      <c r="D154" s="279"/>
      <c r="E154" s="616">
        <f>SUM(E152:E153)</f>
        <v>-6.0000000055879354E-2</v>
      </c>
    </row>
    <row r="157" spans="2:6" x14ac:dyDescent="0.3">
      <c r="B157" s="279" t="s">
        <v>581</v>
      </c>
    </row>
    <row r="158" spans="2:6" x14ac:dyDescent="0.3">
      <c r="B158" s="545" t="s">
        <v>538</v>
      </c>
      <c r="C158" s="545" t="s">
        <v>539</v>
      </c>
      <c r="D158" s="545" t="s">
        <v>582</v>
      </c>
    </row>
    <row r="159" spans="2:6" x14ac:dyDescent="0.3">
      <c r="B159" s="435" t="s">
        <v>456</v>
      </c>
      <c r="C159" s="435" t="s">
        <v>457</v>
      </c>
      <c r="D159" s="506">
        <f>-M111</f>
        <v>80855.620000000024</v>
      </c>
    </row>
    <row r="160" spans="2:6" ht="14.4" x14ac:dyDescent="0.3">
      <c r="B160" s="370" t="s">
        <v>470</v>
      </c>
      <c r="C160" s="370" t="s">
        <v>471</v>
      </c>
      <c r="D160" s="506">
        <f>-E153</f>
        <v>2880.0600000000559</v>
      </c>
    </row>
    <row r="161" spans="2:4" x14ac:dyDescent="0.3">
      <c r="B161" s="435" t="s">
        <v>463</v>
      </c>
      <c r="C161" s="435" t="s">
        <v>462</v>
      </c>
      <c r="D161" s="506">
        <f>-C134</f>
        <v>9657.9599999999627</v>
      </c>
    </row>
    <row r="162" spans="2:4" x14ac:dyDescent="0.3">
      <c r="B162" s="435" t="s">
        <v>459</v>
      </c>
      <c r="C162" s="435" t="s">
        <v>461</v>
      </c>
      <c r="D162" s="506">
        <f>-E121</f>
        <v>1384.0049999999937</v>
      </c>
    </row>
    <row r="163" spans="2:4" ht="14.4" thickBot="1" x14ac:dyDescent="0.35">
      <c r="D163" s="618">
        <f>SUM(D159:D162)</f>
        <v>94777.645000000033</v>
      </c>
    </row>
  </sheetData>
  <mergeCells count="24">
    <mergeCell ref="B114:B115"/>
    <mergeCell ref="B56:I56"/>
    <mergeCell ref="B64:I64"/>
    <mergeCell ref="C103:K103"/>
    <mergeCell ref="B104:B105"/>
    <mergeCell ref="C104:G104"/>
    <mergeCell ref="H104:L104"/>
    <mergeCell ref="R18:R19"/>
    <mergeCell ref="B30:I30"/>
    <mergeCell ref="G32:I32"/>
    <mergeCell ref="B42:I42"/>
    <mergeCell ref="B44:I44"/>
    <mergeCell ref="C45:E45"/>
    <mergeCell ref="F45:F46"/>
    <mergeCell ref="P17:Q17"/>
    <mergeCell ref="C18:C19"/>
    <mergeCell ref="D18:F18"/>
    <mergeCell ref="G18:G19"/>
    <mergeCell ref="I18:K18"/>
    <mergeCell ref="L18:L19"/>
    <mergeCell ref="M18:M19"/>
    <mergeCell ref="O18:O19"/>
    <mergeCell ref="P18:P19"/>
    <mergeCell ref="Q18:Q19"/>
  </mergeCells>
  <pageMargins left="0.7" right="0.7" top="0.75" bottom="0.75" header="0.3" footer="0.3"/>
  <pageSetup paperSize="9" scale="41" fitToHeight="0" orientation="landscape" r:id="rId1"/>
  <rowBreaks count="1" manualBreakCount="1">
    <brk id="28" min="1" max="20"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sheetPr>
  <dimension ref="A1:H11"/>
  <sheetViews>
    <sheetView workbookViewId="0">
      <selection activeCell="E19" sqref="E19"/>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431</v>
      </c>
      <c r="C7" s="335" t="s">
        <v>584</v>
      </c>
      <c r="D7" s="336">
        <v>134897</v>
      </c>
      <c r="E7" s="293" t="s">
        <v>596</v>
      </c>
      <c r="F7" s="337">
        <v>1196067.05</v>
      </c>
      <c r="G7" s="338" t="s">
        <v>148</v>
      </c>
      <c r="H7" s="338" t="s">
        <v>158</v>
      </c>
    </row>
    <row r="8" spans="1:8" x14ac:dyDescent="0.3">
      <c r="A8" s="333" t="s">
        <v>145</v>
      </c>
      <c r="B8" s="334" t="s">
        <v>606</v>
      </c>
      <c r="C8" s="335" t="s">
        <v>584</v>
      </c>
      <c r="D8" s="336">
        <v>125646</v>
      </c>
      <c r="E8" s="293" t="s">
        <v>596</v>
      </c>
      <c r="F8" s="337">
        <v>556703.42000000004</v>
      </c>
      <c r="G8" s="338" t="s">
        <v>148</v>
      </c>
      <c r="H8" s="338" t="s">
        <v>158</v>
      </c>
    </row>
    <row r="9" spans="1:8" x14ac:dyDescent="0.3">
      <c r="A9" s="333" t="s">
        <v>145</v>
      </c>
      <c r="B9" s="334"/>
      <c r="C9" s="335"/>
      <c r="D9" s="336"/>
      <c r="E9" s="297"/>
      <c r="F9" s="337"/>
      <c r="G9" s="338"/>
      <c r="H9" s="338"/>
    </row>
    <row r="10" spans="1:8" ht="15" thickBot="1" x14ac:dyDescent="0.35">
      <c r="F10" s="374">
        <f>SUM(F7:F8)</f>
        <v>1752770.4700000002</v>
      </c>
    </row>
    <row r="11" spans="1:8" ht="15" thickTop="1" x14ac:dyDescent="0.3"/>
  </sheetData>
  <hyperlinks>
    <hyperlink ref="A1" location="'C.5.11.1 F&amp;W Register'!A1" display="Back to MFMA-7.1 F&amp;W Register"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sheetPr>
  <dimension ref="A1:H9"/>
  <sheetViews>
    <sheetView workbookViewId="0"/>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869</v>
      </c>
      <c r="C7" s="335" t="s">
        <v>584</v>
      </c>
      <c r="D7" s="336">
        <v>123900</v>
      </c>
      <c r="E7" s="293" t="s">
        <v>596</v>
      </c>
      <c r="F7" s="337">
        <v>557810.34</v>
      </c>
      <c r="G7" s="338" t="s">
        <v>148</v>
      </c>
      <c r="H7" s="338" t="s">
        <v>158</v>
      </c>
    </row>
    <row r="8" spans="1:8" ht="15" thickBot="1" x14ac:dyDescent="0.35">
      <c r="F8" s="374">
        <f>SUM(F7:F7)</f>
        <v>557810.34</v>
      </c>
    </row>
    <row r="9" spans="1:8" ht="15" thickTop="1" x14ac:dyDescent="0.3"/>
  </sheetData>
  <hyperlinks>
    <hyperlink ref="A1" location="'C.5.11.1 F&amp;W Register'!A1" display="Back to MFMA-7.1 F&amp;W Register"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sheetPr>
  <dimension ref="A1:I16"/>
  <sheetViews>
    <sheetView workbookViewId="0">
      <selection activeCell="H9" sqref="H9"/>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9" width="13.44140625" style="1" bestFit="1" customWidth="1"/>
    <col min="10" max="16384" width="9.109375" style="1"/>
  </cols>
  <sheetData>
    <row r="1" spans="1:9" x14ac:dyDescent="0.3">
      <c r="A1" s="422" t="s">
        <v>223</v>
      </c>
      <c r="B1" s="281"/>
      <c r="C1" s="281"/>
      <c r="D1" s="281"/>
      <c r="E1" s="281"/>
      <c r="F1" s="281"/>
      <c r="G1" s="281"/>
      <c r="H1" s="281"/>
    </row>
    <row r="2" spans="1:9" x14ac:dyDescent="0.3">
      <c r="A2" s="279" t="s">
        <v>137</v>
      </c>
      <c r="B2" s="280"/>
      <c r="C2" s="281"/>
      <c r="D2" s="281"/>
      <c r="E2" s="281"/>
      <c r="F2" s="281"/>
      <c r="G2" s="281"/>
      <c r="H2" s="281"/>
    </row>
    <row r="3" spans="1:9" x14ac:dyDescent="0.3">
      <c r="A3" s="281"/>
      <c r="B3" s="280"/>
      <c r="C3" s="281"/>
      <c r="D3" s="281"/>
      <c r="E3" s="281"/>
      <c r="F3" s="281"/>
      <c r="G3" s="281"/>
      <c r="H3" s="281"/>
    </row>
    <row r="4" spans="1:9" x14ac:dyDescent="0.3">
      <c r="A4" s="384" t="s">
        <v>163</v>
      </c>
      <c r="B4" s="384"/>
      <c r="C4" s="384"/>
      <c r="D4" s="384"/>
      <c r="E4" s="384"/>
      <c r="F4" s="384"/>
      <c r="G4" s="281"/>
      <c r="H4" s="281"/>
    </row>
    <row r="5" spans="1:9" x14ac:dyDescent="0.3">
      <c r="A5" s="281"/>
      <c r="B5" s="280"/>
      <c r="C5" s="281"/>
      <c r="D5" s="281"/>
      <c r="E5" s="281"/>
      <c r="F5" s="281"/>
      <c r="G5" s="281"/>
      <c r="H5" s="281"/>
    </row>
    <row r="6" spans="1:9" ht="27.6" x14ac:dyDescent="0.3">
      <c r="A6" s="282" t="s">
        <v>138</v>
      </c>
      <c r="B6" s="283" t="s">
        <v>139</v>
      </c>
      <c r="C6" s="284" t="s">
        <v>140</v>
      </c>
      <c r="D6" s="285" t="s">
        <v>141</v>
      </c>
      <c r="E6" s="286" t="s">
        <v>142</v>
      </c>
      <c r="F6" s="287" t="s">
        <v>143</v>
      </c>
      <c r="G6" s="288" t="s">
        <v>144</v>
      </c>
      <c r="H6" s="288" t="s">
        <v>157</v>
      </c>
    </row>
    <row r="7" spans="1:9" x14ac:dyDescent="0.3">
      <c r="A7" s="333" t="s">
        <v>145</v>
      </c>
      <c r="B7" s="334" t="s">
        <v>605</v>
      </c>
      <c r="C7" s="335" t="s">
        <v>607</v>
      </c>
      <c r="D7" s="336">
        <v>115884</v>
      </c>
      <c r="E7" s="293" t="s">
        <v>596</v>
      </c>
      <c r="F7" s="337">
        <v>4863013.22</v>
      </c>
      <c r="G7" s="338" t="s">
        <v>148</v>
      </c>
      <c r="H7" s="338" t="s">
        <v>158</v>
      </c>
    </row>
    <row r="8" spans="1:9" ht="41.4" x14ac:dyDescent="0.3">
      <c r="A8" s="333" t="s">
        <v>145</v>
      </c>
      <c r="B8" s="334" t="s">
        <v>366</v>
      </c>
      <c r="C8" s="335" t="s">
        <v>607</v>
      </c>
      <c r="D8" s="336" t="s">
        <v>617</v>
      </c>
      <c r="E8" s="293" t="s">
        <v>618</v>
      </c>
      <c r="F8" s="337">
        <v>891906.39</v>
      </c>
      <c r="G8" s="338" t="s">
        <v>148</v>
      </c>
      <c r="H8" s="338" t="s">
        <v>158</v>
      </c>
    </row>
    <row r="9" spans="1:9" ht="15" thickBot="1" x14ac:dyDescent="0.35">
      <c r="F9" s="374">
        <f>SUM(F7:F8)</f>
        <v>5754919.6099999994</v>
      </c>
    </row>
    <row r="10" spans="1:9" ht="15" thickTop="1" x14ac:dyDescent="0.3"/>
    <row r="14" spans="1:9" x14ac:dyDescent="0.3">
      <c r="I14" s="623"/>
    </row>
    <row r="15" spans="1:9" x14ac:dyDescent="0.3">
      <c r="I15" s="623"/>
    </row>
    <row r="16" spans="1:9" x14ac:dyDescent="0.3">
      <c r="I16" s="624"/>
    </row>
  </sheetData>
  <hyperlinks>
    <hyperlink ref="A1" location="'C.5.11.1 F&amp;W Register'!A1" display="Back to MFMA-7.1 F&amp;W Register"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sheetPr>
  <dimension ref="A1:I16"/>
  <sheetViews>
    <sheetView workbookViewId="0">
      <selection activeCell="G9" sqref="G9"/>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9" width="13.44140625" style="1" bestFit="1" customWidth="1"/>
    <col min="10" max="16384" width="9.109375" style="1"/>
  </cols>
  <sheetData>
    <row r="1" spans="1:9" x14ac:dyDescent="0.3">
      <c r="A1" s="422" t="s">
        <v>223</v>
      </c>
      <c r="B1" s="281"/>
      <c r="C1" s="281"/>
      <c r="D1" s="281"/>
      <c r="E1" s="281"/>
      <c r="F1" s="281"/>
      <c r="G1" s="281"/>
      <c r="H1" s="281"/>
    </row>
    <row r="2" spans="1:9" x14ac:dyDescent="0.3">
      <c r="A2" s="279" t="s">
        <v>137</v>
      </c>
      <c r="B2" s="280"/>
      <c r="C2" s="281"/>
      <c r="D2" s="281"/>
      <c r="E2" s="281"/>
      <c r="F2" s="281"/>
      <c r="G2" s="281"/>
      <c r="H2" s="281"/>
    </row>
    <row r="3" spans="1:9" x14ac:dyDescent="0.3">
      <c r="A3" s="281"/>
      <c r="B3" s="280"/>
      <c r="C3" s="281"/>
      <c r="D3" s="281"/>
      <c r="E3" s="281"/>
      <c r="F3" s="281"/>
      <c r="G3" s="281"/>
      <c r="H3" s="281"/>
    </row>
    <row r="4" spans="1:9" x14ac:dyDescent="0.3">
      <c r="A4" s="384" t="s">
        <v>163</v>
      </c>
      <c r="B4" s="384"/>
      <c r="C4" s="384"/>
      <c r="D4" s="384"/>
      <c r="E4" s="384"/>
      <c r="F4" s="384"/>
      <c r="G4" s="281"/>
      <c r="H4" s="281"/>
    </row>
    <row r="5" spans="1:9" x14ac:dyDescent="0.3">
      <c r="A5" s="281"/>
      <c r="B5" s="280"/>
      <c r="C5" s="281"/>
      <c r="D5" s="281"/>
      <c r="E5" s="281"/>
      <c r="F5" s="281"/>
      <c r="G5" s="281"/>
      <c r="H5" s="281"/>
    </row>
    <row r="6" spans="1:9" ht="27.6" x14ac:dyDescent="0.3">
      <c r="A6" s="282" t="s">
        <v>138</v>
      </c>
      <c r="B6" s="283" t="s">
        <v>139</v>
      </c>
      <c r="C6" s="284" t="s">
        <v>140</v>
      </c>
      <c r="D6" s="285" t="s">
        <v>141</v>
      </c>
      <c r="E6" s="286" t="s">
        <v>142</v>
      </c>
      <c r="F6" s="287" t="s">
        <v>143</v>
      </c>
      <c r="G6" s="288" t="s">
        <v>144</v>
      </c>
      <c r="H6" s="288" t="s">
        <v>157</v>
      </c>
    </row>
    <row r="7" spans="1:9" x14ac:dyDescent="0.3">
      <c r="A7" s="333" t="s">
        <v>145</v>
      </c>
      <c r="B7" s="334" t="s">
        <v>366</v>
      </c>
      <c r="C7" s="335" t="s">
        <v>611</v>
      </c>
      <c r="D7" s="336" t="s">
        <v>612</v>
      </c>
      <c r="E7" s="293" t="s">
        <v>596</v>
      </c>
      <c r="F7" s="337">
        <v>891906.39</v>
      </c>
      <c r="G7" s="338" t="s">
        <v>148</v>
      </c>
      <c r="H7" s="338" t="s">
        <v>158</v>
      </c>
    </row>
    <row r="8" spans="1:9" ht="27.6" x14ac:dyDescent="0.3">
      <c r="A8" s="333" t="s">
        <v>145</v>
      </c>
      <c r="B8" s="334" t="s">
        <v>366</v>
      </c>
      <c r="C8" s="335" t="s">
        <v>611</v>
      </c>
      <c r="D8" s="620" t="s">
        <v>619</v>
      </c>
      <c r="E8" s="293" t="s">
        <v>596</v>
      </c>
      <c r="F8" s="337">
        <v>393638.39</v>
      </c>
      <c r="G8" s="338" t="s">
        <v>148</v>
      </c>
      <c r="H8" s="338" t="s">
        <v>158</v>
      </c>
    </row>
    <row r="9" spans="1:9" ht="15" thickBot="1" x14ac:dyDescent="0.35">
      <c r="F9" s="374">
        <f>SUM(F7:F8)</f>
        <v>1285544.78</v>
      </c>
    </row>
    <row r="10" spans="1:9" ht="15" thickTop="1" x14ac:dyDescent="0.3"/>
    <row r="14" spans="1:9" x14ac:dyDescent="0.3">
      <c r="I14" s="623"/>
    </row>
    <row r="15" spans="1:9" x14ac:dyDescent="0.3">
      <c r="I15" s="623"/>
    </row>
    <row r="16" spans="1:9" x14ac:dyDescent="0.3">
      <c r="I16" s="624"/>
    </row>
  </sheetData>
  <hyperlinks>
    <hyperlink ref="A1" location="'C.5.11.1 F&amp;W Register'!A1" display="Back to MFMA-7.1 F&amp;W Register"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C000"/>
  </sheetPr>
  <dimension ref="A1:H10"/>
  <sheetViews>
    <sheetView workbookViewId="0">
      <selection activeCell="H16" sqref="H16"/>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586</v>
      </c>
      <c r="C7" s="335" t="s">
        <v>585</v>
      </c>
      <c r="D7" s="336">
        <v>131511</v>
      </c>
      <c r="E7" s="293" t="s">
        <v>596</v>
      </c>
      <c r="F7" s="337">
        <v>304800</v>
      </c>
      <c r="G7" s="338" t="s">
        <v>148</v>
      </c>
      <c r="H7" s="338" t="s">
        <v>158</v>
      </c>
    </row>
    <row r="8" spans="1:8" x14ac:dyDescent="0.3">
      <c r="A8" s="333" t="s">
        <v>145</v>
      </c>
      <c r="B8" s="334"/>
      <c r="C8" s="335"/>
      <c r="D8" s="336"/>
      <c r="E8" s="293"/>
      <c r="F8" s="337"/>
      <c r="G8" s="338"/>
      <c r="H8" s="338"/>
    </row>
    <row r="9" spans="1:8" ht="15" thickBot="1" x14ac:dyDescent="0.35">
      <c r="F9" s="374">
        <f>SUM(F7:F8)</f>
        <v>304800</v>
      </c>
    </row>
    <row r="10" spans="1:8" ht="15" thickTop="1" x14ac:dyDescent="0.3"/>
  </sheetData>
  <hyperlinks>
    <hyperlink ref="A1" location="'C.5.11.1 F&amp;W Register'!A1" display="Back to MFMA-7.1 F&amp;W Register"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C000"/>
  </sheetPr>
  <dimension ref="A1:F33"/>
  <sheetViews>
    <sheetView workbookViewId="0">
      <selection activeCell="H27" sqref="H27"/>
    </sheetView>
  </sheetViews>
  <sheetFormatPr defaultRowHeight="14.4" x14ac:dyDescent="0.3"/>
  <cols>
    <col min="1" max="1" width="2" style="1" customWidth="1"/>
    <col min="2" max="2" width="14.88671875" bestFit="1" customWidth="1"/>
    <col min="3" max="3" width="11.44140625" bestFit="1" customWidth="1"/>
    <col min="4" max="4" width="10.44140625" bestFit="1" customWidth="1"/>
  </cols>
  <sheetData>
    <row r="1" spans="2:6" s="1" customFormat="1" ht="15" thickBot="1" x14ac:dyDescent="0.35"/>
    <row r="2" spans="2:6" ht="15" thickBot="1" x14ac:dyDescent="0.35">
      <c r="B2" s="854" t="s">
        <v>448</v>
      </c>
      <c r="C2" s="855"/>
      <c r="D2" s="855"/>
      <c r="E2" s="855"/>
      <c r="F2" s="856"/>
    </row>
    <row r="3" spans="2:6" x14ac:dyDescent="0.3">
      <c r="B3" s="853">
        <v>2015</v>
      </c>
      <c r="C3" s="453">
        <v>350000</v>
      </c>
      <c r="D3" s="243"/>
      <c r="E3" s="243"/>
      <c r="F3" s="454"/>
    </row>
    <row r="4" spans="2:6" x14ac:dyDescent="0.3">
      <c r="B4" s="853"/>
      <c r="C4" s="243"/>
      <c r="D4" s="455">
        <v>42326</v>
      </c>
      <c r="E4" s="243"/>
      <c r="F4" s="454"/>
    </row>
    <row r="5" spans="2:6" x14ac:dyDescent="0.3">
      <c r="B5" s="853"/>
      <c r="C5" s="243"/>
      <c r="D5" s="455">
        <v>42369</v>
      </c>
      <c r="E5" s="243"/>
      <c r="F5" s="454"/>
    </row>
    <row r="6" spans="2:6" x14ac:dyDescent="0.3">
      <c r="B6" s="853"/>
      <c r="C6" s="243"/>
      <c r="D6" s="456">
        <f>D5-D4</f>
        <v>43</v>
      </c>
      <c r="E6" s="457">
        <v>0.09</v>
      </c>
      <c r="F6" s="458">
        <v>365</v>
      </c>
    </row>
    <row r="7" spans="2:6" x14ac:dyDescent="0.3">
      <c r="B7" s="853"/>
      <c r="C7" s="243"/>
      <c r="D7" s="243"/>
      <c r="E7" s="243"/>
      <c r="F7" s="454"/>
    </row>
    <row r="8" spans="2:6" x14ac:dyDescent="0.3">
      <c r="B8" s="853"/>
      <c r="C8" s="459">
        <f>C3*E6*D6/F6</f>
        <v>3710.9589041095892</v>
      </c>
      <c r="D8" s="243"/>
      <c r="E8" s="243"/>
      <c r="F8" s="454"/>
    </row>
    <row r="9" spans="2:6" ht="15" thickBot="1" x14ac:dyDescent="0.35">
      <c r="B9" s="378"/>
      <c r="C9" s="448">
        <f>SUM(C3:C8)</f>
        <v>353710.9589041096</v>
      </c>
      <c r="D9" s="243"/>
      <c r="E9" s="243"/>
      <c r="F9" s="454"/>
    </row>
    <row r="10" spans="2:6" x14ac:dyDescent="0.3">
      <c r="B10" s="378"/>
      <c r="C10" s="243"/>
      <c r="D10" s="243"/>
      <c r="E10" s="243"/>
      <c r="F10" s="454"/>
    </row>
    <row r="11" spans="2:6" x14ac:dyDescent="0.3">
      <c r="B11" s="853">
        <v>2016</v>
      </c>
      <c r="C11" s="460">
        <f>C9</f>
        <v>353710.9589041096</v>
      </c>
      <c r="D11" s="465" t="s">
        <v>449</v>
      </c>
      <c r="E11" s="461">
        <v>0.10249999999999999</v>
      </c>
      <c r="F11" s="458"/>
    </row>
    <row r="12" spans="2:6" x14ac:dyDescent="0.3">
      <c r="B12" s="853"/>
      <c r="C12" s="243"/>
      <c r="D12" s="243"/>
      <c r="E12" s="243"/>
      <c r="F12" s="454"/>
    </row>
    <row r="13" spans="2:6" x14ac:dyDescent="0.3">
      <c r="B13" s="853"/>
      <c r="C13" s="459">
        <f>C11*E11</f>
        <v>36255.373287671231</v>
      </c>
      <c r="D13" s="243"/>
      <c r="E13" s="243"/>
      <c r="F13" s="454"/>
    </row>
    <row r="14" spans="2:6" ht="15" thickBot="1" x14ac:dyDescent="0.35">
      <c r="B14" s="378"/>
      <c r="C14" s="448">
        <f>SUM(C11:C13)</f>
        <v>389966.33219178085</v>
      </c>
      <c r="D14" s="243"/>
      <c r="E14" s="243"/>
      <c r="F14" s="454"/>
    </row>
    <row r="15" spans="2:6" x14ac:dyDescent="0.3">
      <c r="B15" s="378"/>
      <c r="C15" s="243"/>
      <c r="D15" s="243"/>
      <c r="E15" s="243"/>
      <c r="F15" s="454"/>
    </row>
    <row r="16" spans="2:6" x14ac:dyDescent="0.3">
      <c r="B16" s="853">
        <v>2017</v>
      </c>
      <c r="C16" s="460">
        <f>C14</f>
        <v>389966.33219178085</v>
      </c>
      <c r="D16" s="243"/>
      <c r="E16" s="243"/>
      <c r="F16" s="454"/>
    </row>
    <row r="17" spans="2:6" x14ac:dyDescent="0.3">
      <c r="B17" s="853"/>
      <c r="C17" s="243"/>
      <c r="D17" s="455">
        <v>42736</v>
      </c>
      <c r="E17" s="243"/>
      <c r="F17" s="454"/>
    </row>
    <row r="18" spans="2:6" x14ac:dyDescent="0.3">
      <c r="B18" s="853"/>
      <c r="C18" s="243"/>
      <c r="D18" s="455">
        <v>43087</v>
      </c>
      <c r="E18" s="243"/>
      <c r="F18" s="454"/>
    </row>
    <row r="19" spans="2:6" x14ac:dyDescent="0.3">
      <c r="B19" s="853"/>
      <c r="C19" s="243"/>
      <c r="D19" s="456">
        <f>D18-D17</f>
        <v>351</v>
      </c>
      <c r="E19" s="461">
        <v>0.10249999999999999</v>
      </c>
      <c r="F19" s="458">
        <v>365</v>
      </c>
    </row>
    <row r="20" spans="2:6" ht="15" thickBot="1" x14ac:dyDescent="0.35">
      <c r="B20" s="378"/>
      <c r="C20" s="449">
        <f>C16*E19*D19/F19</f>
        <v>38438.393743643275</v>
      </c>
      <c r="D20" s="243"/>
      <c r="E20" s="243"/>
      <c r="F20" s="454"/>
    </row>
    <row r="21" spans="2:6" x14ac:dyDescent="0.3">
      <c r="B21" s="378"/>
      <c r="C21" s="243"/>
      <c r="D21" s="243"/>
      <c r="E21" s="243"/>
      <c r="F21" s="454"/>
    </row>
    <row r="22" spans="2:6" x14ac:dyDescent="0.3">
      <c r="B22" s="378"/>
      <c r="C22" s="456" t="s">
        <v>450</v>
      </c>
      <c r="D22" s="459">
        <f>C8+C13+C20</f>
        <v>78404.725935424096</v>
      </c>
      <c r="E22" s="243"/>
      <c r="F22" s="454"/>
    </row>
    <row r="23" spans="2:6" ht="15" thickBot="1" x14ac:dyDescent="0.35">
      <c r="B23" s="462"/>
      <c r="C23" s="463"/>
      <c r="D23" s="463"/>
      <c r="E23" s="463"/>
      <c r="F23" s="464"/>
    </row>
    <row r="24" spans="2:6" ht="15" thickBot="1" x14ac:dyDescent="0.35"/>
    <row r="25" spans="2:6" ht="15" thickBot="1" x14ac:dyDescent="0.35">
      <c r="B25" s="854" t="s">
        <v>452</v>
      </c>
      <c r="C25" s="855"/>
      <c r="D25" s="855"/>
      <c r="E25" s="855"/>
      <c r="F25" s="856"/>
    </row>
    <row r="26" spans="2:6" x14ac:dyDescent="0.3">
      <c r="B26" s="450"/>
      <c r="C26" s="451"/>
      <c r="D26" s="451"/>
      <c r="E26" s="451"/>
      <c r="F26" s="452"/>
    </row>
    <row r="27" spans="2:6" x14ac:dyDescent="0.3">
      <c r="B27" s="466">
        <v>5611332.6699999999</v>
      </c>
      <c r="C27" s="243"/>
      <c r="D27" s="243"/>
      <c r="E27" s="243"/>
      <c r="F27" s="454"/>
    </row>
    <row r="28" spans="2:6" x14ac:dyDescent="0.3">
      <c r="B28" s="466">
        <v>-285653.09999999998</v>
      </c>
      <c r="C28" s="243"/>
      <c r="D28" s="243"/>
      <c r="E28" s="243"/>
      <c r="F28" s="454"/>
    </row>
    <row r="29" spans="2:6" x14ac:dyDescent="0.3">
      <c r="B29" s="467">
        <f>SUM(B27:B28)</f>
        <v>5325679.57</v>
      </c>
      <c r="C29" s="243"/>
      <c r="D29" s="455">
        <v>42776</v>
      </c>
      <c r="E29" s="243"/>
      <c r="F29" s="454"/>
    </row>
    <row r="30" spans="2:6" x14ac:dyDescent="0.3">
      <c r="B30" s="378"/>
      <c r="C30" s="243"/>
      <c r="D30" s="455">
        <v>42930</v>
      </c>
      <c r="E30" s="243"/>
      <c r="F30" s="454"/>
    </row>
    <row r="31" spans="2:6" x14ac:dyDescent="0.3">
      <c r="B31" s="378"/>
      <c r="C31" s="243"/>
      <c r="D31" s="456">
        <f>D30-D29</f>
        <v>154</v>
      </c>
      <c r="E31" s="461">
        <v>0.1125</v>
      </c>
      <c r="F31" s="458">
        <v>365</v>
      </c>
    </row>
    <row r="32" spans="2:6" ht="15" thickBot="1" x14ac:dyDescent="0.35">
      <c r="B32" s="378"/>
      <c r="C32" s="449">
        <f>B29*E31*D31/F31</f>
        <v>252787.39328835619</v>
      </c>
      <c r="D32" s="243"/>
      <c r="E32" s="243"/>
      <c r="F32" s="454"/>
    </row>
    <row r="33" spans="2:6" ht="15" thickBot="1" x14ac:dyDescent="0.35">
      <c r="B33" s="462"/>
      <c r="C33" s="463"/>
      <c r="D33" s="463"/>
      <c r="E33" s="463"/>
      <c r="F33" s="464"/>
    </row>
  </sheetData>
  <mergeCells count="5">
    <mergeCell ref="B3:B8"/>
    <mergeCell ref="B11:B13"/>
    <mergeCell ref="B16:B19"/>
    <mergeCell ref="B2:F2"/>
    <mergeCell ref="B25:F25"/>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8"/>
  </sheetPr>
  <dimension ref="A1:Q104"/>
  <sheetViews>
    <sheetView topLeftCell="A85" zoomScale="80" zoomScaleNormal="80" workbookViewId="0">
      <selection activeCell="F98" sqref="F98"/>
    </sheetView>
  </sheetViews>
  <sheetFormatPr defaultColWidth="9.109375" defaultRowHeight="14.4" x14ac:dyDescent="0.3"/>
  <cols>
    <col min="1" max="1" width="23.109375" style="1" customWidth="1"/>
    <col min="2" max="2" width="20.88671875" style="1" customWidth="1"/>
    <col min="3" max="3" width="18.109375" style="1" customWidth="1"/>
    <col min="4" max="4" width="17.109375" style="1" customWidth="1"/>
    <col min="5" max="5" width="15.6640625" style="1" bestFit="1" customWidth="1"/>
    <col min="6" max="6" width="25.44140625" style="1" customWidth="1"/>
    <col min="7" max="7" width="13.109375" style="1" customWidth="1"/>
    <col min="8" max="8" width="26.5546875" style="1" customWidth="1"/>
    <col min="9" max="9" width="19.44140625" style="1" customWidth="1"/>
    <col min="10" max="10" width="25.33203125" style="1" customWidth="1"/>
    <col min="11" max="11" width="9.5546875" style="1" customWidth="1"/>
    <col min="12" max="12" width="15.44140625" style="1" customWidth="1"/>
    <col min="13" max="13" width="27.88671875" style="1" customWidth="1"/>
    <col min="14" max="14" width="14.88671875" style="1" customWidth="1"/>
    <col min="15" max="15" width="15.88671875" style="1" customWidth="1"/>
    <col min="16" max="16" width="10.5546875" style="1" bestFit="1" customWidth="1"/>
    <col min="17" max="16384" width="9.109375" style="1"/>
  </cols>
  <sheetData>
    <row r="1" spans="1:17" ht="15" thickBot="1" x14ac:dyDescent="0.35">
      <c r="A1" s="691"/>
      <c r="B1" s="692"/>
      <c r="C1" s="692"/>
      <c r="D1" s="692"/>
      <c r="E1" s="692"/>
      <c r="F1" s="692"/>
      <c r="G1" s="692"/>
      <c r="H1" s="692"/>
      <c r="I1" s="243"/>
      <c r="J1" s="243"/>
      <c r="K1" s="243"/>
      <c r="L1" s="243"/>
      <c r="M1" s="243"/>
    </row>
    <row r="2" spans="1:17" ht="21" x14ac:dyDescent="0.4">
      <c r="A2" s="693"/>
      <c r="B2" s="694"/>
      <c r="C2" s="694"/>
      <c r="D2" s="694"/>
      <c r="E2" s="472" t="s">
        <v>2</v>
      </c>
      <c r="F2" s="695" t="s">
        <v>472</v>
      </c>
      <c r="G2" s="695"/>
      <c r="H2" s="473"/>
      <c r="I2" s="451"/>
      <c r="J2" s="451"/>
      <c r="K2" s="451"/>
      <c r="L2" s="451"/>
      <c r="M2" s="451"/>
      <c r="N2" s="451"/>
      <c r="O2" s="451"/>
      <c r="P2" s="451"/>
      <c r="Q2" s="452"/>
    </row>
    <row r="3" spans="1:17" x14ac:dyDescent="0.3">
      <c r="A3" s="691"/>
      <c r="B3" s="692"/>
      <c r="C3" s="692"/>
      <c r="D3" s="692"/>
      <c r="E3" s="476" t="s">
        <v>3</v>
      </c>
      <c r="F3" s="477" t="s">
        <v>473</v>
      </c>
      <c r="G3" s="477"/>
      <c r="H3" s="478"/>
      <c r="I3" s="243"/>
      <c r="J3" s="243"/>
      <c r="K3" s="243"/>
      <c r="L3" s="243"/>
      <c r="M3" s="243"/>
      <c r="N3" s="243"/>
      <c r="O3" s="243"/>
      <c r="P3" s="243"/>
      <c r="Q3" s="454"/>
    </row>
    <row r="4" spans="1:17" x14ac:dyDescent="0.3">
      <c r="A4" s="691"/>
      <c r="B4" s="692"/>
      <c r="C4" s="692"/>
      <c r="D4" s="692"/>
      <c r="E4" s="476" t="s">
        <v>4</v>
      </c>
      <c r="F4" s="480" t="s">
        <v>707</v>
      </c>
      <c r="G4" s="480"/>
      <c r="H4" s="481"/>
      <c r="I4" s="243"/>
      <c r="J4" s="243"/>
      <c r="K4" s="243"/>
      <c r="L4" s="243"/>
      <c r="M4" s="243"/>
      <c r="N4" s="243"/>
      <c r="O4" s="243"/>
      <c r="P4" s="243"/>
      <c r="Q4" s="454"/>
    </row>
    <row r="5" spans="1:17" x14ac:dyDescent="0.3">
      <c r="A5" s="691"/>
      <c r="B5" s="692"/>
      <c r="C5" s="692"/>
      <c r="D5" s="692"/>
      <c r="E5" s="476" t="s">
        <v>5</v>
      </c>
      <c r="F5" s="477"/>
      <c r="G5" s="477"/>
      <c r="H5" s="478"/>
      <c r="I5" s="243"/>
      <c r="J5" s="243"/>
      <c r="K5" s="243"/>
      <c r="L5" s="243"/>
      <c r="M5" s="243"/>
      <c r="N5" s="243"/>
      <c r="O5" s="243"/>
      <c r="P5" s="243"/>
      <c r="Q5" s="454"/>
    </row>
    <row r="6" spans="1:17" x14ac:dyDescent="0.3">
      <c r="A6" s="691"/>
      <c r="B6" s="692"/>
      <c r="C6" s="692"/>
      <c r="D6" s="692"/>
      <c r="E6" s="476" t="s">
        <v>4</v>
      </c>
      <c r="F6" s="482"/>
      <c r="G6" s="482"/>
      <c r="H6" s="483"/>
      <c r="I6" s="243"/>
      <c r="J6" s="243"/>
      <c r="K6" s="243"/>
      <c r="L6" s="243"/>
      <c r="M6" s="243"/>
      <c r="N6" s="243"/>
      <c r="O6" s="243"/>
      <c r="P6" s="243"/>
      <c r="Q6" s="454"/>
    </row>
    <row r="7" spans="1:17" x14ac:dyDescent="0.3">
      <c r="A7" s="691"/>
      <c r="B7" s="692"/>
      <c r="C7" s="692"/>
      <c r="D7" s="692"/>
      <c r="E7" s="476"/>
      <c r="F7" s="483"/>
      <c r="G7" s="483"/>
      <c r="H7" s="483"/>
      <c r="I7" s="243"/>
      <c r="J7" s="243"/>
      <c r="K7" s="243"/>
      <c r="L7" s="243"/>
      <c r="M7" s="243"/>
      <c r="N7" s="243"/>
      <c r="O7" s="243"/>
      <c r="P7" s="243"/>
      <c r="Q7" s="454"/>
    </row>
    <row r="8" spans="1:17" x14ac:dyDescent="0.3">
      <c r="A8" s="691" t="s">
        <v>476</v>
      </c>
      <c r="B8" s="696" t="s">
        <v>477</v>
      </c>
      <c r="C8" s="696"/>
      <c r="D8" s="696"/>
      <c r="E8" s="696"/>
      <c r="F8" s="696"/>
      <c r="G8" s="696"/>
      <c r="H8" s="696"/>
      <c r="I8" s="243"/>
      <c r="J8" s="243"/>
      <c r="K8" s="243"/>
      <c r="L8" s="243"/>
      <c r="M8" s="243"/>
      <c r="N8" s="243"/>
      <c r="O8" s="243"/>
      <c r="P8" s="243"/>
      <c r="Q8" s="454"/>
    </row>
    <row r="9" spans="1:17" x14ac:dyDescent="0.3">
      <c r="A9" s="691" t="s">
        <v>6</v>
      </c>
      <c r="B9" s="485" t="s">
        <v>708</v>
      </c>
      <c r="C9" s="486"/>
      <c r="D9" s="486"/>
      <c r="E9" s="486"/>
      <c r="F9" s="486"/>
      <c r="G9" s="486"/>
      <c r="H9" s="486"/>
      <c r="I9" s="243"/>
      <c r="J9" s="243"/>
      <c r="K9" s="243"/>
      <c r="L9" s="243"/>
      <c r="M9" s="243"/>
      <c r="N9" s="243"/>
      <c r="O9" s="243"/>
      <c r="P9" s="243"/>
      <c r="Q9" s="454"/>
    </row>
    <row r="10" spans="1:17" x14ac:dyDescent="0.3">
      <c r="A10" s="691" t="s">
        <v>7</v>
      </c>
      <c r="B10" s="697" t="s">
        <v>709</v>
      </c>
      <c r="C10" s="697"/>
      <c r="D10" s="697"/>
      <c r="E10" s="697"/>
      <c r="F10" s="697"/>
      <c r="G10" s="697"/>
      <c r="H10" s="697"/>
      <c r="I10" s="243"/>
      <c r="J10" s="243"/>
      <c r="K10" s="243"/>
      <c r="L10" s="243"/>
      <c r="M10" s="243"/>
      <c r="N10" s="243"/>
      <c r="O10" s="243"/>
      <c r="P10" s="243"/>
      <c r="Q10" s="454"/>
    </row>
    <row r="11" spans="1:17" ht="15" thickBot="1" x14ac:dyDescent="0.35">
      <c r="A11" s="698"/>
      <c r="B11" s="489"/>
      <c r="C11" s="489"/>
      <c r="D11" s="489"/>
      <c r="E11" s="489"/>
      <c r="F11" s="489"/>
      <c r="G11" s="489"/>
      <c r="H11" s="489"/>
      <c r="I11" s="463"/>
      <c r="J11" s="463"/>
      <c r="K11" s="463"/>
      <c r="L11" s="463"/>
      <c r="M11" s="463"/>
      <c r="N11" s="463"/>
      <c r="O11" s="463"/>
      <c r="P11" s="463"/>
      <c r="Q11" s="464"/>
    </row>
    <row r="12" spans="1:17" x14ac:dyDescent="0.3">
      <c r="A12" s="693"/>
      <c r="B12" s="492"/>
      <c r="C12" s="492"/>
      <c r="D12" s="492"/>
      <c r="E12" s="492"/>
      <c r="F12" s="492"/>
      <c r="G12" s="492"/>
      <c r="H12" s="492"/>
      <c r="I12" s="451"/>
      <c r="J12" s="451"/>
      <c r="K12" s="451"/>
      <c r="L12" s="451"/>
      <c r="M12" s="451"/>
      <c r="N12" s="451"/>
      <c r="O12" s="451"/>
      <c r="P12" s="451"/>
      <c r="Q12" s="452"/>
    </row>
    <row r="13" spans="1:17" x14ac:dyDescent="0.3">
      <c r="A13" s="691" t="s">
        <v>480</v>
      </c>
      <c r="B13" s="697"/>
      <c r="C13" s="697"/>
      <c r="D13" s="697"/>
      <c r="E13" s="697"/>
      <c r="F13" s="697"/>
      <c r="G13" s="697"/>
      <c r="H13" s="697"/>
      <c r="I13" s="243"/>
      <c r="J13" s="243"/>
      <c r="K13" s="243"/>
      <c r="L13" s="243"/>
      <c r="M13" s="243"/>
      <c r="N13" s="243"/>
      <c r="O13" s="243"/>
      <c r="P13" s="243"/>
      <c r="Q13" s="454"/>
    </row>
    <row r="14" spans="1:17" x14ac:dyDescent="0.3">
      <c r="A14" s="699"/>
      <c r="B14" s="697"/>
      <c r="C14" s="697"/>
      <c r="D14" s="697"/>
      <c r="E14" s="697"/>
      <c r="F14" s="697"/>
      <c r="G14" s="697"/>
      <c r="H14" s="697"/>
      <c r="I14" s="243"/>
      <c r="J14" s="243"/>
      <c r="K14" s="243"/>
      <c r="L14" s="243"/>
      <c r="M14" s="243"/>
      <c r="N14" s="243"/>
      <c r="O14" s="243"/>
      <c r="P14" s="243"/>
      <c r="Q14" s="454"/>
    </row>
    <row r="15" spans="1:17" x14ac:dyDescent="0.3">
      <c r="A15" s="699" t="s">
        <v>710</v>
      </c>
      <c r="B15" s="697"/>
      <c r="C15" s="697"/>
      <c r="D15" s="697"/>
      <c r="E15" s="697"/>
      <c r="F15" s="697"/>
      <c r="G15" s="697"/>
      <c r="H15" s="700"/>
      <c r="I15" s="243"/>
      <c r="J15" s="243"/>
      <c r="K15" s="243"/>
      <c r="L15" s="243"/>
      <c r="M15" s="243"/>
      <c r="N15" s="243"/>
      <c r="O15" s="243"/>
      <c r="P15" s="243"/>
      <c r="Q15" s="454"/>
    </row>
    <row r="16" spans="1:17" ht="15" thickBot="1" x14ac:dyDescent="0.35">
      <c r="A16" s="699" t="s">
        <v>482</v>
      </c>
      <c r="B16" s="697"/>
      <c r="C16" s="697"/>
      <c r="D16" s="697"/>
      <c r="E16" s="697"/>
      <c r="F16" s="697"/>
      <c r="G16" s="697"/>
      <c r="H16" s="697"/>
      <c r="I16" s="243"/>
      <c r="J16" s="243"/>
      <c r="K16" s="243"/>
      <c r="L16" s="243"/>
      <c r="M16" s="243"/>
      <c r="N16" s="243"/>
      <c r="O16" s="243"/>
      <c r="P16" s="243"/>
      <c r="Q16" s="454"/>
    </row>
    <row r="17" spans="1:17" ht="15" thickBot="1" x14ac:dyDescent="0.35">
      <c r="A17" s="691"/>
      <c r="B17" s="697"/>
      <c r="C17" s="697"/>
      <c r="D17" s="697"/>
      <c r="E17" s="697"/>
      <c r="F17" s="697"/>
      <c r="G17" s="697"/>
      <c r="H17" s="697"/>
      <c r="I17" s="701"/>
      <c r="J17" s="243"/>
      <c r="K17" s="243"/>
      <c r="L17" s="701"/>
      <c r="M17" s="854" t="s">
        <v>483</v>
      </c>
      <c r="N17" s="856"/>
      <c r="O17" s="243"/>
      <c r="P17" s="243"/>
      <c r="Q17" s="454"/>
    </row>
    <row r="18" spans="1:17" ht="33" customHeight="1" x14ac:dyDescent="0.3">
      <c r="A18" s="702"/>
      <c r="B18" s="857" t="s">
        <v>711</v>
      </c>
      <c r="C18" s="859" t="s">
        <v>485</v>
      </c>
      <c r="D18" s="860"/>
      <c r="E18" s="861"/>
      <c r="F18" s="862" t="s">
        <v>486</v>
      </c>
      <c r="G18" s="864" t="s">
        <v>712</v>
      </c>
      <c r="H18" s="703"/>
      <c r="I18" s="866" t="s">
        <v>489</v>
      </c>
      <c r="J18" s="868" t="s">
        <v>486</v>
      </c>
      <c r="K18" s="864" t="s">
        <v>712</v>
      </c>
      <c r="L18" s="869" t="s">
        <v>490</v>
      </c>
      <c r="M18" s="870" t="s">
        <v>713</v>
      </c>
      <c r="N18" s="872" t="s">
        <v>489</v>
      </c>
      <c r="O18" s="868" t="s">
        <v>486</v>
      </c>
      <c r="P18" s="243"/>
      <c r="Q18" s="454"/>
    </row>
    <row r="19" spans="1:17" ht="45" customHeight="1" x14ac:dyDescent="0.3">
      <c r="A19" s="702"/>
      <c r="B19" s="858"/>
      <c r="C19" s="704" t="s">
        <v>492</v>
      </c>
      <c r="D19" s="704" t="s">
        <v>714</v>
      </c>
      <c r="E19" s="704" t="s">
        <v>715</v>
      </c>
      <c r="F19" s="863"/>
      <c r="G19" s="865"/>
      <c r="H19" s="705" t="s">
        <v>716</v>
      </c>
      <c r="I19" s="867"/>
      <c r="J19" s="868"/>
      <c r="K19" s="865"/>
      <c r="L19" s="869"/>
      <c r="M19" s="871"/>
      <c r="N19" s="867"/>
      <c r="O19" s="868"/>
      <c r="P19" s="243"/>
      <c r="Q19" s="454"/>
    </row>
    <row r="20" spans="1:17" x14ac:dyDescent="0.3">
      <c r="A20" s="702" t="s">
        <v>717</v>
      </c>
      <c r="B20" s="706">
        <v>1108816.634408602</v>
      </c>
      <c r="C20" s="429">
        <v>1093954.6699999997</v>
      </c>
      <c r="D20" s="429">
        <v>0</v>
      </c>
      <c r="E20" s="429">
        <f>SUM(C20:D20)</f>
        <v>1093954.6699999997</v>
      </c>
      <c r="F20" s="707">
        <f>B20-E20</f>
        <v>14861.964408602333</v>
      </c>
      <c r="G20" s="708"/>
      <c r="H20" s="706">
        <v>39625.806451612902</v>
      </c>
      <c r="I20" s="709">
        <v>39236.199999999997</v>
      </c>
      <c r="J20" s="710">
        <f>H20-I20</f>
        <v>389.60645161290449</v>
      </c>
      <c r="K20" s="708"/>
      <c r="L20" s="711">
        <f t="shared" ref="L20:L30" si="0">E20+I20</f>
        <v>1133190.8699999996</v>
      </c>
      <c r="M20" s="706">
        <v>18368.950268817203</v>
      </c>
      <c r="N20" s="709">
        <v>14060.64</v>
      </c>
      <c r="O20" s="710">
        <f>M20-N20</f>
        <v>4308.3102688172039</v>
      </c>
      <c r="P20" s="708"/>
      <c r="Q20" s="454"/>
    </row>
    <row r="21" spans="1:17" x14ac:dyDescent="0.3">
      <c r="A21" s="702" t="s">
        <v>718</v>
      </c>
      <c r="B21" s="706">
        <v>133592.36559139786</v>
      </c>
      <c r="C21" s="429">
        <v>121793.78677419355</v>
      </c>
      <c r="D21" s="429">
        <v>11798.574516129032</v>
      </c>
      <c r="E21" s="429">
        <f t="shared" ref="E21:E30" si="1">SUM(C21:D21)</f>
        <v>133592.36129032259</v>
      </c>
      <c r="F21" s="707">
        <f>B21-E21</f>
        <v>4.3010752706322819E-3</v>
      </c>
      <c r="G21" s="708"/>
      <c r="H21" s="706">
        <v>4774.1935483870966</v>
      </c>
      <c r="I21" s="709">
        <v>4883.8709677419356</v>
      </c>
      <c r="J21" s="712">
        <f t="shared" ref="J21:J30" si="2">H21-I21</f>
        <v>-109.677419354839</v>
      </c>
      <c r="K21" s="713"/>
      <c r="L21" s="711">
        <f t="shared" si="0"/>
        <v>138476.23225806453</v>
      </c>
      <c r="M21" s="706">
        <v>33398.091397849465</v>
      </c>
      <c r="N21" s="709">
        <v>33398.090322580647</v>
      </c>
      <c r="O21" s="710">
        <f t="shared" ref="O21:O30" si="3">M21-N21</f>
        <v>1.0752688176580705E-3</v>
      </c>
      <c r="P21" s="708"/>
      <c r="Q21" s="454"/>
    </row>
    <row r="22" spans="1:17" x14ac:dyDescent="0.3">
      <c r="A22" s="702" t="s">
        <v>499</v>
      </c>
      <c r="B22" s="706">
        <v>895501.27956989245</v>
      </c>
      <c r="C22" s="429">
        <f>906166.64-D22</f>
        <v>804566.68</v>
      </c>
      <c r="D22" s="429">
        <v>101599.95999999999</v>
      </c>
      <c r="E22" s="429">
        <f t="shared" si="1"/>
        <v>906166.64</v>
      </c>
      <c r="F22" s="714">
        <f>B22-E22</f>
        <v>-10665.360430107568</v>
      </c>
      <c r="G22" s="713" t="s">
        <v>719</v>
      </c>
      <c r="H22" s="706">
        <v>39625.806451612902</v>
      </c>
      <c r="I22" s="709">
        <v>40039.89</v>
      </c>
      <c r="J22" s="712">
        <f t="shared" si="2"/>
        <v>-414.08354838709784</v>
      </c>
      <c r="K22" s="713" t="s">
        <v>720</v>
      </c>
      <c r="L22" s="711">
        <f t="shared" si="0"/>
        <v>946206.53</v>
      </c>
      <c r="M22" s="706">
        <v>223875.31989247311</v>
      </c>
      <c r="N22" s="709">
        <v>226541.63999999996</v>
      </c>
      <c r="O22" s="712">
        <f t="shared" si="3"/>
        <v>-2666.3201075268444</v>
      </c>
      <c r="P22" s="713" t="s">
        <v>719</v>
      </c>
      <c r="Q22" s="454"/>
    </row>
    <row r="23" spans="1:17" x14ac:dyDescent="0.3">
      <c r="A23" s="702" t="s">
        <v>500</v>
      </c>
      <c r="B23" s="706">
        <v>1003393</v>
      </c>
      <c r="C23" s="429">
        <f>974019.89</f>
        <v>974019.89</v>
      </c>
      <c r="D23" s="429">
        <v>17280</v>
      </c>
      <c r="E23" s="429">
        <f t="shared" si="1"/>
        <v>991299.89</v>
      </c>
      <c r="F23" s="707">
        <f t="shared" ref="F23:F30" si="4">B23-E23</f>
        <v>12093.109999999986</v>
      </c>
      <c r="G23" s="713"/>
      <c r="H23" s="706">
        <v>44400</v>
      </c>
      <c r="I23" s="709">
        <v>43949.42</v>
      </c>
      <c r="J23" s="710">
        <f t="shared" si="2"/>
        <v>450.58000000000175</v>
      </c>
      <c r="K23" s="713"/>
      <c r="L23" s="711">
        <f t="shared" si="0"/>
        <v>1035249.31</v>
      </c>
      <c r="M23" s="706">
        <v>146328.14583333331</v>
      </c>
      <c r="N23" s="709">
        <v>146328.14000000001</v>
      </c>
      <c r="O23" s="710">
        <f t="shared" si="3"/>
        <v>5.8333332999609411E-3</v>
      </c>
      <c r="P23" s="708"/>
      <c r="Q23" s="454"/>
    </row>
    <row r="24" spans="1:17" x14ac:dyDescent="0.3">
      <c r="A24" s="702" t="s">
        <v>502</v>
      </c>
      <c r="B24" s="706">
        <v>940680</v>
      </c>
      <c r="C24" s="429">
        <v>851051.08000000031</v>
      </c>
      <c r="D24" s="429">
        <v>87950.12</v>
      </c>
      <c r="E24" s="429">
        <f t="shared" si="1"/>
        <v>939001.2000000003</v>
      </c>
      <c r="F24" s="707">
        <f t="shared" si="4"/>
        <v>1678.7999999996973</v>
      </c>
      <c r="G24" s="713"/>
      <c r="H24" s="706">
        <v>26400</v>
      </c>
      <c r="I24" s="709">
        <v>26400</v>
      </c>
      <c r="J24" s="710">
        <f t="shared" si="2"/>
        <v>0</v>
      </c>
      <c r="K24" s="713"/>
      <c r="L24" s="711">
        <f t="shared" si="0"/>
        <v>965401.2000000003</v>
      </c>
      <c r="M24" s="706">
        <v>235170</v>
      </c>
      <c r="N24" s="709">
        <v>232483.89</v>
      </c>
      <c r="O24" s="710">
        <f t="shared" si="3"/>
        <v>2686.109999999986</v>
      </c>
      <c r="P24" s="708"/>
      <c r="Q24" s="454"/>
    </row>
    <row r="25" spans="1:17" ht="28.8" x14ac:dyDescent="0.3">
      <c r="A25" s="715" t="s">
        <v>721</v>
      </c>
      <c r="B25" s="706">
        <v>7477394.5161290336</v>
      </c>
      <c r="C25" s="429">
        <f>7307675.58-D25</f>
        <v>6992250.7199999997</v>
      </c>
      <c r="D25" s="429">
        <v>315424.86</v>
      </c>
      <c r="E25" s="429">
        <f t="shared" si="1"/>
        <v>7307675.5800000001</v>
      </c>
      <c r="F25" s="707">
        <f t="shared" si="4"/>
        <v>169718.93612903357</v>
      </c>
      <c r="G25" s="713"/>
      <c r="H25" s="706">
        <v>210490.32258064512</v>
      </c>
      <c r="I25" s="709">
        <v>210646.76999999996</v>
      </c>
      <c r="J25" s="712">
        <f t="shared" si="2"/>
        <v>-156.44741935483762</v>
      </c>
      <c r="K25" s="713"/>
      <c r="L25" s="711">
        <f t="shared" si="0"/>
        <v>7518322.3499999996</v>
      </c>
      <c r="M25" s="706">
        <v>1869348.6290322584</v>
      </c>
      <c r="N25" s="709">
        <v>1809027.8799999994</v>
      </c>
      <c r="O25" s="710">
        <f t="shared" si="3"/>
        <v>60320.749032258987</v>
      </c>
      <c r="P25" s="713"/>
      <c r="Q25" s="454"/>
    </row>
    <row r="26" spans="1:17" ht="28.8" x14ac:dyDescent="0.3">
      <c r="A26" s="715" t="s">
        <v>722</v>
      </c>
      <c r="B26" s="706">
        <v>740911.94</v>
      </c>
      <c r="C26" s="429">
        <f>740911.95-D26</f>
        <v>657492.62999999989</v>
      </c>
      <c r="D26" s="429">
        <v>83419.320000000007</v>
      </c>
      <c r="E26" s="429">
        <f t="shared" si="1"/>
        <v>740911.95</v>
      </c>
      <c r="F26" s="714">
        <f t="shared" si="4"/>
        <v>-1.0000000009313226E-2</v>
      </c>
      <c r="G26" s="713" t="s">
        <v>723</v>
      </c>
      <c r="H26" s="706">
        <v>20793.55</v>
      </c>
      <c r="I26" s="709">
        <v>19271.850000000002</v>
      </c>
      <c r="J26" s="710">
        <f t="shared" si="2"/>
        <v>1521.6999999999971</v>
      </c>
      <c r="K26" s="713"/>
      <c r="L26" s="711">
        <f t="shared" si="0"/>
        <v>760183.79999999993</v>
      </c>
      <c r="M26" s="706">
        <v>185227.98</v>
      </c>
      <c r="N26" s="709">
        <v>185228</v>
      </c>
      <c r="O26" s="712">
        <f t="shared" si="3"/>
        <v>-1.9999999989522621E-2</v>
      </c>
      <c r="P26" s="713" t="s">
        <v>723</v>
      </c>
      <c r="Q26" s="454"/>
    </row>
    <row r="27" spans="1:17" ht="29.25" customHeight="1" x14ac:dyDescent="0.3">
      <c r="A27" s="715" t="s">
        <v>724</v>
      </c>
      <c r="B27" s="706">
        <v>4074523.5483870972</v>
      </c>
      <c r="C27" s="429">
        <f>3844862.7-D27</f>
        <v>3597379.7800000003</v>
      </c>
      <c r="D27" s="429">
        <v>247482.92</v>
      </c>
      <c r="E27" s="429">
        <f t="shared" si="1"/>
        <v>3844862.7</v>
      </c>
      <c r="F27" s="707">
        <f t="shared" si="4"/>
        <v>229660.84838709701</v>
      </c>
      <c r="G27" s="713"/>
      <c r="H27" s="706">
        <v>117806.45161290321</v>
      </c>
      <c r="I27" s="709">
        <v>119399.09</v>
      </c>
      <c r="J27" s="712">
        <f t="shared" si="2"/>
        <v>-1592.6383870967838</v>
      </c>
      <c r="K27" s="713" t="s">
        <v>720</v>
      </c>
      <c r="L27" s="711">
        <f t="shared" si="0"/>
        <v>3964261.79</v>
      </c>
      <c r="M27" s="706">
        <v>1018630.8870967743</v>
      </c>
      <c r="N27" s="709">
        <v>961213.91</v>
      </c>
      <c r="O27" s="710">
        <f>M27-N27</f>
        <v>57416.977096774266</v>
      </c>
      <c r="P27" s="708"/>
      <c r="Q27" s="454"/>
    </row>
    <row r="28" spans="1:17" ht="29.25" customHeight="1" x14ac:dyDescent="0.3">
      <c r="A28" s="715" t="s">
        <v>725</v>
      </c>
      <c r="B28" s="706">
        <v>304362</v>
      </c>
      <c r="C28" s="429">
        <f>217933.06-D28</f>
        <v>204627.43</v>
      </c>
      <c r="D28" s="429">
        <v>13305.630000000001</v>
      </c>
      <c r="E28" s="429">
        <f t="shared" si="1"/>
        <v>217933.06</v>
      </c>
      <c r="F28" s="707">
        <f t="shared" si="4"/>
        <v>86428.94</v>
      </c>
      <c r="G28" s="713"/>
      <c r="H28" s="706">
        <v>11354.83870967742</v>
      </c>
      <c r="I28" s="709">
        <v>9339.94</v>
      </c>
      <c r="J28" s="710">
        <f t="shared" si="2"/>
        <v>2014.8987096774199</v>
      </c>
      <c r="K28" s="713"/>
      <c r="L28" s="711">
        <f t="shared" si="0"/>
        <v>227273</v>
      </c>
      <c r="M28" s="706">
        <v>76090.5</v>
      </c>
      <c r="N28" s="709">
        <v>54483.270000000004</v>
      </c>
      <c r="O28" s="710">
        <f t="shared" si="3"/>
        <v>21607.229999999996</v>
      </c>
      <c r="P28" s="708"/>
      <c r="Q28" s="454"/>
    </row>
    <row r="29" spans="1:17" ht="29.25" customHeight="1" x14ac:dyDescent="0.3">
      <c r="A29" s="702" t="s">
        <v>726</v>
      </c>
      <c r="B29" s="706">
        <v>32996004.98</v>
      </c>
      <c r="C29" s="429">
        <f>33191884.22-D29</f>
        <v>32104194.029999997</v>
      </c>
      <c r="D29" s="716">
        <v>1087690.19</v>
      </c>
      <c r="E29" s="429">
        <f t="shared" si="1"/>
        <v>33191884.219999999</v>
      </c>
      <c r="F29" s="714">
        <f t="shared" si="4"/>
        <v>-195879.23999999836</v>
      </c>
      <c r="G29" s="713" t="s">
        <v>727</v>
      </c>
      <c r="H29" s="706">
        <v>1993270.97</v>
      </c>
      <c r="I29" s="709">
        <v>2002689.8600000017</v>
      </c>
      <c r="J29" s="712">
        <f t="shared" si="2"/>
        <v>-9418.8900000017602</v>
      </c>
      <c r="K29" s="713" t="s">
        <v>720</v>
      </c>
      <c r="L29" s="711">
        <f t="shared" si="0"/>
        <v>35194574.079999998</v>
      </c>
      <c r="M29" s="706">
        <v>7754844.1799999997</v>
      </c>
      <c r="N29" s="709">
        <v>7530902.2699999977</v>
      </c>
      <c r="O29" s="710">
        <f t="shared" si="3"/>
        <v>223941.91000000201</v>
      </c>
      <c r="P29" s="717"/>
      <c r="Q29" s="454"/>
    </row>
    <row r="30" spans="1:17" x14ac:dyDescent="0.3">
      <c r="A30" s="702" t="s">
        <v>728</v>
      </c>
      <c r="B30" s="706">
        <f>2678251.16</f>
        <v>2678251.16</v>
      </c>
      <c r="C30" s="707">
        <f>2561397.16-D30</f>
        <v>2353553.42</v>
      </c>
      <c r="D30" s="716">
        <v>207843.74</v>
      </c>
      <c r="E30" s="429">
        <f t="shared" si="1"/>
        <v>2561397.16</v>
      </c>
      <c r="F30" s="707">
        <f t="shared" si="4"/>
        <v>116854</v>
      </c>
      <c r="G30" s="708"/>
      <c r="H30" s="706">
        <v>156980.65</v>
      </c>
      <c r="I30" s="709">
        <v>144473.12225806457</v>
      </c>
      <c r="J30" s="710">
        <f t="shared" si="2"/>
        <v>12507.527741935424</v>
      </c>
      <c r="K30" s="708"/>
      <c r="L30" s="711">
        <f t="shared" si="0"/>
        <v>2705870.2822580645</v>
      </c>
      <c r="M30" s="706">
        <v>681893.6</v>
      </c>
      <c r="N30" s="709">
        <v>645896.34516129026</v>
      </c>
      <c r="O30" s="710">
        <f t="shared" si="3"/>
        <v>35997.254838709719</v>
      </c>
      <c r="P30" s="717"/>
      <c r="Q30" s="454"/>
    </row>
    <row r="31" spans="1:17" ht="15" thickBot="1" x14ac:dyDescent="0.35">
      <c r="A31" s="378"/>
      <c r="B31" s="460"/>
      <c r="C31" s="718">
        <f>SUM(C20:C30)</f>
        <v>49754884.116774194</v>
      </c>
      <c r="D31" s="718">
        <f>SUM(D20:D30)</f>
        <v>2173795.314516129</v>
      </c>
      <c r="E31" s="718">
        <f>SUM(E20:E30)</f>
        <v>51928679.431290329</v>
      </c>
      <c r="F31" s="718">
        <f>SUM(F20:F30)</f>
        <v>424751.9927957019</v>
      </c>
      <c r="G31" s="460"/>
      <c r="H31" s="243"/>
      <c r="I31" s="718">
        <f>SUM(I20:I30)</f>
        <v>2660330.0132258078</v>
      </c>
      <c r="J31" s="719">
        <f>SUM(J20:J30)</f>
        <v>5192.576129030429</v>
      </c>
      <c r="K31" s="460">
        <v>0</v>
      </c>
      <c r="L31" s="718">
        <f>SUM(L20:L30)</f>
        <v>54589009.444516122</v>
      </c>
      <c r="M31" s="460"/>
      <c r="N31" s="718">
        <f>SUM(N20:N30)</f>
        <v>11839564.075483868</v>
      </c>
      <c r="O31" s="718">
        <f>SUM(O20:O30)</f>
        <v>403612.20803763747</v>
      </c>
      <c r="P31" s="243"/>
      <c r="Q31" s="454"/>
    </row>
    <row r="32" spans="1:17" ht="15" thickTop="1" x14ac:dyDescent="0.3">
      <c r="A32" s="720"/>
      <c r="B32" s="460"/>
      <c r="C32" s="460"/>
      <c r="D32" s="460"/>
      <c r="E32" s="460"/>
      <c r="F32" s="460"/>
      <c r="G32" s="460"/>
      <c r="I32" s="721"/>
      <c r="J32" s="722"/>
      <c r="K32" s="460"/>
      <c r="L32" s="460"/>
      <c r="M32" s="460"/>
      <c r="N32" s="460"/>
      <c r="O32" s="460"/>
      <c r="P32" s="243"/>
      <c r="Q32" s="454"/>
    </row>
    <row r="33" spans="1:17" ht="15" thickBot="1" x14ac:dyDescent="0.35">
      <c r="A33" s="462"/>
      <c r="B33" s="463"/>
      <c r="C33" s="463"/>
      <c r="D33" s="463"/>
      <c r="E33" s="463"/>
      <c r="F33" s="463"/>
      <c r="G33" s="463"/>
      <c r="H33" s="463"/>
      <c r="I33" s="463"/>
      <c r="J33" s="463"/>
      <c r="K33" s="463"/>
      <c r="L33" s="463"/>
      <c r="M33" s="463"/>
      <c r="N33" s="463"/>
      <c r="O33" s="463"/>
      <c r="P33" s="463"/>
      <c r="Q33" s="464"/>
    </row>
    <row r="34" spans="1:17" x14ac:dyDescent="0.3">
      <c r="A34" s="450"/>
      <c r="B34" s="451"/>
      <c r="C34" s="451"/>
      <c r="D34" s="451"/>
      <c r="E34" s="451"/>
      <c r="F34" s="451"/>
      <c r="G34" s="451"/>
      <c r="H34" s="452"/>
      <c r="I34" s="243"/>
      <c r="J34" s="243"/>
      <c r="K34" s="243"/>
      <c r="L34" s="243"/>
      <c r="M34" s="243"/>
      <c r="N34" s="243"/>
      <c r="O34" s="243"/>
      <c r="P34" s="243"/>
      <c r="Q34" s="243"/>
    </row>
    <row r="35" spans="1:17" x14ac:dyDescent="0.3">
      <c r="A35" s="873" t="s">
        <v>510</v>
      </c>
      <c r="B35" s="874"/>
      <c r="C35" s="874"/>
      <c r="D35" s="874"/>
      <c r="E35" s="874"/>
      <c r="F35" s="874"/>
      <c r="G35" s="874"/>
      <c r="H35" s="875"/>
      <c r="I35" s="243"/>
      <c r="J35" s="243"/>
      <c r="K35" s="243"/>
      <c r="L35" s="243"/>
      <c r="M35" s="243"/>
      <c r="N35" s="243"/>
      <c r="O35" s="243"/>
      <c r="P35" s="243"/>
      <c r="Q35" s="243"/>
    </row>
    <row r="36" spans="1:17" x14ac:dyDescent="0.3">
      <c r="A36" s="378"/>
      <c r="B36" s="243"/>
      <c r="C36" s="243"/>
      <c r="D36" s="243"/>
      <c r="E36" s="243"/>
      <c r="F36" s="243"/>
      <c r="G36" s="243"/>
      <c r="H36" s="723"/>
      <c r="I36" s="243"/>
      <c r="J36" s="243"/>
      <c r="K36" s="243"/>
      <c r="L36" s="243"/>
      <c r="M36" s="243"/>
      <c r="N36" s="243"/>
      <c r="O36" s="243"/>
    </row>
    <row r="37" spans="1:17" ht="73.5" customHeight="1" x14ac:dyDescent="0.3">
      <c r="A37" s="724" t="s">
        <v>729</v>
      </c>
      <c r="B37" s="725" t="s">
        <v>512</v>
      </c>
      <c r="C37" s="725" t="s">
        <v>730</v>
      </c>
      <c r="D37" s="726" t="s">
        <v>731</v>
      </c>
      <c r="E37" s="725" t="s">
        <v>732</v>
      </c>
      <c r="F37" s="876" t="s">
        <v>516</v>
      </c>
      <c r="G37" s="877"/>
      <c r="H37" s="878"/>
      <c r="L37" s="243"/>
      <c r="M37" s="243"/>
      <c r="N37" s="243"/>
      <c r="O37" s="243"/>
    </row>
    <row r="38" spans="1:17" ht="45.75" customHeight="1" x14ac:dyDescent="0.3">
      <c r="A38" s="724"/>
      <c r="B38" s="727" t="s">
        <v>733</v>
      </c>
      <c r="C38" s="727" t="s">
        <v>733</v>
      </c>
      <c r="D38" s="727" t="s">
        <v>733</v>
      </c>
      <c r="E38" s="727" t="s">
        <v>733</v>
      </c>
      <c r="F38" s="728" t="s">
        <v>734</v>
      </c>
      <c r="G38" s="728" t="s">
        <v>518</v>
      </c>
      <c r="H38" s="729" t="s">
        <v>519</v>
      </c>
      <c r="L38" s="243"/>
      <c r="M38" s="243"/>
      <c r="N38" s="243"/>
      <c r="O38" s="243"/>
    </row>
    <row r="39" spans="1:17" x14ac:dyDescent="0.3">
      <c r="A39" s="702" t="s">
        <v>520</v>
      </c>
      <c r="B39" s="706">
        <v>1242409</v>
      </c>
      <c r="C39" s="730">
        <v>44400</v>
      </c>
      <c r="D39" s="731">
        <f t="shared" ref="D39:D46" si="5">B39+C39</f>
        <v>1286809</v>
      </c>
      <c r="E39" s="730">
        <f t="shared" ref="E39:E46" si="6">B39*0.25</f>
        <v>310602.25</v>
      </c>
      <c r="F39" s="732">
        <v>3400</v>
      </c>
      <c r="G39" s="732">
        <v>300</v>
      </c>
      <c r="H39" s="733">
        <f t="shared" ref="H39:H46" si="7">F39+G39</f>
        <v>3700</v>
      </c>
      <c r="L39" s="243"/>
      <c r="M39" s="243"/>
      <c r="N39" s="243"/>
      <c r="O39" s="243"/>
    </row>
    <row r="40" spans="1:17" x14ac:dyDescent="0.3">
      <c r="A40" s="702" t="s">
        <v>499</v>
      </c>
      <c r="B40" s="706">
        <v>1003393</v>
      </c>
      <c r="C40" s="730">
        <v>44400</v>
      </c>
      <c r="D40" s="731">
        <f t="shared" si="5"/>
        <v>1047793</v>
      </c>
      <c r="E40" s="730">
        <f t="shared" si="6"/>
        <v>250848.25</v>
      </c>
      <c r="F40" s="732">
        <v>3400</v>
      </c>
      <c r="G40" s="732">
        <v>300</v>
      </c>
      <c r="H40" s="733">
        <f t="shared" si="7"/>
        <v>3700</v>
      </c>
      <c r="L40" s="243"/>
      <c r="M40" s="243"/>
      <c r="N40" s="243"/>
      <c r="O40" s="243"/>
    </row>
    <row r="41" spans="1:17" x14ac:dyDescent="0.3">
      <c r="A41" s="702" t="s">
        <v>500</v>
      </c>
      <c r="B41" s="706">
        <f>1003393</f>
        <v>1003393</v>
      </c>
      <c r="C41" s="730">
        <v>44400</v>
      </c>
      <c r="D41" s="731">
        <f t="shared" si="5"/>
        <v>1047793</v>
      </c>
      <c r="E41" s="730">
        <f t="shared" si="6"/>
        <v>250848.25</v>
      </c>
      <c r="F41" s="732">
        <v>3400</v>
      </c>
      <c r="G41" s="732">
        <v>300</v>
      </c>
      <c r="H41" s="733">
        <f t="shared" si="7"/>
        <v>3700</v>
      </c>
      <c r="L41" s="243"/>
      <c r="M41" s="243"/>
      <c r="N41" s="243"/>
      <c r="O41" s="243"/>
    </row>
    <row r="42" spans="1:17" x14ac:dyDescent="0.3">
      <c r="A42" s="702" t="s">
        <v>502</v>
      </c>
      <c r="B42" s="706">
        <f>940680</f>
        <v>940680</v>
      </c>
      <c r="C42" s="730">
        <v>26400</v>
      </c>
      <c r="D42" s="731">
        <f t="shared" si="5"/>
        <v>967080</v>
      </c>
      <c r="E42" s="730">
        <f t="shared" si="6"/>
        <v>235170</v>
      </c>
      <c r="F42" s="732">
        <v>1900</v>
      </c>
      <c r="G42" s="732">
        <v>300</v>
      </c>
      <c r="H42" s="733">
        <f t="shared" si="7"/>
        <v>2200</v>
      </c>
      <c r="L42" s="243"/>
      <c r="M42" s="243"/>
      <c r="N42" s="243"/>
      <c r="O42" s="243"/>
    </row>
    <row r="43" spans="1:17" x14ac:dyDescent="0.3">
      <c r="A43" s="702" t="s">
        <v>504</v>
      </c>
      <c r="B43" s="706">
        <v>940680</v>
      </c>
      <c r="C43" s="730">
        <v>26400</v>
      </c>
      <c r="D43" s="731">
        <f t="shared" si="5"/>
        <v>967080</v>
      </c>
      <c r="E43" s="730">
        <f t="shared" si="6"/>
        <v>235170</v>
      </c>
      <c r="F43" s="732">
        <v>1900</v>
      </c>
      <c r="G43" s="732">
        <v>300</v>
      </c>
      <c r="H43" s="733">
        <f t="shared" si="7"/>
        <v>2200</v>
      </c>
      <c r="L43" s="243"/>
      <c r="M43" s="243"/>
      <c r="N43" s="243"/>
      <c r="O43" s="243"/>
    </row>
    <row r="44" spans="1:17" ht="28.8" x14ac:dyDescent="0.3">
      <c r="A44" s="715" t="s">
        <v>521</v>
      </c>
      <c r="B44" s="706">
        <f>913086</f>
        <v>913086</v>
      </c>
      <c r="C44" s="730">
        <v>26400</v>
      </c>
      <c r="D44" s="731">
        <f t="shared" si="5"/>
        <v>939486</v>
      </c>
      <c r="E44" s="730">
        <f t="shared" si="6"/>
        <v>228271.5</v>
      </c>
      <c r="F44" s="732">
        <v>1900</v>
      </c>
      <c r="G44" s="732">
        <v>300</v>
      </c>
      <c r="H44" s="733">
        <f t="shared" si="7"/>
        <v>2200</v>
      </c>
      <c r="L44" s="243"/>
      <c r="M44" s="243"/>
      <c r="N44" s="243"/>
      <c r="O44" s="243"/>
    </row>
    <row r="45" spans="1:17" ht="28.8" x14ac:dyDescent="0.3">
      <c r="A45" s="715" t="s">
        <v>735</v>
      </c>
      <c r="B45" s="706">
        <v>504578</v>
      </c>
      <c r="C45" s="730">
        <v>26400</v>
      </c>
      <c r="D45" s="731">
        <f t="shared" si="5"/>
        <v>530978</v>
      </c>
      <c r="E45" s="730">
        <f t="shared" si="6"/>
        <v>126144.5</v>
      </c>
      <c r="F45" s="732">
        <v>1900</v>
      </c>
      <c r="G45" s="732">
        <v>300</v>
      </c>
      <c r="H45" s="733">
        <f t="shared" si="7"/>
        <v>2200</v>
      </c>
      <c r="L45" s="243"/>
      <c r="M45" s="243"/>
      <c r="N45" s="243"/>
      <c r="O45" s="243"/>
    </row>
    <row r="46" spans="1:17" x14ac:dyDescent="0.3">
      <c r="A46" s="702" t="s">
        <v>508</v>
      </c>
      <c r="B46" s="706">
        <v>458706</v>
      </c>
      <c r="C46" s="730">
        <v>26400</v>
      </c>
      <c r="D46" s="731">
        <f t="shared" si="5"/>
        <v>485106</v>
      </c>
      <c r="E46" s="730">
        <f t="shared" si="6"/>
        <v>114676.5</v>
      </c>
      <c r="F46" s="732">
        <v>1900</v>
      </c>
      <c r="G46" s="732">
        <v>300</v>
      </c>
      <c r="H46" s="733">
        <f t="shared" si="7"/>
        <v>2200</v>
      </c>
      <c r="L46" s="243"/>
      <c r="M46" s="243"/>
      <c r="N46" s="243"/>
      <c r="O46" s="243"/>
    </row>
    <row r="47" spans="1:17" x14ac:dyDescent="0.3">
      <c r="A47" s="734"/>
      <c r="B47" s="735"/>
      <c r="C47" s="736"/>
      <c r="D47" s="736"/>
      <c r="E47" s="736"/>
      <c r="F47" s="736"/>
      <c r="G47" s="736"/>
      <c r="H47" s="737"/>
    </row>
    <row r="48" spans="1:17" ht="30" customHeight="1" x14ac:dyDescent="0.3">
      <c r="A48" s="879" t="s">
        <v>736</v>
      </c>
      <c r="B48" s="880"/>
      <c r="C48" s="880"/>
      <c r="D48" s="880"/>
      <c r="E48" s="880"/>
      <c r="F48" s="880"/>
      <c r="G48" s="880"/>
      <c r="H48" s="881"/>
    </row>
    <row r="49" spans="1:8" ht="15" thickBot="1" x14ac:dyDescent="0.35"/>
    <row r="50" spans="1:8" ht="15" thickBot="1" x14ac:dyDescent="0.35">
      <c r="A50" s="882" t="s">
        <v>536</v>
      </c>
      <c r="B50" s="883"/>
      <c r="C50" s="883"/>
      <c r="D50" s="883"/>
      <c r="E50" s="883"/>
      <c r="F50" s="883"/>
      <c r="G50" s="883"/>
      <c r="H50" s="884"/>
    </row>
    <row r="52" spans="1:8" x14ac:dyDescent="0.3">
      <c r="A52" s="738" t="s">
        <v>737</v>
      </c>
      <c r="B52" s="243" t="s">
        <v>499</v>
      </c>
    </row>
    <row r="53" spans="1:8" x14ac:dyDescent="0.3">
      <c r="B53" s="1" t="s">
        <v>738</v>
      </c>
    </row>
    <row r="55" spans="1:8" x14ac:dyDescent="0.3">
      <c r="B55" s="739" t="s">
        <v>739</v>
      </c>
    </row>
    <row r="57" spans="1:8" x14ac:dyDescent="0.3">
      <c r="B57" s="1" t="s">
        <v>740</v>
      </c>
    </row>
    <row r="59" spans="1:8" x14ac:dyDescent="0.3">
      <c r="A59" s="738" t="s">
        <v>741</v>
      </c>
      <c r="B59" s="1" t="s">
        <v>742</v>
      </c>
    </row>
    <row r="60" spans="1:8" x14ac:dyDescent="0.3">
      <c r="B60" s="1" t="s">
        <v>743</v>
      </c>
    </row>
    <row r="62" spans="1:8" x14ac:dyDescent="0.3">
      <c r="B62" s="740" t="s">
        <v>744</v>
      </c>
      <c r="C62" s="740" t="s">
        <v>745</v>
      </c>
    </row>
    <row r="63" spans="1:8" x14ac:dyDescent="0.3">
      <c r="B63" s="683">
        <v>116075</v>
      </c>
      <c r="C63" s="683" t="s">
        <v>746</v>
      </c>
    </row>
    <row r="64" spans="1:8" x14ac:dyDescent="0.3">
      <c r="B64" s="683">
        <v>116088</v>
      </c>
      <c r="C64" s="683" t="s">
        <v>747</v>
      </c>
    </row>
    <row r="65" spans="1:7" x14ac:dyDescent="0.3">
      <c r="B65" s="683">
        <v>116091</v>
      </c>
      <c r="C65" s="683" t="s">
        <v>748</v>
      </c>
    </row>
    <row r="66" spans="1:7" x14ac:dyDescent="0.3">
      <c r="B66" s="683">
        <v>116101</v>
      </c>
      <c r="C66" s="683" t="s">
        <v>749</v>
      </c>
    </row>
    <row r="68" spans="1:7" x14ac:dyDescent="0.3">
      <c r="A68" s="738" t="s">
        <v>720</v>
      </c>
      <c r="B68" s="1" t="s">
        <v>750</v>
      </c>
    </row>
    <row r="69" spans="1:7" x14ac:dyDescent="0.3">
      <c r="B69" s="1" t="s">
        <v>751</v>
      </c>
    </row>
    <row r="70" spans="1:7" x14ac:dyDescent="0.3">
      <c r="B70" s="1" t="s">
        <v>752</v>
      </c>
    </row>
    <row r="72" spans="1:7" ht="28.8" x14ac:dyDescent="0.3">
      <c r="D72" s="741" t="s">
        <v>541</v>
      </c>
      <c r="E72" s="741" t="s">
        <v>753</v>
      </c>
      <c r="F72" s="741" t="s">
        <v>486</v>
      </c>
    </row>
    <row r="73" spans="1:7" ht="15" thickBot="1" x14ac:dyDescent="0.35">
      <c r="A73" s="742" t="s">
        <v>499</v>
      </c>
    </row>
    <row r="74" spans="1:7" ht="15" thickBot="1" x14ac:dyDescent="0.35">
      <c r="A74" s="743" t="s">
        <v>754</v>
      </c>
      <c r="B74" s="744" t="s">
        <v>755</v>
      </c>
      <c r="C74" s="744" t="s">
        <v>756</v>
      </c>
      <c r="D74" s="745">
        <v>906166.6399999999</v>
      </c>
      <c r="E74" s="745">
        <v>895501.27956989245</v>
      </c>
      <c r="F74" s="746">
        <v>-10665.360430107452</v>
      </c>
    </row>
    <row r="75" spans="1:7" ht="15" thickBot="1" x14ac:dyDescent="0.35">
      <c r="A75" s="747" t="s">
        <v>726</v>
      </c>
    </row>
    <row r="76" spans="1:7" x14ac:dyDescent="0.3">
      <c r="A76" s="450" t="s">
        <v>757</v>
      </c>
      <c r="B76" s="451" t="s">
        <v>758</v>
      </c>
      <c r="C76" s="451" t="s">
        <v>756</v>
      </c>
      <c r="D76" s="748">
        <v>440817.24000000005</v>
      </c>
      <c r="E76" s="748">
        <v>420480.5</v>
      </c>
      <c r="F76" s="749">
        <v>-20336.740000000049</v>
      </c>
      <c r="G76" s="415"/>
    </row>
    <row r="77" spans="1:7" x14ac:dyDescent="0.3">
      <c r="A77" s="378" t="s">
        <v>759</v>
      </c>
      <c r="B77" s="243" t="s">
        <v>760</v>
      </c>
      <c r="C77" s="243" t="s">
        <v>756</v>
      </c>
      <c r="D77" s="721">
        <v>463679.2</v>
      </c>
      <c r="E77" s="721">
        <v>409382.77419354836</v>
      </c>
      <c r="F77" s="723">
        <v>-54296.425806451647</v>
      </c>
      <c r="G77" s="415"/>
    </row>
    <row r="78" spans="1:7" x14ac:dyDescent="0.3">
      <c r="A78" s="378" t="s">
        <v>761</v>
      </c>
      <c r="B78" s="243" t="s">
        <v>762</v>
      </c>
      <c r="C78" s="243" t="s">
        <v>756</v>
      </c>
      <c r="D78" s="721">
        <v>463679.2</v>
      </c>
      <c r="E78" s="721">
        <v>409382.77419354836</v>
      </c>
      <c r="F78" s="723">
        <v>-54296.425806451647</v>
      </c>
      <c r="G78" s="415"/>
    </row>
    <row r="79" spans="1:7" x14ac:dyDescent="0.3">
      <c r="A79" s="378" t="s">
        <v>763</v>
      </c>
      <c r="B79" s="243" t="s">
        <v>764</v>
      </c>
      <c r="C79" s="243" t="s">
        <v>756</v>
      </c>
      <c r="D79" s="721">
        <v>463679.2</v>
      </c>
      <c r="E79" s="721">
        <v>409382.77419354836</v>
      </c>
      <c r="F79" s="723">
        <v>-54296.425806451647</v>
      </c>
      <c r="G79" s="415"/>
    </row>
    <row r="80" spans="1:7" ht="15" thickBot="1" x14ac:dyDescent="0.35">
      <c r="A80" s="462" t="s">
        <v>459</v>
      </c>
      <c r="B80" s="463" t="s">
        <v>461</v>
      </c>
      <c r="C80" s="463" t="s">
        <v>756</v>
      </c>
      <c r="D80" s="750">
        <v>839968.42999999993</v>
      </c>
      <c r="E80" s="750">
        <v>839531.61290322582</v>
      </c>
      <c r="F80" s="751">
        <v>-436.81709677411709</v>
      </c>
      <c r="G80" s="415"/>
    </row>
    <row r="81" spans="1:6" ht="15" thickBot="1" x14ac:dyDescent="0.35">
      <c r="A81" s="747" t="s">
        <v>499</v>
      </c>
    </row>
    <row r="82" spans="1:6" ht="15" thickBot="1" x14ac:dyDescent="0.35">
      <c r="A82" s="743" t="s">
        <v>754</v>
      </c>
      <c r="B82" s="744" t="s">
        <v>755</v>
      </c>
      <c r="C82" s="744" t="s">
        <v>765</v>
      </c>
      <c r="D82" s="745">
        <v>40039.89</v>
      </c>
      <c r="E82" s="745">
        <v>39625.806451612902</v>
      </c>
      <c r="F82" s="746">
        <v>-414.08354838709784</v>
      </c>
    </row>
    <row r="83" spans="1:6" ht="43.8" thickBot="1" x14ac:dyDescent="0.35">
      <c r="A83" s="752" t="s">
        <v>724</v>
      </c>
    </row>
    <row r="84" spans="1:6" x14ac:dyDescent="0.3">
      <c r="A84" s="450" t="s">
        <v>757</v>
      </c>
      <c r="B84" s="451" t="s">
        <v>758</v>
      </c>
      <c r="C84" s="451" t="s">
        <v>765</v>
      </c>
      <c r="D84" s="748">
        <v>24361</v>
      </c>
      <c r="E84" s="748">
        <v>24200</v>
      </c>
      <c r="F84" s="749">
        <v>-161</v>
      </c>
    </row>
    <row r="85" spans="1:6" x14ac:dyDescent="0.3">
      <c r="A85" s="378" t="s">
        <v>759</v>
      </c>
      <c r="B85" s="243" t="s">
        <v>760</v>
      </c>
      <c r="C85" s="243" t="s">
        <v>765</v>
      </c>
      <c r="D85" s="721">
        <v>26671.87</v>
      </c>
      <c r="E85" s="721">
        <v>23561.290322580644</v>
      </c>
      <c r="F85" s="723">
        <v>-3110.579677419355</v>
      </c>
    </row>
    <row r="86" spans="1:6" x14ac:dyDescent="0.3">
      <c r="A86" s="378" t="s">
        <v>761</v>
      </c>
      <c r="B86" s="243" t="s">
        <v>762</v>
      </c>
      <c r="C86" s="243" t="s">
        <v>765</v>
      </c>
      <c r="D86" s="721">
        <v>26671.87</v>
      </c>
      <c r="E86" s="721">
        <v>23561.290322580644</v>
      </c>
      <c r="F86" s="723">
        <v>-3110.579677419355</v>
      </c>
    </row>
    <row r="87" spans="1:6" x14ac:dyDescent="0.3">
      <c r="A87" s="378" t="s">
        <v>464</v>
      </c>
      <c r="B87" s="243" t="s">
        <v>465</v>
      </c>
      <c r="C87" s="243" t="s">
        <v>765</v>
      </c>
      <c r="D87" s="721">
        <v>26671.87</v>
      </c>
      <c r="E87" s="721">
        <v>26400</v>
      </c>
      <c r="F87" s="723">
        <v>-271.86999999999898</v>
      </c>
    </row>
    <row r="88" spans="1:6" ht="15" thickBot="1" x14ac:dyDescent="0.35">
      <c r="A88" s="462" t="s">
        <v>763</v>
      </c>
      <c r="B88" s="463" t="s">
        <v>764</v>
      </c>
      <c r="C88" s="463" t="s">
        <v>765</v>
      </c>
      <c r="D88" s="750">
        <v>26671.87</v>
      </c>
      <c r="E88" s="750">
        <v>23561.290322580644</v>
      </c>
      <c r="F88" s="751">
        <v>-3110.579677419355</v>
      </c>
    </row>
    <row r="89" spans="1:6" ht="15" thickBot="1" x14ac:dyDescent="0.35">
      <c r="A89" s="747" t="s">
        <v>499</v>
      </c>
    </row>
    <row r="90" spans="1:6" ht="15" thickBot="1" x14ac:dyDescent="0.35">
      <c r="A90" s="743" t="s">
        <v>754</v>
      </c>
      <c r="B90" s="744" t="s">
        <v>755</v>
      </c>
      <c r="C90" s="744" t="s">
        <v>766</v>
      </c>
      <c r="D90" s="745">
        <v>226541.63999999996</v>
      </c>
      <c r="E90" s="745">
        <v>223875.31989247311</v>
      </c>
      <c r="F90" s="746">
        <v>-2666.3201075268444</v>
      </c>
    </row>
    <row r="91" spans="1:6" ht="15" thickBot="1" x14ac:dyDescent="0.35">
      <c r="A91" s="747" t="s">
        <v>726</v>
      </c>
    </row>
    <row r="92" spans="1:6" x14ac:dyDescent="0.3">
      <c r="A92" s="450" t="s">
        <v>757</v>
      </c>
      <c r="B92" s="451" t="s">
        <v>758</v>
      </c>
      <c r="C92" s="451" t="s">
        <v>766</v>
      </c>
      <c r="D92" s="748">
        <v>108044.35000000002</v>
      </c>
      <c r="E92" s="748">
        <v>105120.125</v>
      </c>
      <c r="F92" s="749">
        <v>-2924.2250000000204</v>
      </c>
    </row>
    <row r="93" spans="1:6" x14ac:dyDescent="0.3">
      <c r="A93" s="378" t="s">
        <v>759</v>
      </c>
      <c r="B93" s="243" t="s">
        <v>760</v>
      </c>
      <c r="C93" s="243" t="s">
        <v>766</v>
      </c>
      <c r="D93" s="721">
        <v>115919.81000000003</v>
      </c>
      <c r="E93" s="721">
        <v>102345.69354838709</v>
      </c>
      <c r="F93" s="723">
        <v>-13574.116451612936</v>
      </c>
    </row>
    <row r="94" spans="1:6" x14ac:dyDescent="0.3">
      <c r="A94" s="378" t="s">
        <v>761</v>
      </c>
      <c r="B94" s="243" t="s">
        <v>762</v>
      </c>
      <c r="C94" s="243" t="s">
        <v>766</v>
      </c>
      <c r="D94" s="721">
        <v>115919.81000000003</v>
      </c>
      <c r="E94" s="721">
        <v>102345.69354838709</v>
      </c>
      <c r="F94" s="723">
        <v>-13574.116451612936</v>
      </c>
    </row>
    <row r="95" spans="1:6" x14ac:dyDescent="0.3">
      <c r="A95" s="378" t="s">
        <v>464</v>
      </c>
      <c r="B95" s="243" t="s">
        <v>465</v>
      </c>
      <c r="C95" s="243" t="s">
        <v>766</v>
      </c>
      <c r="D95" s="721">
        <v>115919.81000000003</v>
      </c>
      <c r="E95" s="721">
        <v>114676.5</v>
      </c>
      <c r="F95" s="723">
        <v>-1243.3100000000268</v>
      </c>
    </row>
    <row r="96" spans="1:6" ht="15" thickBot="1" x14ac:dyDescent="0.35">
      <c r="A96" s="462" t="s">
        <v>763</v>
      </c>
      <c r="B96" s="463" t="s">
        <v>764</v>
      </c>
      <c r="C96" s="463" t="s">
        <v>766</v>
      </c>
      <c r="D96" s="750">
        <v>115919.81000000003</v>
      </c>
      <c r="E96" s="750">
        <v>102345.69354838709</v>
      </c>
      <c r="F96" s="751">
        <v>-13574.116451612936</v>
      </c>
    </row>
    <row r="97" spans="4:6" ht="18" x14ac:dyDescent="0.35">
      <c r="F97" s="753">
        <f>SUM(F74:F96)</f>
        <v>-252063.09198924742</v>
      </c>
    </row>
    <row r="104" spans="4:6" x14ac:dyDescent="0.3">
      <c r="D104" s="623"/>
      <c r="E104" s="623"/>
      <c r="F104" s="623"/>
    </row>
  </sheetData>
  <mergeCells count="16">
    <mergeCell ref="O18:O19"/>
    <mergeCell ref="A35:H35"/>
    <mergeCell ref="F37:H37"/>
    <mergeCell ref="A48:H48"/>
    <mergeCell ref="A50:H50"/>
    <mergeCell ref="M17:N17"/>
    <mergeCell ref="B18:B19"/>
    <mergeCell ref="C18:E18"/>
    <mergeCell ref="F18:F19"/>
    <mergeCell ref="G18:G19"/>
    <mergeCell ref="I18:I19"/>
    <mergeCell ref="J18:J19"/>
    <mergeCell ref="K18:K19"/>
    <mergeCell ref="L18:L19"/>
    <mergeCell ref="M18:M19"/>
    <mergeCell ref="N18:N19"/>
  </mergeCells>
  <hyperlinks>
    <hyperlink ref="B55" location="'Top 4 - 201617 FY (2)'!AB52" display="Refer to tab &lt;Top 4 -201617 FY&gt;" xr:uid="{00000000-0004-0000-2F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92D050"/>
  </sheetPr>
  <dimension ref="A1:H21"/>
  <sheetViews>
    <sheetView workbookViewId="0"/>
  </sheetViews>
  <sheetFormatPr defaultColWidth="9.109375" defaultRowHeight="14.4" x14ac:dyDescent="0.3"/>
  <cols>
    <col min="1" max="1" width="31.33203125" style="1" bestFit="1" customWidth="1"/>
    <col min="2" max="2" width="16.6640625" style="1" bestFit="1" customWidth="1"/>
    <col min="3" max="3" width="21.88671875" style="1" bestFit="1" customWidth="1"/>
    <col min="4" max="4" width="11.44140625" style="1" bestFit="1" customWidth="1"/>
    <col min="5" max="5" width="26.33203125" style="1" customWidth="1"/>
    <col min="6" max="6" width="12.88671875" style="1" bestFit="1" customWidth="1"/>
    <col min="7" max="7" width="18.44140625" style="1" customWidth="1"/>
    <col min="8" max="8" width="73.44140625" style="1" customWidth="1"/>
    <col min="9" max="16384" width="9.109375" style="1"/>
  </cols>
  <sheetData>
    <row r="1" spans="1:8" x14ac:dyDescent="0.3">
      <c r="A1" s="423" t="s">
        <v>223</v>
      </c>
      <c r="B1" s="340"/>
      <c r="C1" s="340"/>
      <c r="D1" s="340"/>
      <c r="E1" s="340"/>
      <c r="F1" s="340"/>
      <c r="G1" s="281"/>
      <c r="H1" s="281"/>
    </row>
    <row r="2" spans="1:8" x14ac:dyDescent="0.3">
      <c r="A2" s="207" t="s">
        <v>137</v>
      </c>
      <c r="B2" s="341"/>
      <c r="C2" s="340"/>
      <c r="D2" s="340"/>
      <c r="E2" s="340"/>
      <c r="F2" s="340"/>
      <c r="G2" s="281"/>
      <c r="H2" s="281"/>
    </row>
    <row r="3" spans="1:8" x14ac:dyDescent="0.3">
      <c r="A3" s="340"/>
      <c r="B3" s="341"/>
      <c r="C3" s="340"/>
      <c r="D3" s="340"/>
      <c r="E3" s="340"/>
      <c r="F3" s="340"/>
      <c r="G3" s="281"/>
      <c r="H3" s="281"/>
    </row>
    <row r="4" spans="1:8" x14ac:dyDescent="0.3">
      <c r="A4" s="885" t="s">
        <v>163</v>
      </c>
      <c r="B4" s="885"/>
      <c r="C4" s="885"/>
      <c r="D4" s="885"/>
      <c r="E4" s="885"/>
      <c r="F4" s="885"/>
      <c r="G4" s="281"/>
      <c r="H4" s="281"/>
    </row>
    <row r="5" spans="1:8" x14ac:dyDescent="0.3">
      <c r="A5" s="340"/>
      <c r="B5" s="341"/>
      <c r="C5" s="340"/>
      <c r="D5" s="340"/>
      <c r="E5" s="340"/>
      <c r="F5" s="340"/>
      <c r="G5" s="281"/>
      <c r="H5" s="281"/>
    </row>
    <row r="6" spans="1:8" x14ac:dyDescent="0.3">
      <c r="A6" s="342" t="s">
        <v>138</v>
      </c>
      <c r="B6" s="343" t="s">
        <v>139</v>
      </c>
      <c r="C6" s="344" t="s">
        <v>140</v>
      </c>
      <c r="D6" s="345" t="s">
        <v>141</v>
      </c>
      <c r="E6" s="346" t="s">
        <v>142</v>
      </c>
      <c r="F6" s="347" t="s">
        <v>143</v>
      </c>
      <c r="G6" s="288" t="s">
        <v>144</v>
      </c>
      <c r="H6" s="288" t="s">
        <v>157</v>
      </c>
    </row>
    <row r="7" spans="1:8" s="80" customFormat="1" ht="27.6" x14ac:dyDescent="0.3">
      <c r="A7" s="348" t="s">
        <v>145</v>
      </c>
      <c r="B7" s="349">
        <v>42916</v>
      </c>
      <c r="C7" s="428" t="s">
        <v>346</v>
      </c>
      <c r="D7" s="428" t="s">
        <v>345</v>
      </c>
      <c r="E7" s="293" t="s">
        <v>242</v>
      </c>
      <c r="F7" s="429">
        <v>38590.43</v>
      </c>
      <c r="G7" s="361" t="s">
        <v>148</v>
      </c>
      <c r="H7" s="361" t="s">
        <v>158</v>
      </c>
    </row>
    <row r="8" spans="1:8" s="80" customFormat="1" ht="27.6" x14ac:dyDescent="0.3">
      <c r="A8" s="348" t="s">
        <v>145</v>
      </c>
      <c r="B8" s="349">
        <v>42916</v>
      </c>
      <c r="C8" s="428" t="s">
        <v>348</v>
      </c>
      <c r="D8" s="428" t="s">
        <v>347</v>
      </c>
      <c r="E8" s="293" t="s">
        <v>242</v>
      </c>
      <c r="F8" s="430">
        <v>34994.800000000003</v>
      </c>
      <c r="G8" s="361" t="s">
        <v>148</v>
      </c>
      <c r="H8" s="361" t="s">
        <v>158</v>
      </c>
    </row>
    <row r="9" spans="1:8" s="80" customFormat="1" ht="27.6" x14ac:dyDescent="0.3">
      <c r="A9" s="348" t="s">
        <v>145</v>
      </c>
      <c r="B9" s="349">
        <v>42916</v>
      </c>
      <c r="C9" s="428" t="s">
        <v>350</v>
      </c>
      <c r="D9" s="428" t="s">
        <v>349</v>
      </c>
      <c r="E9" s="293" t="s">
        <v>242</v>
      </c>
      <c r="F9" s="430">
        <v>33255.67</v>
      </c>
      <c r="G9" s="361" t="s">
        <v>148</v>
      </c>
      <c r="H9" s="361" t="s">
        <v>158</v>
      </c>
    </row>
    <row r="10" spans="1:8" s="80" customFormat="1" ht="27.6" x14ac:dyDescent="0.3">
      <c r="A10" s="348" t="s">
        <v>145</v>
      </c>
      <c r="B10" s="349">
        <v>42916</v>
      </c>
      <c r="C10" s="428" t="s">
        <v>352</v>
      </c>
      <c r="D10" s="428" t="s">
        <v>351</v>
      </c>
      <c r="E10" s="293" t="s">
        <v>242</v>
      </c>
      <c r="F10" s="430">
        <v>34994.800000000003</v>
      </c>
      <c r="G10" s="361" t="s">
        <v>148</v>
      </c>
      <c r="H10" s="361" t="s">
        <v>158</v>
      </c>
    </row>
    <row r="11" spans="1:8" s="80" customFormat="1" ht="27.6" x14ac:dyDescent="0.3">
      <c r="A11" s="348" t="s">
        <v>145</v>
      </c>
      <c r="B11" s="349">
        <v>42916</v>
      </c>
      <c r="C11" s="428" t="s">
        <v>354</v>
      </c>
      <c r="D11" s="428" t="s">
        <v>353</v>
      </c>
      <c r="E11" s="293" t="s">
        <v>242</v>
      </c>
      <c r="F11" s="430">
        <v>34994.800000000003</v>
      </c>
      <c r="G11" s="361" t="s">
        <v>148</v>
      </c>
      <c r="H11" s="361" t="s">
        <v>158</v>
      </c>
    </row>
    <row r="12" spans="1:8" ht="15" thickBot="1" x14ac:dyDescent="0.35">
      <c r="A12" s="340"/>
      <c r="B12" s="340"/>
      <c r="C12" s="340"/>
      <c r="D12" s="340"/>
      <c r="E12" s="340"/>
      <c r="F12" s="427">
        <f>SUM(F7:F11)</f>
        <v>176830.5</v>
      </c>
    </row>
    <row r="13" spans="1:8" ht="15" thickTop="1" x14ac:dyDescent="0.3">
      <c r="C13" s="243"/>
    </row>
    <row r="14" spans="1:8" x14ac:dyDescent="0.3">
      <c r="C14" s="243"/>
      <c r="F14" s="243"/>
    </row>
    <row r="15" spans="1:8" x14ac:dyDescent="0.3">
      <c r="C15" s="243"/>
      <c r="D15" s="421"/>
      <c r="F15" s="243"/>
    </row>
    <row r="16" spans="1:8" x14ac:dyDescent="0.3">
      <c r="C16" s="243"/>
      <c r="F16" s="421"/>
    </row>
    <row r="17" spans="2:6" x14ac:dyDescent="0.3">
      <c r="C17" s="243"/>
      <c r="D17" s="415"/>
      <c r="F17" s="243"/>
    </row>
    <row r="18" spans="2:6" x14ac:dyDescent="0.3">
      <c r="B18" s="2"/>
      <c r="C18" s="243"/>
      <c r="F18" s="243"/>
    </row>
    <row r="19" spans="2:6" x14ac:dyDescent="0.3">
      <c r="B19" s="2"/>
      <c r="C19" s="243"/>
      <c r="F19" s="243"/>
    </row>
    <row r="20" spans="2:6" x14ac:dyDescent="0.3">
      <c r="F20" s="243"/>
    </row>
    <row r="21" spans="2:6" x14ac:dyDescent="0.3">
      <c r="F21" s="243"/>
    </row>
  </sheetData>
  <mergeCells count="1">
    <mergeCell ref="A4:F4"/>
  </mergeCells>
  <hyperlinks>
    <hyperlink ref="A1" location="'C.5.8.1 F&amp;W Register'!A1" display="Back to MFMA-7.1 F&amp;W Register" xr:uid="{00000000-0004-0000-30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10"/>
  <sheetViews>
    <sheetView topLeftCell="A4" workbookViewId="0">
      <selection activeCell="E22" sqref="E22"/>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871</v>
      </c>
      <c r="E6" s="286" t="s">
        <v>142</v>
      </c>
      <c r="F6" s="287" t="s">
        <v>143</v>
      </c>
      <c r="G6" s="288" t="s">
        <v>144</v>
      </c>
      <c r="H6" s="288" t="s">
        <v>157</v>
      </c>
    </row>
    <row r="7" spans="1:8" s="80" customFormat="1" x14ac:dyDescent="0.3">
      <c r="A7" s="289" t="s">
        <v>145</v>
      </c>
      <c r="B7" s="290" t="s">
        <v>851</v>
      </c>
      <c r="C7" s="291" t="s">
        <v>872</v>
      </c>
      <c r="D7" s="296" t="s">
        <v>873</v>
      </c>
      <c r="E7" s="293" t="s">
        <v>874</v>
      </c>
      <c r="F7" s="278">
        <v>453329.45</v>
      </c>
      <c r="G7" s="295" t="s">
        <v>148</v>
      </c>
      <c r="H7" s="338" t="s">
        <v>158</v>
      </c>
    </row>
    <row r="8" spans="1:8" s="80" customFormat="1" x14ac:dyDescent="0.3">
      <c r="A8" s="289"/>
      <c r="B8" s="290"/>
      <c r="C8" s="291"/>
      <c r="D8" s="296"/>
      <c r="E8" s="425"/>
      <c r="F8" s="278"/>
      <c r="G8" s="295"/>
      <c r="H8" s="338"/>
    </row>
    <row r="9" spans="1:8" ht="15" thickBot="1" x14ac:dyDescent="0.35">
      <c r="F9" s="374">
        <f>SUM(F7:F8)</f>
        <v>453329.45</v>
      </c>
    </row>
    <row r="10" spans="1:8" ht="15" thickTop="1" x14ac:dyDescent="0.3"/>
  </sheetData>
  <hyperlinks>
    <hyperlink ref="A1" location="'C.5.11.1 F&amp;W Register'!A1" display="Back to MFMA-7.1 F&amp;W Register" xr:uid="{00000000-0004-0000-04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sheetPr>
  <dimension ref="A1:H11"/>
  <sheetViews>
    <sheetView workbookViewId="0">
      <selection activeCell="C7" sqref="C7"/>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4.33203125" style="1" bestFit="1" customWidth="1"/>
    <col min="5" max="5" width="26.5546875" style="1" bestFit="1" customWidth="1"/>
    <col min="6" max="6" width="11.44140625" style="1" bestFit="1" customWidth="1"/>
    <col min="7" max="7" width="18.44140625" style="1" customWidth="1"/>
    <col min="8" max="8" width="32.44140625" style="1" bestFit="1" customWidth="1"/>
    <col min="9" max="16384" width="9.109375" style="1"/>
  </cols>
  <sheetData>
    <row r="1" spans="1:8" x14ac:dyDescent="0.3">
      <c r="A1" s="423"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334</v>
      </c>
      <c r="C7" s="291" t="s">
        <v>335</v>
      </c>
      <c r="D7" s="336">
        <v>128788</v>
      </c>
      <c r="E7" s="293" t="s">
        <v>147</v>
      </c>
      <c r="F7" s="337">
        <v>12515.32</v>
      </c>
      <c r="G7" s="295" t="s">
        <v>148</v>
      </c>
      <c r="H7" s="295" t="s">
        <v>158</v>
      </c>
    </row>
    <row r="8" spans="1:8" x14ac:dyDescent="0.3">
      <c r="A8" s="289" t="s">
        <v>145</v>
      </c>
      <c r="B8" s="290" t="s">
        <v>334</v>
      </c>
      <c r="C8" s="291" t="s">
        <v>335</v>
      </c>
      <c r="D8" s="336">
        <v>128789</v>
      </c>
      <c r="E8" s="293" t="s">
        <v>147</v>
      </c>
      <c r="F8" s="337">
        <v>14938.25</v>
      </c>
      <c r="G8" s="295" t="s">
        <v>148</v>
      </c>
      <c r="H8" s="295" t="s">
        <v>158</v>
      </c>
    </row>
    <row r="9" spans="1:8" x14ac:dyDescent="0.3">
      <c r="A9" s="289" t="s">
        <v>145</v>
      </c>
      <c r="B9" s="290" t="s">
        <v>343</v>
      </c>
      <c r="C9" s="291" t="s">
        <v>335</v>
      </c>
      <c r="D9" s="336" t="s">
        <v>344</v>
      </c>
      <c r="E9" s="293" t="s">
        <v>147</v>
      </c>
      <c r="F9" s="337">
        <v>4097.33</v>
      </c>
      <c r="G9" s="295" t="s">
        <v>148</v>
      </c>
      <c r="H9" s="295" t="s">
        <v>158</v>
      </c>
    </row>
    <row r="10" spans="1:8" ht="15" thickBot="1" x14ac:dyDescent="0.35">
      <c r="F10" s="374">
        <f>SUM(F7:F9)</f>
        <v>31550.9</v>
      </c>
    </row>
    <row r="11" spans="1:8" ht="15" thickTop="1" x14ac:dyDescent="0.3"/>
  </sheetData>
  <hyperlinks>
    <hyperlink ref="A1" location="'C.5.8.1 F&amp;W Register'!Print_Area" display="Back to MFMA-7.1 F&amp;W Register" xr:uid="{00000000-0004-0000-3100-000000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92D050"/>
  </sheetPr>
  <dimension ref="A1:H10"/>
  <sheetViews>
    <sheetView workbookViewId="0">
      <selection activeCell="F7" sqref="F7"/>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4.33203125" style="1" bestFit="1" customWidth="1"/>
    <col min="5" max="5" width="26.5546875" style="1" bestFit="1" customWidth="1"/>
    <col min="6" max="6" width="11.44140625" style="1" bestFit="1" customWidth="1"/>
    <col min="7" max="7" width="18.44140625" style="1" customWidth="1"/>
    <col min="8" max="8" width="32.44140625" style="1" bestFit="1" customWidth="1"/>
    <col min="9" max="16384" width="9.109375" style="1"/>
  </cols>
  <sheetData>
    <row r="1" spans="1:8" x14ac:dyDescent="0.3">
      <c r="A1" s="423"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316</v>
      </c>
      <c r="C7" s="291" t="s">
        <v>315</v>
      </c>
      <c r="D7" s="336" t="s">
        <v>317</v>
      </c>
      <c r="E7" s="414" t="s">
        <v>318</v>
      </c>
      <c r="F7" s="337">
        <v>1443.68</v>
      </c>
      <c r="G7" s="295" t="s">
        <v>148</v>
      </c>
      <c r="H7" s="295" t="s">
        <v>158</v>
      </c>
    </row>
    <row r="8" spans="1:8" x14ac:dyDescent="0.3">
      <c r="A8" s="289"/>
      <c r="B8" s="290"/>
      <c r="C8" s="291"/>
      <c r="D8" s="336"/>
      <c r="E8" s="293"/>
      <c r="F8" s="337"/>
      <c r="G8" s="295"/>
      <c r="H8" s="295"/>
    </row>
    <row r="9" spans="1:8" ht="15" thickBot="1" x14ac:dyDescent="0.35">
      <c r="F9" s="374">
        <f>SUM(F7:F8)</f>
        <v>1443.68</v>
      </c>
    </row>
    <row r="10" spans="1:8" ht="15" thickTop="1" x14ac:dyDescent="0.3"/>
  </sheetData>
  <hyperlinks>
    <hyperlink ref="A1" location="'C.5.8.1 F&amp;W Register'!Print_Area" display="Back to MFMA-7.1 F&amp;W Register" xr:uid="{00000000-0004-0000-3200-000000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92D050"/>
  </sheetPr>
  <dimension ref="A1:H9"/>
  <sheetViews>
    <sheetView workbookViewId="0">
      <selection activeCell="F7" sqref="F7"/>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4.33203125" style="1" bestFit="1" customWidth="1"/>
    <col min="5" max="5" width="26.5546875" style="1" bestFit="1" customWidth="1"/>
    <col min="6" max="6" width="12.88671875" style="1" bestFit="1" customWidth="1"/>
    <col min="7" max="7" width="18.44140625" style="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370" t="s">
        <v>323</v>
      </c>
      <c r="C7" s="291" t="s">
        <v>324</v>
      </c>
      <c r="D7" s="336" t="s">
        <v>325</v>
      </c>
      <c r="E7" s="414" t="s">
        <v>318</v>
      </c>
      <c r="F7" s="337">
        <v>1918580.11</v>
      </c>
      <c r="G7" s="295" t="s">
        <v>148</v>
      </c>
      <c r="H7" s="295" t="s">
        <v>158</v>
      </c>
    </row>
    <row r="8" spans="1:8" ht="15" thickBot="1" x14ac:dyDescent="0.35">
      <c r="F8" s="374">
        <f>SUM(F7:F7)</f>
        <v>1918580.11</v>
      </c>
    </row>
    <row r="9" spans="1:8" ht="15" thickTop="1" x14ac:dyDescent="0.3"/>
  </sheetData>
  <hyperlinks>
    <hyperlink ref="A1" location="'C.5.8.1 F&amp;W Register'!Print_Area" display="Back to MFMA-7.1 F&amp;W Register" xr:uid="{00000000-0004-0000-3300-000000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92D050"/>
  </sheetPr>
  <dimension ref="A1:H10"/>
  <sheetViews>
    <sheetView workbookViewId="0">
      <selection activeCell="F7" sqref="F7"/>
    </sheetView>
  </sheetViews>
  <sheetFormatPr defaultColWidth="9.109375" defaultRowHeight="14.4" x14ac:dyDescent="0.3"/>
  <cols>
    <col min="1" max="1" width="31.33203125" style="1" bestFit="1" customWidth="1"/>
    <col min="2" max="2" width="10.44140625" style="1" bestFit="1" customWidth="1"/>
    <col min="3" max="3" width="18" style="1" bestFit="1" customWidth="1"/>
    <col min="4" max="4" width="16.88671875" style="1" bestFit="1" customWidth="1"/>
    <col min="5" max="5" width="26.5546875" style="1" bestFit="1" customWidth="1"/>
    <col min="6" max="6" width="11.44140625" style="1" bestFit="1" customWidth="1"/>
    <col min="7" max="7" width="18.44140625" style="1" customWidth="1"/>
    <col min="8" max="8" width="32.44140625" style="1" bestFit="1" customWidth="1"/>
    <col min="9" max="16384" width="9.109375" style="1"/>
  </cols>
  <sheetData>
    <row r="1" spans="1:8" x14ac:dyDescent="0.3">
      <c r="A1" s="423"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300</v>
      </c>
      <c r="C7" s="291" t="s">
        <v>319</v>
      </c>
      <c r="D7" s="336" t="s">
        <v>320</v>
      </c>
      <c r="E7" s="414" t="s">
        <v>318</v>
      </c>
      <c r="F7" s="337">
        <v>216779.49</v>
      </c>
      <c r="G7" s="295" t="s">
        <v>148</v>
      </c>
      <c r="H7" s="295" t="s">
        <v>158</v>
      </c>
    </row>
    <row r="8" spans="1:8" x14ac:dyDescent="0.3">
      <c r="A8" s="289"/>
      <c r="B8" s="290"/>
      <c r="C8" s="291"/>
      <c r="D8" s="336"/>
      <c r="E8" s="414"/>
      <c r="F8" s="337"/>
      <c r="G8" s="295"/>
      <c r="H8" s="295"/>
    </row>
    <row r="9" spans="1:8" ht="15" thickBot="1" x14ac:dyDescent="0.35">
      <c r="F9" s="374">
        <f>SUM(F7:F8)</f>
        <v>216779.49</v>
      </c>
    </row>
    <row r="10" spans="1:8" ht="15" thickTop="1" x14ac:dyDescent="0.3"/>
  </sheetData>
  <hyperlinks>
    <hyperlink ref="A1" location="'C.5.8.1 F&amp;W Register'!A1" display="Back to MFMA-7.1 F&amp;W Register" xr:uid="{00000000-0004-0000-3400-000000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92D050"/>
  </sheetPr>
  <dimension ref="A1:H10"/>
  <sheetViews>
    <sheetView workbookViewId="0">
      <selection activeCell="F7" sqref="F7"/>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4.109375" style="1" bestFit="1" customWidth="1"/>
    <col min="5" max="5" width="26.5546875" style="1" bestFit="1" customWidth="1"/>
    <col min="6" max="6" width="11.44140625" style="1" bestFit="1" customWidth="1"/>
    <col min="7" max="7" width="18.44140625" style="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277</v>
      </c>
      <c r="C7" s="291" t="s">
        <v>302</v>
      </c>
      <c r="D7" s="336" t="s">
        <v>301</v>
      </c>
      <c r="E7" s="414" t="s">
        <v>318</v>
      </c>
      <c r="F7" s="337">
        <v>15649.31</v>
      </c>
      <c r="G7" s="295" t="s">
        <v>148</v>
      </c>
      <c r="H7" s="295" t="s">
        <v>158</v>
      </c>
    </row>
    <row r="8" spans="1:8" x14ac:dyDescent="0.3">
      <c r="A8" s="289"/>
      <c r="B8" s="290"/>
      <c r="C8" s="291"/>
      <c r="D8" s="336"/>
      <c r="E8" s="293"/>
      <c r="F8" s="337"/>
      <c r="G8" s="295"/>
      <c r="H8" s="295"/>
    </row>
    <row r="9" spans="1:8" ht="15" thickBot="1" x14ac:dyDescent="0.35">
      <c r="F9" s="374">
        <f>SUM(F7:F8)</f>
        <v>15649.31</v>
      </c>
    </row>
    <row r="10" spans="1:8" ht="15" thickTop="1" x14ac:dyDescent="0.3"/>
  </sheetData>
  <hyperlinks>
    <hyperlink ref="A1" location="'C.5.8.1 F&amp;W Register'!Print_Area" display="Back to MFMA-7.1 F&amp;W Register" xr:uid="{00000000-0004-0000-3500-000000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92D050"/>
  </sheetPr>
  <dimension ref="A1:H9"/>
  <sheetViews>
    <sheetView workbookViewId="0">
      <selection activeCell="F7" sqref="F7"/>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6.109375" style="1" bestFit="1" customWidth="1"/>
    <col min="5" max="5" width="26.5546875" style="1" bestFit="1" customWidth="1"/>
    <col min="6" max="6" width="12.88671875" style="1" bestFit="1" customWidth="1"/>
    <col min="7" max="7" width="18.44140625" style="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277</v>
      </c>
      <c r="C7" s="291" t="s">
        <v>303</v>
      </c>
      <c r="D7" s="336" t="s">
        <v>304</v>
      </c>
      <c r="E7" s="414" t="s">
        <v>318</v>
      </c>
      <c r="F7" s="358">
        <v>2447910.11</v>
      </c>
      <c r="G7" s="295" t="s">
        <v>148</v>
      </c>
      <c r="H7" s="295" t="s">
        <v>158</v>
      </c>
    </row>
    <row r="8" spans="1:8" ht="15" thickBot="1" x14ac:dyDescent="0.35">
      <c r="F8" s="426">
        <f>SUM(F7:F7)</f>
        <v>2447910.11</v>
      </c>
    </row>
    <row r="9" spans="1:8" ht="15" thickTop="1" x14ac:dyDescent="0.3"/>
  </sheetData>
  <hyperlinks>
    <hyperlink ref="A1" location="'C.5.8.1 F&amp;W Register'!Print_Area" display="Back to MFMA-7.1 F&amp;W Register" xr:uid="{00000000-0004-0000-3600-000000000000}"/>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92D050"/>
  </sheetPr>
  <dimension ref="A1:H14"/>
  <sheetViews>
    <sheetView workbookViewId="0">
      <selection activeCell="E7" sqref="E7"/>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0.109375" style="1" bestFit="1" customWidth="1"/>
    <col min="5" max="5" width="24.33203125" style="1" customWidth="1"/>
    <col min="6" max="6" width="11.44140625" style="1" bestFit="1" customWidth="1"/>
    <col min="7" max="7" width="18.44140625" style="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257</v>
      </c>
      <c r="C7" s="291" t="s">
        <v>181</v>
      </c>
      <c r="D7" s="336">
        <v>123928</v>
      </c>
      <c r="E7" s="293" t="s">
        <v>147</v>
      </c>
      <c r="F7" s="337">
        <v>22935.040000000001</v>
      </c>
      <c r="G7" s="295" t="s">
        <v>148</v>
      </c>
      <c r="H7" s="295" t="s">
        <v>158</v>
      </c>
    </row>
    <row r="8" spans="1:8" x14ac:dyDescent="0.3">
      <c r="A8" s="289" t="s">
        <v>145</v>
      </c>
      <c r="B8" s="290" t="s">
        <v>258</v>
      </c>
      <c r="C8" s="291" t="s">
        <v>181</v>
      </c>
      <c r="D8" s="292">
        <v>124165</v>
      </c>
      <c r="E8" s="293" t="s">
        <v>147</v>
      </c>
      <c r="F8" s="294">
        <v>1891.43</v>
      </c>
      <c r="G8" s="295" t="s">
        <v>148</v>
      </c>
      <c r="H8" s="295" t="s">
        <v>158</v>
      </c>
    </row>
    <row r="9" spans="1:8" x14ac:dyDescent="0.3">
      <c r="A9" s="289" t="s">
        <v>145</v>
      </c>
      <c r="B9" s="290" t="s">
        <v>258</v>
      </c>
      <c r="C9" s="291" t="s">
        <v>181</v>
      </c>
      <c r="D9" s="336">
        <v>124166</v>
      </c>
      <c r="E9" s="293" t="s">
        <v>147</v>
      </c>
      <c r="F9" s="337">
        <v>19437.3</v>
      </c>
      <c r="G9" s="295" t="s">
        <v>148</v>
      </c>
      <c r="H9" s="295" t="s">
        <v>158</v>
      </c>
    </row>
    <row r="10" spans="1:8" x14ac:dyDescent="0.3">
      <c r="A10" s="289" t="s">
        <v>145</v>
      </c>
      <c r="B10" s="290" t="s">
        <v>294</v>
      </c>
      <c r="C10" s="291" t="s">
        <v>181</v>
      </c>
      <c r="D10" s="336">
        <v>126285</v>
      </c>
      <c r="E10" s="293" t="s">
        <v>147</v>
      </c>
      <c r="F10" s="337">
        <v>18573.650000000001</v>
      </c>
      <c r="G10" s="295" t="s">
        <v>148</v>
      </c>
      <c r="H10" s="295" t="s">
        <v>158</v>
      </c>
    </row>
    <row r="11" spans="1:8" x14ac:dyDescent="0.3">
      <c r="A11" s="289" t="s">
        <v>145</v>
      </c>
      <c r="B11" s="290" t="s">
        <v>295</v>
      </c>
      <c r="C11" s="291" t="s">
        <v>181</v>
      </c>
      <c r="D11" s="336">
        <v>126724</v>
      </c>
      <c r="E11" s="293" t="s">
        <v>147</v>
      </c>
      <c r="F11" s="337">
        <v>1.1200000000000001</v>
      </c>
      <c r="G11" s="295" t="s">
        <v>148</v>
      </c>
      <c r="H11" s="295" t="s">
        <v>158</v>
      </c>
    </row>
    <row r="12" spans="1:8" x14ac:dyDescent="0.3">
      <c r="A12" s="289" t="s">
        <v>145</v>
      </c>
      <c r="B12" s="290" t="s">
        <v>337</v>
      </c>
      <c r="C12" s="291" t="s">
        <v>181</v>
      </c>
      <c r="D12" s="336" t="s">
        <v>341</v>
      </c>
      <c r="E12" s="297" t="s">
        <v>147</v>
      </c>
      <c r="F12" s="337">
        <v>27917.96</v>
      </c>
      <c r="G12" s="295" t="s">
        <v>148</v>
      </c>
      <c r="H12" s="295" t="s">
        <v>158</v>
      </c>
    </row>
    <row r="13" spans="1:8" ht="15" thickBot="1" x14ac:dyDescent="0.35">
      <c r="F13" s="374">
        <f>SUM(F7:F12)</f>
        <v>90756.5</v>
      </c>
    </row>
    <row r="14" spans="1:8" ht="15" thickTop="1" x14ac:dyDescent="0.3"/>
  </sheetData>
  <hyperlinks>
    <hyperlink ref="A1" location="'C.5.8.1 F&amp;W Register'!Print_Area" display="Back to MFMA-7.1 F&amp;W Register" xr:uid="{00000000-0004-0000-3700-000000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92D050"/>
  </sheetPr>
  <dimension ref="A1:H9"/>
  <sheetViews>
    <sheetView workbookViewId="0">
      <selection activeCell="C15" sqref="C15"/>
    </sheetView>
  </sheetViews>
  <sheetFormatPr defaultColWidth="9.109375" defaultRowHeight="14.4" x14ac:dyDescent="0.3"/>
  <cols>
    <col min="1" max="1" width="31.33203125" style="1" bestFit="1" customWidth="1"/>
    <col min="2" max="2" width="10.44140625" style="1" bestFit="1" customWidth="1"/>
    <col min="3" max="3" width="18.6640625" style="1" bestFit="1" customWidth="1"/>
    <col min="4" max="4" width="10.109375" style="1" bestFit="1" customWidth="1"/>
    <col min="5" max="5" width="24.33203125" style="1" customWidth="1"/>
    <col min="6" max="6" width="11.44140625" style="1" bestFit="1" customWidth="1"/>
    <col min="7" max="7" width="18.44140625" style="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337</v>
      </c>
      <c r="C7" s="291" t="s">
        <v>292</v>
      </c>
      <c r="D7" s="336" t="s">
        <v>359</v>
      </c>
      <c r="E7" s="293" t="s">
        <v>147</v>
      </c>
      <c r="F7" s="337">
        <v>2815.84</v>
      </c>
      <c r="G7" s="295" t="s">
        <v>148</v>
      </c>
      <c r="H7" s="295" t="s">
        <v>158</v>
      </c>
    </row>
    <row r="8" spans="1:8" ht="15" thickBot="1" x14ac:dyDescent="0.35">
      <c r="F8" s="372">
        <f>SUM(F7:F7)</f>
        <v>2815.84</v>
      </c>
    </row>
    <row r="9" spans="1:8" ht="15" thickTop="1" x14ac:dyDescent="0.3"/>
  </sheetData>
  <hyperlinks>
    <hyperlink ref="A1" location="'C.5.8.1 F&amp;W Register'!Print_Area" display="Back to MFMA-7.1 F&amp;W Register" xr:uid="{00000000-0004-0000-3800-00000000000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92D050"/>
  </sheetPr>
  <dimension ref="A1:H9"/>
  <sheetViews>
    <sheetView workbookViewId="0">
      <selection activeCell="A17" sqref="A1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0.5546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256</v>
      </c>
      <c r="C7" s="291" t="s">
        <v>259</v>
      </c>
      <c r="D7" s="292">
        <v>122012</v>
      </c>
      <c r="E7" s="293" t="s">
        <v>147</v>
      </c>
      <c r="F7" s="294">
        <v>18.29</v>
      </c>
      <c r="G7" s="295" t="s">
        <v>148</v>
      </c>
      <c r="H7" s="295" t="s">
        <v>158</v>
      </c>
    </row>
    <row r="8" spans="1:8" ht="15" thickBot="1" x14ac:dyDescent="0.35">
      <c r="F8" s="372">
        <f>SUM(F7:F7)</f>
        <v>18.29</v>
      </c>
    </row>
    <row r="9" spans="1:8" ht="15" thickTop="1" x14ac:dyDescent="0.3"/>
  </sheetData>
  <hyperlinks>
    <hyperlink ref="A1" location="'C.5.8.1 F&amp;W Register'!Print_Area" display="Back to MFMA-7.1 F&amp;W Register" xr:uid="{00000000-0004-0000-39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92D050"/>
  </sheetPr>
  <dimension ref="A1:H10"/>
  <sheetViews>
    <sheetView workbookViewId="0">
      <selection activeCell="B17" sqref="B17"/>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0.5546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260</v>
      </c>
      <c r="C7" s="291" t="s">
        <v>261</v>
      </c>
      <c r="D7" s="292">
        <v>123813</v>
      </c>
      <c r="E7" s="293" t="s">
        <v>147</v>
      </c>
      <c r="F7" s="294">
        <v>321.56</v>
      </c>
      <c r="G7" s="295" t="s">
        <v>148</v>
      </c>
      <c r="H7" s="295" t="s">
        <v>158</v>
      </c>
    </row>
    <row r="8" spans="1:8" x14ac:dyDescent="0.3">
      <c r="A8" s="289"/>
      <c r="B8" s="290"/>
      <c r="C8" s="291"/>
      <c r="D8" s="296"/>
      <c r="E8" s="293"/>
      <c r="F8" s="278"/>
      <c r="G8" s="295"/>
      <c r="H8" s="295"/>
    </row>
    <row r="9" spans="1:8" ht="15" thickBot="1" x14ac:dyDescent="0.35">
      <c r="F9" s="372">
        <f>SUM(F7:F8)</f>
        <v>321.56</v>
      </c>
    </row>
    <row r="10" spans="1:8" ht="15" thickTop="1" x14ac:dyDescent="0.3"/>
  </sheetData>
  <hyperlinks>
    <hyperlink ref="A1" location="'C.5.8.1 F&amp;W Register'!Print_Area" display="Back to MFMA-7.1 F&amp;W Register" xr:uid="{00000000-0004-0000-3A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H10"/>
  <sheetViews>
    <sheetView workbookViewId="0">
      <selection activeCell="F8" sqref="F8"/>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871</v>
      </c>
      <c r="E6" s="286" t="s">
        <v>142</v>
      </c>
      <c r="F6" s="287" t="s">
        <v>143</v>
      </c>
      <c r="G6" s="288" t="s">
        <v>144</v>
      </c>
      <c r="H6" s="288" t="s">
        <v>157</v>
      </c>
    </row>
    <row r="7" spans="1:8" s="80" customFormat="1" x14ac:dyDescent="0.3">
      <c r="A7" s="289" t="s">
        <v>145</v>
      </c>
      <c r="B7" s="290" t="s">
        <v>851</v>
      </c>
      <c r="C7" s="291" t="s">
        <v>875</v>
      </c>
      <c r="D7" s="296" t="s">
        <v>876</v>
      </c>
      <c r="E7" s="293" t="s">
        <v>877</v>
      </c>
      <c r="F7" s="278">
        <v>3262617.5</v>
      </c>
      <c r="G7" s="295" t="s">
        <v>148</v>
      </c>
      <c r="H7" s="338" t="s">
        <v>158</v>
      </c>
    </row>
    <row r="8" spans="1:8" s="80" customFormat="1" x14ac:dyDescent="0.3">
      <c r="A8" s="289"/>
      <c r="B8" s="290"/>
      <c r="C8" s="291"/>
      <c r="D8" s="296"/>
      <c r="E8" s="425"/>
      <c r="F8" s="278"/>
      <c r="G8" s="295"/>
      <c r="H8" s="338"/>
    </row>
    <row r="9" spans="1:8" ht="15" thickBot="1" x14ac:dyDescent="0.35">
      <c r="F9" s="374">
        <f>SUM(F7:F8)</f>
        <v>3262617.5</v>
      </c>
    </row>
    <row r="10" spans="1:8" ht="15" thickTop="1" x14ac:dyDescent="0.3"/>
  </sheetData>
  <hyperlinks>
    <hyperlink ref="A1" location="'C.5.11.1 F&amp;W Register'!A1" display="Back to MFMA-7.1 F&amp;W Register" xr:uid="{00000000-0004-0000-05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92D050"/>
  </sheetPr>
  <dimension ref="A1:H10"/>
  <sheetViews>
    <sheetView workbookViewId="0">
      <selection activeCell="E20" sqref="E20"/>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1.4414062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308</v>
      </c>
      <c r="C7" s="291" t="s">
        <v>309</v>
      </c>
      <c r="D7" s="292">
        <v>126770</v>
      </c>
      <c r="E7" s="293" t="s">
        <v>147</v>
      </c>
      <c r="F7" s="294">
        <v>223008.35</v>
      </c>
      <c r="G7" s="295" t="s">
        <v>148</v>
      </c>
      <c r="H7" s="295" t="s">
        <v>158</v>
      </c>
    </row>
    <row r="8" spans="1:8" x14ac:dyDescent="0.3">
      <c r="A8" s="289"/>
      <c r="B8" s="290"/>
      <c r="C8" s="291"/>
      <c r="D8" s="296"/>
      <c r="E8" s="293"/>
      <c r="F8" s="278"/>
      <c r="G8" s="295"/>
      <c r="H8" s="295"/>
    </row>
    <row r="9" spans="1:8" ht="15" thickBot="1" x14ac:dyDescent="0.35">
      <c r="F9" s="372">
        <f>SUM(F7:F8)</f>
        <v>223008.35</v>
      </c>
    </row>
    <row r="10" spans="1:8" ht="15" thickTop="1" x14ac:dyDescent="0.3"/>
  </sheetData>
  <hyperlinks>
    <hyperlink ref="A1" location="'C.5.8.1 F&amp;W Register'!Print_Area" display="Back to MFMA-7.1 F&amp;W Register" xr:uid="{00000000-0004-0000-3B00-000000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92D050"/>
  </sheetPr>
  <dimension ref="A1:H10"/>
  <sheetViews>
    <sheetView workbookViewId="0">
      <selection activeCell="C18" sqref="C18"/>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271</v>
      </c>
      <c r="C7" s="291" t="s">
        <v>270</v>
      </c>
      <c r="D7" s="292"/>
      <c r="E7" s="293" t="s">
        <v>147</v>
      </c>
      <c r="F7" s="294">
        <v>1896019.62</v>
      </c>
      <c r="G7" s="295" t="s">
        <v>148</v>
      </c>
      <c r="H7" s="295" t="s">
        <v>158</v>
      </c>
    </row>
    <row r="8" spans="1:8" x14ac:dyDescent="0.3">
      <c r="A8" s="289"/>
      <c r="B8" s="290"/>
      <c r="C8" s="291"/>
      <c r="D8" s="296"/>
      <c r="E8" s="293"/>
      <c r="F8" s="278"/>
      <c r="G8" s="295"/>
      <c r="H8" s="295"/>
    </row>
    <row r="9" spans="1:8" ht="15" thickBot="1" x14ac:dyDescent="0.35">
      <c r="F9" s="372">
        <f>SUM(F7:F8)</f>
        <v>1896019.62</v>
      </c>
    </row>
    <row r="10" spans="1:8" ht="15" thickTop="1" x14ac:dyDescent="0.3"/>
  </sheetData>
  <hyperlinks>
    <hyperlink ref="A1" location="'C.5.8.1 F&amp;W Register'!Print_Area" display="Back to MFMA-7.1 F&amp;W Register" xr:uid="{00000000-0004-0000-3C00-00000000000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0"/>
  <sheetViews>
    <sheetView workbookViewId="0">
      <selection activeCell="C14" sqref="C14"/>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6.5546875" style="1" bestFit="1" customWidth="1"/>
    <col min="6" max="6" width="11.4414062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274</v>
      </c>
      <c r="C7" s="291" t="s">
        <v>273</v>
      </c>
      <c r="D7" s="292" t="s">
        <v>275</v>
      </c>
      <c r="E7" s="414" t="s">
        <v>318</v>
      </c>
      <c r="F7" s="294">
        <v>214028.3</v>
      </c>
      <c r="G7" s="295" t="s">
        <v>148</v>
      </c>
      <c r="H7" s="295" t="s">
        <v>158</v>
      </c>
    </row>
    <row r="8" spans="1:8" x14ac:dyDescent="0.3">
      <c r="A8" s="289" t="s">
        <v>145</v>
      </c>
      <c r="B8" s="290">
        <v>42640</v>
      </c>
      <c r="C8" s="291" t="s">
        <v>273</v>
      </c>
      <c r="D8" s="296" t="s">
        <v>360</v>
      </c>
      <c r="E8" s="414" t="s">
        <v>318</v>
      </c>
      <c r="F8" s="278">
        <v>156060.32</v>
      </c>
      <c r="G8" s="295" t="s">
        <v>148</v>
      </c>
      <c r="H8" s="295" t="s">
        <v>158</v>
      </c>
    </row>
    <row r="9" spans="1:8" ht="15" thickBot="1" x14ac:dyDescent="0.35">
      <c r="F9" s="372">
        <f>SUM(F7:F8)</f>
        <v>370088.62</v>
      </c>
    </row>
    <row r="10" spans="1:8" ht="15" thickTop="1" x14ac:dyDescent="0.3"/>
  </sheetData>
  <hyperlinks>
    <hyperlink ref="A1" location="'C.5.8.1 F&amp;W Register'!Print_Area" display="Back to MFMA-7.1 F&amp;W Register" xr:uid="{00000000-0004-0000-3D00-000000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92D050"/>
  </sheetPr>
  <dimension ref="A1:H9"/>
  <sheetViews>
    <sheetView workbookViewId="0">
      <selection sqref="A1:XFD1048576"/>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1.4414062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337</v>
      </c>
      <c r="C7" s="291" t="s">
        <v>96</v>
      </c>
      <c r="D7" s="296" t="s">
        <v>340</v>
      </c>
      <c r="E7" s="425" t="s">
        <v>147</v>
      </c>
      <c r="F7" s="278">
        <v>1645.59</v>
      </c>
      <c r="G7" s="295" t="s">
        <v>148</v>
      </c>
      <c r="H7" s="338" t="s">
        <v>158</v>
      </c>
    </row>
    <row r="8" spans="1:8" ht="15" thickBot="1" x14ac:dyDescent="0.35">
      <c r="F8" s="374">
        <f>SUM(F7:F7)</f>
        <v>1645.59</v>
      </c>
    </row>
    <row r="9" spans="1:8" ht="15" thickTop="1" x14ac:dyDescent="0.3"/>
  </sheetData>
  <hyperlinks>
    <hyperlink ref="A1" location="'C.5.8.1 F&amp;W Register'!Print_Area" display="Back to MFMA-7.1 F&amp;W Register" xr:uid="{00000000-0004-0000-3E00-000000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92D050"/>
  </sheetPr>
  <dimension ref="A1:H26"/>
  <sheetViews>
    <sheetView topLeftCell="A5" zoomScale="90" zoomScaleNormal="90" workbookViewId="0">
      <selection activeCell="A5" sqref="A1:XFD1048576"/>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5.6640625" style="2" bestFit="1" customWidth="1"/>
    <col min="6" max="6" width="11.1093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424"/>
      <c r="F1" s="281"/>
      <c r="G1" s="281"/>
      <c r="H1" s="281"/>
    </row>
    <row r="2" spans="1:8" x14ac:dyDescent="0.3">
      <c r="A2" s="279" t="s">
        <v>137</v>
      </c>
      <c r="B2" s="280"/>
      <c r="C2" s="281"/>
      <c r="D2" s="281"/>
      <c r="E2" s="424"/>
      <c r="F2" s="281"/>
      <c r="G2" s="281"/>
      <c r="H2" s="281"/>
    </row>
    <row r="3" spans="1:8" x14ac:dyDescent="0.3">
      <c r="A3" s="281"/>
      <c r="B3" s="280"/>
      <c r="C3" s="281"/>
      <c r="D3" s="281"/>
      <c r="E3" s="424"/>
      <c r="F3" s="281"/>
      <c r="G3" s="281"/>
      <c r="H3" s="281"/>
    </row>
    <row r="4" spans="1:8" x14ac:dyDescent="0.3">
      <c r="A4" s="384" t="s">
        <v>163</v>
      </c>
      <c r="B4" s="384"/>
      <c r="C4" s="384"/>
      <c r="D4" s="384"/>
      <c r="E4" s="384"/>
      <c r="F4" s="384"/>
      <c r="G4" s="281"/>
      <c r="H4" s="281"/>
    </row>
    <row r="5" spans="1:8" x14ac:dyDescent="0.3">
      <c r="A5" s="281"/>
      <c r="B5" s="280"/>
      <c r="C5" s="281"/>
      <c r="D5" s="281"/>
      <c r="E5" s="424"/>
      <c r="F5" s="281"/>
      <c r="G5" s="281"/>
      <c r="H5" s="281"/>
    </row>
    <row r="6" spans="1:8" ht="27.6" x14ac:dyDescent="0.3">
      <c r="A6" s="282" t="s">
        <v>138</v>
      </c>
      <c r="B6" s="283" t="s">
        <v>139</v>
      </c>
      <c r="C6" s="284" t="s">
        <v>140</v>
      </c>
      <c r="D6" s="285" t="s">
        <v>141</v>
      </c>
      <c r="E6" s="282" t="s">
        <v>142</v>
      </c>
      <c r="F6" s="287" t="s">
        <v>143</v>
      </c>
      <c r="G6" s="288" t="s">
        <v>144</v>
      </c>
      <c r="H6" s="288" t="s">
        <v>157</v>
      </c>
    </row>
    <row r="7" spans="1:8" x14ac:dyDescent="0.3">
      <c r="A7" s="333" t="s">
        <v>145</v>
      </c>
      <c r="B7" s="334" t="s">
        <v>276</v>
      </c>
      <c r="C7" s="335" t="s">
        <v>146</v>
      </c>
      <c r="D7" s="336">
        <v>124854</v>
      </c>
      <c r="E7" s="425" t="s">
        <v>147</v>
      </c>
      <c r="F7" s="337">
        <v>3948.3</v>
      </c>
      <c r="G7" s="338" t="s">
        <v>148</v>
      </c>
      <c r="H7" s="338" t="s">
        <v>158</v>
      </c>
    </row>
    <row r="8" spans="1:8" x14ac:dyDescent="0.3">
      <c r="A8" s="333" t="s">
        <v>145</v>
      </c>
      <c r="B8" s="334" t="s">
        <v>277</v>
      </c>
      <c r="C8" s="335" t="s">
        <v>146</v>
      </c>
      <c r="D8" s="336">
        <v>125050</v>
      </c>
      <c r="E8" s="425" t="s">
        <v>147</v>
      </c>
      <c r="F8" s="337">
        <v>6.35</v>
      </c>
      <c r="G8" s="338" t="s">
        <v>148</v>
      </c>
      <c r="H8" s="338" t="s">
        <v>158</v>
      </c>
    </row>
    <row r="9" spans="1:8" x14ac:dyDescent="0.3">
      <c r="A9" s="333" t="s">
        <v>145</v>
      </c>
      <c r="B9" s="334" t="s">
        <v>279</v>
      </c>
      <c r="C9" s="335" t="s">
        <v>146</v>
      </c>
      <c r="D9" s="336">
        <v>125975</v>
      </c>
      <c r="E9" s="425" t="s">
        <v>147</v>
      </c>
      <c r="F9" s="337">
        <v>154.18</v>
      </c>
      <c r="G9" s="338" t="s">
        <v>148</v>
      </c>
      <c r="H9" s="338" t="s">
        <v>158</v>
      </c>
    </row>
    <row r="10" spans="1:8" x14ac:dyDescent="0.3">
      <c r="A10" s="333" t="s">
        <v>145</v>
      </c>
      <c r="B10" s="334" t="s">
        <v>279</v>
      </c>
      <c r="C10" s="335" t="s">
        <v>146</v>
      </c>
      <c r="D10" s="336">
        <v>125977</v>
      </c>
      <c r="E10" s="425" t="s">
        <v>147</v>
      </c>
      <c r="F10" s="337">
        <v>3303.07</v>
      </c>
      <c r="G10" s="338" t="s">
        <v>148</v>
      </c>
      <c r="H10" s="338" t="s">
        <v>158</v>
      </c>
    </row>
    <row r="11" spans="1:8" x14ac:dyDescent="0.3">
      <c r="A11" s="333" t="s">
        <v>145</v>
      </c>
      <c r="B11" s="334" t="s">
        <v>280</v>
      </c>
      <c r="C11" s="335" t="s">
        <v>146</v>
      </c>
      <c r="D11" s="336">
        <v>126144</v>
      </c>
      <c r="E11" s="425" t="s">
        <v>147</v>
      </c>
      <c r="F11" s="337">
        <v>37.47</v>
      </c>
      <c r="G11" s="338" t="s">
        <v>148</v>
      </c>
      <c r="H11" s="338" t="s">
        <v>158</v>
      </c>
    </row>
    <row r="12" spans="1:8" x14ac:dyDescent="0.3">
      <c r="A12" s="333" t="s">
        <v>145</v>
      </c>
      <c r="B12" s="334" t="s">
        <v>296</v>
      </c>
      <c r="C12" s="335" t="s">
        <v>146</v>
      </c>
      <c r="D12" s="336">
        <v>126569</v>
      </c>
      <c r="E12" s="425" t="s">
        <v>147</v>
      </c>
      <c r="F12" s="337">
        <v>2.5499999999999998</v>
      </c>
      <c r="G12" s="338" t="s">
        <v>148</v>
      </c>
      <c r="H12" s="338" t="s">
        <v>158</v>
      </c>
    </row>
    <row r="13" spans="1:8" x14ac:dyDescent="0.3">
      <c r="A13" s="333" t="s">
        <v>145</v>
      </c>
      <c r="B13" s="334" t="s">
        <v>297</v>
      </c>
      <c r="C13" s="335" t="s">
        <v>146</v>
      </c>
      <c r="D13" s="336">
        <v>126935</v>
      </c>
      <c r="E13" s="425" t="s">
        <v>147</v>
      </c>
      <c r="F13" s="337">
        <v>1501.89</v>
      </c>
      <c r="G13" s="338" t="s">
        <v>148</v>
      </c>
      <c r="H13" s="338" t="s">
        <v>158</v>
      </c>
    </row>
    <row r="14" spans="1:8" x14ac:dyDescent="0.3">
      <c r="A14" s="333" t="s">
        <v>145</v>
      </c>
      <c r="B14" s="334" t="s">
        <v>298</v>
      </c>
      <c r="C14" s="335" t="s">
        <v>146</v>
      </c>
      <c r="D14" s="336">
        <v>127292</v>
      </c>
      <c r="E14" s="425" t="s">
        <v>147</v>
      </c>
      <c r="F14" s="337">
        <v>0.56000000000000005</v>
      </c>
      <c r="G14" s="338" t="s">
        <v>148</v>
      </c>
      <c r="H14" s="338" t="s">
        <v>158</v>
      </c>
    </row>
    <row r="15" spans="1:8" x14ac:dyDescent="0.3">
      <c r="A15" s="333" t="s">
        <v>145</v>
      </c>
      <c r="B15" s="334" t="s">
        <v>298</v>
      </c>
      <c r="C15" s="335" t="s">
        <v>146</v>
      </c>
      <c r="D15" s="336">
        <v>127293</v>
      </c>
      <c r="E15" s="425" t="s">
        <v>147</v>
      </c>
      <c r="F15" s="337">
        <v>44.44</v>
      </c>
      <c r="G15" s="338" t="s">
        <v>148</v>
      </c>
      <c r="H15" s="338" t="s">
        <v>158</v>
      </c>
    </row>
    <row r="16" spans="1:8" x14ac:dyDescent="0.3">
      <c r="A16" s="333" t="s">
        <v>145</v>
      </c>
      <c r="B16" s="334" t="s">
        <v>327</v>
      </c>
      <c r="C16" s="335" t="s">
        <v>146</v>
      </c>
      <c r="D16" s="336">
        <v>127826</v>
      </c>
      <c r="E16" s="425" t="s">
        <v>147</v>
      </c>
      <c r="F16" s="337">
        <v>44.75</v>
      </c>
      <c r="G16" s="338" t="s">
        <v>148</v>
      </c>
      <c r="H16" s="338" t="s">
        <v>158</v>
      </c>
    </row>
    <row r="17" spans="1:8" x14ac:dyDescent="0.3">
      <c r="A17" s="333" t="s">
        <v>145</v>
      </c>
      <c r="B17" s="334" t="s">
        <v>328</v>
      </c>
      <c r="C17" s="335" t="s">
        <v>146</v>
      </c>
      <c r="D17" s="336">
        <v>127948</v>
      </c>
      <c r="E17" s="425" t="s">
        <v>147</v>
      </c>
      <c r="F17" s="337">
        <v>55.06</v>
      </c>
      <c r="G17" s="338" t="s">
        <v>148</v>
      </c>
      <c r="H17" s="338" t="s">
        <v>158</v>
      </c>
    </row>
    <row r="18" spans="1:8" x14ac:dyDescent="0.3">
      <c r="A18" s="333" t="s">
        <v>145</v>
      </c>
      <c r="B18" s="334" t="s">
        <v>328</v>
      </c>
      <c r="C18" s="335" t="s">
        <v>146</v>
      </c>
      <c r="D18" s="336">
        <v>127950</v>
      </c>
      <c r="E18" s="425" t="s">
        <v>147</v>
      </c>
      <c r="F18" s="337">
        <v>197.5</v>
      </c>
      <c r="G18" s="338" t="s">
        <v>148</v>
      </c>
      <c r="H18" s="338" t="s">
        <v>158</v>
      </c>
    </row>
    <row r="19" spans="1:8" x14ac:dyDescent="0.3">
      <c r="A19" s="333" t="s">
        <v>145</v>
      </c>
      <c r="B19" s="334" t="s">
        <v>328</v>
      </c>
      <c r="C19" s="335" t="s">
        <v>146</v>
      </c>
      <c r="D19" s="336">
        <v>127953</v>
      </c>
      <c r="E19" s="425" t="s">
        <v>147</v>
      </c>
      <c r="F19" s="337">
        <v>88.39</v>
      </c>
      <c r="G19" s="338" t="s">
        <v>148</v>
      </c>
      <c r="H19" s="338" t="s">
        <v>158</v>
      </c>
    </row>
    <row r="20" spans="1:8" x14ac:dyDescent="0.3">
      <c r="A20" s="333" t="s">
        <v>145</v>
      </c>
      <c r="B20" s="334" t="s">
        <v>328</v>
      </c>
      <c r="C20" s="335" t="s">
        <v>146</v>
      </c>
      <c r="D20" s="336">
        <v>127954</v>
      </c>
      <c r="E20" s="425" t="s">
        <v>147</v>
      </c>
      <c r="F20" s="337">
        <v>110.7</v>
      </c>
      <c r="G20" s="338" t="s">
        <v>148</v>
      </c>
      <c r="H20" s="338" t="s">
        <v>158</v>
      </c>
    </row>
    <row r="21" spans="1:8" x14ac:dyDescent="0.3">
      <c r="A21" s="333" t="s">
        <v>145</v>
      </c>
      <c r="B21" s="334" t="s">
        <v>329</v>
      </c>
      <c r="C21" s="335" t="s">
        <v>146</v>
      </c>
      <c r="D21" s="336">
        <v>128111</v>
      </c>
      <c r="E21" s="425" t="s">
        <v>147</v>
      </c>
      <c r="F21" s="337">
        <v>1635.38</v>
      </c>
      <c r="G21" s="338" t="s">
        <v>148</v>
      </c>
      <c r="H21" s="338" t="s">
        <v>158</v>
      </c>
    </row>
    <row r="22" spans="1:8" x14ac:dyDescent="0.3">
      <c r="A22" s="333" t="s">
        <v>145</v>
      </c>
      <c r="B22" s="334" t="s">
        <v>337</v>
      </c>
      <c r="C22" s="335" t="s">
        <v>146</v>
      </c>
      <c r="D22" s="336" t="s">
        <v>339</v>
      </c>
      <c r="E22" s="425" t="s">
        <v>147</v>
      </c>
      <c r="F22" s="337">
        <v>12711.13</v>
      </c>
      <c r="G22" s="338" t="s">
        <v>148</v>
      </c>
      <c r="H22" s="338" t="s">
        <v>158</v>
      </c>
    </row>
    <row r="23" spans="1:8" x14ac:dyDescent="0.3">
      <c r="A23" s="333" t="s">
        <v>145</v>
      </c>
      <c r="B23" s="334" t="s">
        <v>337</v>
      </c>
      <c r="C23" s="335" t="s">
        <v>146</v>
      </c>
      <c r="D23" s="336" t="s">
        <v>358</v>
      </c>
      <c r="E23" s="425" t="s">
        <v>147</v>
      </c>
      <c r="F23" s="337">
        <v>2.42</v>
      </c>
      <c r="G23" s="338" t="s">
        <v>148</v>
      </c>
      <c r="H23" s="338" t="s">
        <v>158</v>
      </c>
    </row>
    <row r="24" spans="1:8" x14ac:dyDescent="0.3">
      <c r="A24" s="333" t="s">
        <v>145</v>
      </c>
      <c r="B24" s="334" t="s">
        <v>337</v>
      </c>
      <c r="C24" s="335" t="s">
        <v>146</v>
      </c>
      <c r="D24" s="336" t="s">
        <v>357</v>
      </c>
      <c r="E24" s="425" t="s">
        <v>147</v>
      </c>
      <c r="F24" s="337">
        <v>23651.14</v>
      </c>
      <c r="G24" s="338" t="s">
        <v>148</v>
      </c>
      <c r="H24" s="338" t="s">
        <v>158</v>
      </c>
    </row>
    <row r="25" spans="1:8" ht="15" thickBot="1" x14ac:dyDescent="0.35">
      <c r="F25" s="374">
        <f>SUM(F7:F24)</f>
        <v>47495.28</v>
      </c>
    </row>
    <row r="26" spans="1:8" ht="15" thickTop="1" x14ac:dyDescent="0.3"/>
  </sheetData>
  <hyperlinks>
    <hyperlink ref="A1" location="'C.5.8.1 F&amp;W Register'!Print_Area" display="Back to MFMA-7.1 F&amp;W Register" xr:uid="{00000000-0004-0000-3F00-000000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92D050"/>
  </sheetPr>
  <dimension ref="A1:H14"/>
  <sheetViews>
    <sheetView workbookViewId="0">
      <selection sqref="A1:XFD1048576"/>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0.109375" style="1" bestFit="1" customWidth="1"/>
    <col min="5" max="5" width="24.33203125" style="1" customWidth="1"/>
    <col min="6" max="6" width="12.88671875"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333" t="s">
        <v>145</v>
      </c>
      <c r="B7" s="334" t="s">
        <v>278</v>
      </c>
      <c r="C7" s="335" t="s">
        <v>200</v>
      </c>
      <c r="D7" s="336">
        <v>125245</v>
      </c>
      <c r="E7" s="293" t="s">
        <v>147</v>
      </c>
      <c r="F7" s="337">
        <v>107.61</v>
      </c>
      <c r="G7" s="338" t="s">
        <v>148</v>
      </c>
      <c r="H7" s="338" t="s">
        <v>158</v>
      </c>
    </row>
    <row r="8" spans="1:8" x14ac:dyDescent="0.3">
      <c r="A8" s="333" t="s">
        <v>145</v>
      </c>
      <c r="B8" s="334" t="s">
        <v>299</v>
      </c>
      <c r="C8" s="335" t="s">
        <v>200</v>
      </c>
      <c r="D8" s="336">
        <v>127261</v>
      </c>
      <c r="E8" s="293" t="s">
        <v>147</v>
      </c>
      <c r="F8" s="337">
        <v>221.23</v>
      </c>
      <c r="G8" s="338" t="s">
        <v>148</v>
      </c>
      <c r="H8" s="338" t="s">
        <v>158</v>
      </c>
    </row>
    <row r="9" spans="1:8" x14ac:dyDescent="0.3">
      <c r="A9" s="333" t="s">
        <v>145</v>
      </c>
      <c r="B9" s="334" t="s">
        <v>298</v>
      </c>
      <c r="C9" s="335" t="s">
        <v>200</v>
      </c>
      <c r="D9" s="336">
        <v>127316</v>
      </c>
      <c r="E9" s="293" t="s">
        <v>147</v>
      </c>
      <c r="F9" s="337">
        <v>89.91</v>
      </c>
      <c r="G9" s="338" t="s">
        <v>148</v>
      </c>
      <c r="H9" s="338" t="s">
        <v>158</v>
      </c>
    </row>
    <row r="10" spans="1:8" x14ac:dyDescent="0.3">
      <c r="A10" s="289" t="s">
        <v>145</v>
      </c>
      <c r="B10" s="290" t="s">
        <v>337</v>
      </c>
      <c r="C10" s="291" t="s">
        <v>200</v>
      </c>
      <c r="D10" s="385" t="s">
        <v>338</v>
      </c>
      <c r="E10" s="293" t="s">
        <v>147</v>
      </c>
      <c r="F10" s="278">
        <v>579.11</v>
      </c>
      <c r="G10" s="295" t="s">
        <v>148</v>
      </c>
      <c r="H10" s="295" t="s">
        <v>158</v>
      </c>
    </row>
    <row r="11" spans="1:8" x14ac:dyDescent="0.3">
      <c r="A11" s="289" t="s">
        <v>145</v>
      </c>
      <c r="B11" s="290" t="s">
        <v>337</v>
      </c>
      <c r="C11" s="291" t="s">
        <v>200</v>
      </c>
      <c r="D11" s="385" t="s">
        <v>356</v>
      </c>
      <c r="E11" s="297" t="s">
        <v>147</v>
      </c>
      <c r="F11" s="278">
        <v>102.87</v>
      </c>
      <c r="G11" s="295" t="s">
        <v>148</v>
      </c>
      <c r="H11" s="295" t="s">
        <v>158</v>
      </c>
    </row>
    <row r="12" spans="1:8" x14ac:dyDescent="0.3">
      <c r="A12" s="289" t="s">
        <v>145</v>
      </c>
      <c r="B12" s="290" t="s">
        <v>337</v>
      </c>
      <c r="C12" s="291" t="s">
        <v>200</v>
      </c>
      <c r="D12" s="385" t="s">
        <v>355</v>
      </c>
      <c r="E12" s="297" t="s">
        <v>147</v>
      </c>
      <c r="F12" s="278">
        <v>155.63</v>
      </c>
      <c r="G12" s="295" t="s">
        <v>148</v>
      </c>
      <c r="H12" s="295" t="s">
        <v>158</v>
      </c>
    </row>
    <row r="13" spans="1:8" ht="15" thickBot="1" x14ac:dyDescent="0.35">
      <c r="F13" s="374">
        <f>SUM(F7:F12)</f>
        <v>1256.3600000000001</v>
      </c>
    </row>
    <row r="14" spans="1:8" ht="15" thickTop="1" x14ac:dyDescent="0.3"/>
  </sheetData>
  <hyperlinks>
    <hyperlink ref="A1" location="'C.5.8.1 F&amp;W Register'!Print_Area" display="Back to MFMA-7.1 F&amp;W Register" xr:uid="{00000000-0004-0000-4000-000000000000}"/>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FFFF00"/>
  </sheetPr>
  <dimension ref="A1:H22"/>
  <sheetViews>
    <sheetView workbookViewId="0"/>
  </sheetViews>
  <sheetFormatPr defaultColWidth="9.109375" defaultRowHeight="14.4" x14ac:dyDescent="0.3"/>
  <cols>
    <col min="1" max="1" width="31.33203125" style="1" bestFit="1" customWidth="1"/>
    <col min="2" max="2" width="10.6640625" style="1" bestFit="1" customWidth="1"/>
    <col min="3" max="3" width="21.88671875" style="1" bestFit="1" customWidth="1"/>
    <col min="4" max="4" width="11.44140625" style="1" bestFit="1" customWidth="1"/>
    <col min="5" max="5" width="26.33203125" style="1" customWidth="1"/>
    <col min="6" max="6" width="12.88671875" style="1" bestFit="1" customWidth="1"/>
    <col min="7" max="7" width="18.44140625" style="1" customWidth="1"/>
    <col min="8" max="8" width="73.44140625" style="1" customWidth="1"/>
    <col min="9" max="16384" width="9.109375" style="1"/>
  </cols>
  <sheetData>
    <row r="1" spans="1:8" x14ac:dyDescent="0.3">
      <c r="A1" s="422" t="s">
        <v>706</v>
      </c>
      <c r="B1" s="340"/>
      <c r="C1" s="340"/>
      <c r="D1" s="340"/>
      <c r="E1" s="340"/>
      <c r="F1" s="340"/>
      <c r="G1" s="281"/>
      <c r="H1" s="281"/>
    </row>
    <row r="2" spans="1:8" x14ac:dyDescent="0.3">
      <c r="A2" s="207" t="s">
        <v>137</v>
      </c>
      <c r="B2" s="341"/>
      <c r="C2" s="340"/>
      <c r="D2" s="340"/>
      <c r="E2" s="340"/>
      <c r="F2" s="340"/>
      <c r="G2" s="281"/>
      <c r="H2" s="281"/>
    </row>
    <row r="3" spans="1:8" x14ac:dyDescent="0.3">
      <c r="A3" s="340"/>
      <c r="B3" s="341"/>
      <c r="C3" s="340"/>
      <c r="D3" s="340"/>
      <c r="E3" s="340"/>
      <c r="F3" s="340"/>
      <c r="G3" s="281"/>
      <c r="H3" s="281"/>
    </row>
    <row r="4" spans="1:8" x14ac:dyDescent="0.3">
      <c r="A4" s="885" t="s">
        <v>163</v>
      </c>
      <c r="B4" s="885"/>
      <c r="C4" s="885"/>
      <c r="D4" s="885"/>
      <c r="E4" s="885"/>
      <c r="F4" s="885"/>
      <c r="G4" s="281"/>
      <c r="H4" s="281"/>
    </row>
    <row r="5" spans="1:8" x14ac:dyDescent="0.3">
      <c r="A5" s="340"/>
      <c r="B5" s="341"/>
      <c r="C5" s="340"/>
      <c r="D5" s="340"/>
      <c r="E5" s="340"/>
      <c r="F5" s="340"/>
      <c r="G5" s="281"/>
      <c r="H5" s="281"/>
    </row>
    <row r="6" spans="1:8" x14ac:dyDescent="0.3">
      <c r="A6" s="342" t="s">
        <v>138</v>
      </c>
      <c r="B6" s="343" t="s">
        <v>139</v>
      </c>
      <c r="C6" s="344" t="s">
        <v>140</v>
      </c>
      <c r="D6" s="345" t="s">
        <v>141</v>
      </c>
      <c r="E6" s="346" t="s">
        <v>142</v>
      </c>
      <c r="F6" s="347" t="s">
        <v>143</v>
      </c>
      <c r="G6" s="288" t="s">
        <v>144</v>
      </c>
      <c r="H6" s="288" t="s">
        <v>157</v>
      </c>
    </row>
    <row r="7" spans="1:8" s="80" customFormat="1" ht="28.8" x14ac:dyDescent="0.3">
      <c r="A7" s="348" t="s">
        <v>145</v>
      </c>
      <c r="B7" s="349">
        <v>42551</v>
      </c>
      <c r="C7" s="370" t="s">
        <v>254</v>
      </c>
      <c r="D7" s="388"/>
      <c r="E7" s="352" t="s">
        <v>242</v>
      </c>
      <c r="F7" s="389">
        <v>175911.83</v>
      </c>
      <c r="G7" s="361" t="s">
        <v>148</v>
      </c>
      <c r="H7" s="361" t="s">
        <v>158</v>
      </c>
    </row>
    <row r="8" spans="1:8" s="80" customFormat="1" x14ac:dyDescent="0.3">
      <c r="A8" s="348" t="s">
        <v>145</v>
      </c>
      <c r="B8" s="349"/>
      <c r="C8" s="387"/>
      <c r="D8" s="388"/>
      <c r="E8" s="352"/>
      <c r="F8" s="389"/>
      <c r="G8" s="361"/>
      <c r="H8" s="361"/>
    </row>
    <row r="9" spans="1:8" x14ac:dyDescent="0.3">
      <c r="A9" s="348" t="s">
        <v>145</v>
      </c>
      <c r="B9" s="349"/>
      <c r="C9" s="387"/>
      <c r="D9" s="370"/>
      <c r="E9" s="352"/>
      <c r="F9" s="389"/>
      <c r="G9" s="361"/>
      <c r="H9" s="361"/>
    </row>
    <row r="10" spans="1:8" x14ac:dyDescent="0.3">
      <c r="A10" s="348" t="s">
        <v>145</v>
      </c>
      <c r="B10" s="349"/>
      <c r="C10" s="387"/>
      <c r="D10" s="370"/>
      <c r="E10" s="352"/>
      <c r="F10" s="389"/>
      <c r="G10" s="361"/>
      <c r="H10" s="361"/>
    </row>
    <row r="11" spans="1:8" x14ac:dyDescent="0.3">
      <c r="A11" s="348" t="s">
        <v>145</v>
      </c>
      <c r="B11" s="349"/>
      <c r="C11" s="387"/>
      <c r="D11" s="370"/>
      <c r="E11" s="352"/>
      <c r="F11" s="389"/>
      <c r="G11" s="338"/>
      <c r="H11" s="338"/>
    </row>
    <row r="12" spans="1:8" x14ac:dyDescent="0.3">
      <c r="A12" s="348"/>
      <c r="B12" s="349"/>
      <c r="C12" s="350"/>
      <c r="D12" s="359"/>
      <c r="E12" s="352"/>
      <c r="F12" s="360"/>
      <c r="G12" s="295"/>
      <c r="H12" s="295"/>
    </row>
    <row r="13" spans="1:8" ht="15" thickBot="1" x14ac:dyDescent="0.35">
      <c r="A13" s="340"/>
      <c r="B13" s="340"/>
      <c r="C13" s="340"/>
      <c r="D13" s="340"/>
      <c r="E13" s="340"/>
      <c r="F13" s="371">
        <f>SUM(F7:F12)</f>
        <v>175911.83</v>
      </c>
    </row>
    <row r="14" spans="1:8" ht="15" thickTop="1" x14ac:dyDescent="0.3">
      <c r="C14" s="243"/>
    </row>
    <row r="15" spans="1:8" x14ac:dyDescent="0.3">
      <c r="C15" s="243"/>
      <c r="F15" s="243"/>
    </row>
    <row r="16" spans="1:8" x14ac:dyDescent="0.3">
      <c r="C16" s="243"/>
      <c r="D16" s="421"/>
      <c r="F16" s="243"/>
    </row>
    <row r="17" spans="3:6" x14ac:dyDescent="0.3">
      <c r="C17" s="243"/>
      <c r="F17" s="243"/>
    </row>
    <row r="18" spans="3:6" x14ac:dyDescent="0.3">
      <c r="C18" s="243"/>
      <c r="D18" s="415"/>
      <c r="F18" s="243"/>
    </row>
    <row r="19" spans="3:6" x14ac:dyDescent="0.3">
      <c r="C19" s="243"/>
      <c r="F19" s="243"/>
    </row>
    <row r="20" spans="3:6" x14ac:dyDescent="0.3">
      <c r="C20" s="243"/>
      <c r="F20" s="243"/>
    </row>
    <row r="21" spans="3:6" x14ac:dyDescent="0.3">
      <c r="F21" s="243"/>
    </row>
    <row r="22" spans="3:6" x14ac:dyDescent="0.3">
      <c r="F22" s="243"/>
    </row>
  </sheetData>
  <mergeCells count="1">
    <mergeCell ref="A4:F4"/>
  </mergeCells>
  <hyperlinks>
    <hyperlink ref="A1" location="'C.5.11.1 F&amp;W Register'!A1" display="C.5.11.1 F&amp;W Register" xr:uid="{00000000-0004-0000-4100-000000000000}"/>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FFFF00"/>
  </sheetPr>
  <dimension ref="A1:DT47"/>
  <sheetViews>
    <sheetView topLeftCell="A34" workbookViewId="0">
      <selection activeCell="C48" sqref="C48"/>
    </sheetView>
  </sheetViews>
  <sheetFormatPr defaultRowHeight="14.4" x14ac:dyDescent="0.3"/>
  <cols>
    <col min="1" max="1" width="31.33203125" bestFit="1" customWidth="1"/>
    <col min="2" max="2" width="16.109375" bestFit="1" customWidth="1"/>
    <col min="3" max="3" width="14.6640625" bestFit="1" customWidth="1"/>
    <col min="4" max="4" width="10.109375" bestFit="1" customWidth="1"/>
    <col min="5" max="5" width="24.33203125" customWidth="1"/>
    <col min="6" max="6" width="12.88671875" customWidth="1"/>
    <col min="7" max="7" width="18.44140625" customWidth="1"/>
    <col min="8" max="8" width="73.44140625" customWidth="1"/>
  </cols>
  <sheetData>
    <row r="1" spans="1:9" x14ac:dyDescent="0.3">
      <c r="A1" s="326" t="s">
        <v>223</v>
      </c>
      <c r="B1" s="281"/>
      <c r="C1" s="281"/>
      <c r="D1" s="281"/>
      <c r="E1" s="281"/>
      <c r="F1" s="281"/>
      <c r="G1" s="281"/>
      <c r="H1" s="281"/>
      <c r="I1" s="1"/>
    </row>
    <row r="2" spans="1:9" x14ac:dyDescent="0.3">
      <c r="A2" s="279" t="s">
        <v>137</v>
      </c>
      <c r="B2" s="280"/>
      <c r="C2" s="281"/>
      <c r="D2" s="281"/>
      <c r="E2" s="281"/>
      <c r="F2" s="281"/>
      <c r="G2" s="281"/>
      <c r="H2" s="281"/>
      <c r="I2" s="1"/>
    </row>
    <row r="3" spans="1:9" x14ac:dyDescent="0.3">
      <c r="A3" s="281"/>
      <c r="B3" s="280"/>
      <c r="C3" s="281"/>
      <c r="D3" s="281"/>
      <c r="E3" s="281"/>
      <c r="F3" s="281"/>
      <c r="G3" s="281"/>
      <c r="H3" s="281"/>
      <c r="I3" s="1"/>
    </row>
    <row r="4" spans="1:9" x14ac:dyDescent="0.3">
      <c r="A4" s="384" t="s">
        <v>163</v>
      </c>
      <c r="B4" s="384"/>
      <c r="C4" s="384"/>
      <c r="D4" s="384"/>
      <c r="E4" s="384"/>
      <c r="F4" s="384"/>
      <c r="G4" s="281"/>
      <c r="H4" s="281"/>
      <c r="I4" s="1"/>
    </row>
    <row r="5" spans="1:9" x14ac:dyDescent="0.3">
      <c r="A5" s="281"/>
      <c r="B5" s="280"/>
      <c r="C5" s="281"/>
      <c r="D5" s="281"/>
      <c r="E5" s="281"/>
      <c r="F5" s="281"/>
      <c r="G5" s="281"/>
      <c r="H5" s="281"/>
    </row>
    <row r="6" spans="1:9" x14ac:dyDescent="0.3">
      <c r="A6" s="282" t="s">
        <v>138</v>
      </c>
      <c r="B6" s="283" t="s">
        <v>139</v>
      </c>
      <c r="C6" s="284" t="s">
        <v>140</v>
      </c>
      <c r="D6" s="285" t="s">
        <v>141</v>
      </c>
      <c r="E6" s="286" t="s">
        <v>142</v>
      </c>
      <c r="F6" s="287" t="s">
        <v>143</v>
      </c>
      <c r="G6" s="288" t="s">
        <v>144</v>
      </c>
      <c r="H6" s="288" t="s">
        <v>157</v>
      </c>
    </row>
    <row r="7" spans="1:9" x14ac:dyDescent="0.3">
      <c r="A7" s="289" t="s">
        <v>145</v>
      </c>
      <c r="B7" s="290">
        <v>42207</v>
      </c>
      <c r="C7" s="291" t="s">
        <v>146</v>
      </c>
      <c r="D7" s="292">
        <v>107375</v>
      </c>
      <c r="E7" s="293" t="s">
        <v>147</v>
      </c>
      <c r="F7" s="294">
        <v>212.61</v>
      </c>
      <c r="G7" s="295" t="s">
        <v>148</v>
      </c>
      <c r="H7" s="295" t="s">
        <v>158</v>
      </c>
    </row>
    <row r="8" spans="1:9" x14ac:dyDescent="0.3">
      <c r="A8" s="289" t="s">
        <v>145</v>
      </c>
      <c r="B8" s="290">
        <v>42214</v>
      </c>
      <c r="C8" s="291" t="s">
        <v>146</v>
      </c>
      <c r="D8" s="292">
        <v>107626</v>
      </c>
      <c r="E8" s="293" t="s">
        <v>147</v>
      </c>
      <c r="F8" s="294">
        <v>83.48</v>
      </c>
      <c r="G8" s="295" t="s">
        <v>148</v>
      </c>
      <c r="H8" s="295" t="s">
        <v>158</v>
      </c>
    </row>
    <row r="9" spans="1:9" x14ac:dyDescent="0.3">
      <c r="A9" s="289" t="s">
        <v>145</v>
      </c>
      <c r="B9" s="290">
        <v>42221</v>
      </c>
      <c r="C9" s="291" t="s">
        <v>146</v>
      </c>
      <c r="D9" s="336">
        <v>107884</v>
      </c>
      <c r="E9" s="293" t="s">
        <v>147</v>
      </c>
      <c r="F9" s="337">
        <v>31.99</v>
      </c>
      <c r="G9" s="295" t="s">
        <v>148</v>
      </c>
      <c r="H9" s="295" t="s">
        <v>158</v>
      </c>
    </row>
    <row r="10" spans="1:9" x14ac:dyDescent="0.3">
      <c r="A10" s="363" t="s">
        <v>145</v>
      </c>
      <c r="B10" s="364">
        <v>42277</v>
      </c>
      <c r="C10" s="365" t="s">
        <v>146</v>
      </c>
      <c r="D10" s="366">
        <v>109743</v>
      </c>
      <c r="E10" s="367" t="s">
        <v>147</v>
      </c>
      <c r="F10" s="368">
        <v>175.52</v>
      </c>
      <c r="G10" s="369" t="s">
        <v>148</v>
      </c>
      <c r="H10" s="369" t="s">
        <v>158</v>
      </c>
    </row>
    <row r="11" spans="1:9" s="243" customFormat="1" x14ac:dyDescent="0.3">
      <c r="A11" s="289" t="s">
        <v>145</v>
      </c>
      <c r="B11" s="290">
        <v>42249</v>
      </c>
      <c r="C11" s="291" t="s">
        <v>146</v>
      </c>
      <c r="D11" s="296">
        <v>108684</v>
      </c>
      <c r="E11" s="297" t="s">
        <v>147</v>
      </c>
      <c r="F11" s="278">
        <v>60.42</v>
      </c>
      <c r="G11" s="295" t="s">
        <v>148</v>
      </c>
      <c r="H11" s="295" t="s">
        <v>158</v>
      </c>
    </row>
    <row r="12" spans="1:9" s="243" customFormat="1" x14ac:dyDescent="0.3">
      <c r="A12" s="363" t="s">
        <v>145</v>
      </c>
      <c r="B12" s="364">
        <v>42249</v>
      </c>
      <c r="C12" s="365" t="s">
        <v>146</v>
      </c>
      <c r="D12" s="366">
        <v>108685</v>
      </c>
      <c r="E12" s="373" t="s">
        <v>147</v>
      </c>
      <c r="F12" s="368">
        <v>290.85000000000002</v>
      </c>
      <c r="G12" s="369" t="s">
        <v>148</v>
      </c>
      <c r="H12" s="295" t="s">
        <v>158</v>
      </c>
    </row>
    <row r="13" spans="1:9" s="243" customFormat="1" x14ac:dyDescent="0.3">
      <c r="A13" s="289" t="s">
        <v>145</v>
      </c>
      <c r="B13" s="290">
        <v>42256</v>
      </c>
      <c r="C13" s="291" t="s">
        <v>146</v>
      </c>
      <c r="D13" s="296">
        <v>108973</v>
      </c>
      <c r="E13" s="297" t="s">
        <v>147</v>
      </c>
      <c r="F13" s="278">
        <v>3564</v>
      </c>
      <c r="G13" s="295" t="s">
        <v>148</v>
      </c>
      <c r="H13" s="295" t="s">
        <v>158</v>
      </c>
    </row>
    <row r="14" spans="1:9" s="243" customFormat="1" x14ac:dyDescent="0.3">
      <c r="A14" s="289" t="s">
        <v>145</v>
      </c>
      <c r="B14" s="290">
        <v>42305</v>
      </c>
      <c r="C14" s="291" t="s">
        <v>146</v>
      </c>
      <c r="D14" s="296">
        <v>110659</v>
      </c>
      <c r="E14" s="297" t="s">
        <v>147</v>
      </c>
      <c r="F14" s="278">
        <v>816.19</v>
      </c>
      <c r="G14" s="295" t="s">
        <v>148</v>
      </c>
      <c r="H14" s="295" t="s">
        <v>158</v>
      </c>
    </row>
    <row r="15" spans="1:9" s="243" customFormat="1" x14ac:dyDescent="0.3">
      <c r="A15" s="289" t="s">
        <v>145</v>
      </c>
      <c r="B15" s="290">
        <v>42298</v>
      </c>
      <c r="C15" s="291" t="s">
        <v>146</v>
      </c>
      <c r="D15" s="296">
        <v>110406</v>
      </c>
      <c r="E15" s="297" t="s">
        <v>147</v>
      </c>
      <c r="F15" s="278">
        <v>40.99</v>
      </c>
      <c r="G15" s="295" t="s">
        <v>148</v>
      </c>
      <c r="H15" s="295" t="s">
        <v>158</v>
      </c>
    </row>
    <row r="16" spans="1:9" s="243" customFormat="1" x14ac:dyDescent="0.3">
      <c r="A16" s="363" t="s">
        <v>145</v>
      </c>
      <c r="B16" s="364">
        <v>42305</v>
      </c>
      <c r="C16" s="365" t="s">
        <v>146</v>
      </c>
      <c r="D16" s="366">
        <v>110657</v>
      </c>
      <c r="E16" s="373" t="s">
        <v>147</v>
      </c>
      <c r="F16" s="368">
        <v>1.43</v>
      </c>
      <c r="G16" s="369" t="s">
        <v>148</v>
      </c>
      <c r="H16" s="295" t="s">
        <v>158</v>
      </c>
    </row>
    <row r="17" spans="1:124" s="243" customFormat="1" x14ac:dyDescent="0.3">
      <c r="A17" s="363" t="s">
        <v>145</v>
      </c>
      <c r="B17" s="364">
        <v>42285</v>
      </c>
      <c r="C17" s="365" t="s">
        <v>146</v>
      </c>
      <c r="D17" s="296">
        <v>109931</v>
      </c>
      <c r="E17" s="373" t="s">
        <v>147</v>
      </c>
      <c r="F17" s="368">
        <f>0.46+83.48</f>
        <v>83.94</v>
      </c>
      <c r="G17" s="369" t="s">
        <v>148</v>
      </c>
      <c r="H17" s="295" t="s">
        <v>158</v>
      </c>
    </row>
    <row r="18" spans="1:124" s="243" customFormat="1" x14ac:dyDescent="0.3">
      <c r="A18" s="289" t="s">
        <v>145</v>
      </c>
      <c r="B18" s="290">
        <v>42285</v>
      </c>
      <c r="C18" s="291" t="s">
        <v>146</v>
      </c>
      <c r="D18" s="296">
        <v>109932</v>
      </c>
      <c r="E18" s="297" t="s">
        <v>147</v>
      </c>
      <c r="F18" s="278">
        <v>3732.99</v>
      </c>
      <c r="G18" s="295" t="s">
        <v>148</v>
      </c>
      <c r="H18" s="295" t="s">
        <v>158</v>
      </c>
    </row>
    <row r="19" spans="1:124" s="243" customFormat="1" x14ac:dyDescent="0.3">
      <c r="A19" s="289" t="s">
        <v>145</v>
      </c>
      <c r="B19" s="290">
        <v>42340</v>
      </c>
      <c r="C19" s="291" t="s">
        <v>146</v>
      </c>
      <c r="D19" s="296">
        <v>111847</v>
      </c>
      <c r="E19" s="297" t="s">
        <v>147</v>
      </c>
      <c r="F19" s="278">
        <v>1.31</v>
      </c>
      <c r="G19" s="295" t="s">
        <v>148</v>
      </c>
      <c r="H19" s="295" t="s">
        <v>158</v>
      </c>
    </row>
    <row r="20" spans="1:124" s="243" customFormat="1" x14ac:dyDescent="0.3">
      <c r="A20" s="363" t="s">
        <v>145</v>
      </c>
      <c r="B20" s="364">
        <v>42340</v>
      </c>
      <c r="C20" s="365" t="s">
        <v>146</v>
      </c>
      <c r="D20" s="366">
        <v>111845</v>
      </c>
      <c r="E20" s="373" t="s">
        <v>147</v>
      </c>
      <c r="F20" s="368">
        <v>108.05</v>
      </c>
      <c r="G20" s="369" t="s">
        <v>148</v>
      </c>
      <c r="H20" s="369" t="s">
        <v>158</v>
      </c>
    </row>
    <row r="21" spans="1:124" s="370" customFormat="1" x14ac:dyDescent="0.3">
      <c r="A21" s="363" t="s">
        <v>145</v>
      </c>
      <c r="B21" s="364">
        <v>42347</v>
      </c>
      <c r="C21" s="365" t="s">
        <v>146</v>
      </c>
      <c r="D21" s="366">
        <v>112254</v>
      </c>
      <c r="E21" s="373" t="s">
        <v>147</v>
      </c>
      <c r="F21" s="368">
        <v>38.71</v>
      </c>
      <c r="G21" s="369" t="s">
        <v>148</v>
      </c>
      <c r="H21" s="369" t="s">
        <v>158</v>
      </c>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c r="BM21" s="243"/>
      <c r="BN21" s="243"/>
      <c r="BO21" s="243"/>
      <c r="BP21" s="243"/>
      <c r="BQ21" s="243"/>
      <c r="BR21" s="243"/>
      <c r="BS21" s="243"/>
      <c r="BT21" s="243"/>
      <c r="BU21" s="243"/>
      <c r="BV21" s="243"/>
      <c r="BW21" s="243"/>
      <c r="BX21" s="243"/>
      <c r="BY21" s="243"/>
      <c r="BZ21" s="243"/>
      <c r="CA21" s="243"/>
      <c r="CB21" s="243"/>
      <c r="CC21" s="243"/>
      <c r="CD21" s="243"/>
      <c r="CE21" s="243"/>
      <c r="CF21" s="243"/>
      <c r="CG21" s="243"/>
      <c r="CH21" s="243"/>
      <c r="CI21" s="243"/>
      <c r="CJ21" s="243"/>
      <c r="CK21" s="243"/>
      <c r="CL21" s="243"/>
      <c r="CM21" s="243"/>
      <c r="CN21" s="243"/>
      <c r="CO21" s="243"/>
      <c r="CP21" s="243"/>
      <c r="CQ21" s="243"/>
      <c r="CR21" s="243"/>
      <c r="CS21" s="243"/>
      <c r="CT21" s="243"/>
      <c r="CU21" s="243"/>
      <c r="CV21" s="243"/>
      <c r="CW21" s="243"/>
      <c r="CX21" s="243"/>
      <c r="CY21" s="243"/>
      <c r="CZ21" s="243"/>
      <c r="DA21" s="243"/>
      <c r="DB21" s="243"/>
      <c r="DC21" s="243"/>
      <c r="DD21" s="243"/>
      <c r="DE21" s="243"/>
      <c r="DF21" s="243"/>
      <c r="DG21" s="243"/>
      <c r="DH21" s="243"/>
      <c r="DI21" s="243"/>
      <c r="DJ21" s="243"/>
      <c r="DK21" s="243"/>
      <c r="DL21" s="243"/>
      <c r="DM21" s="243"/>
      <c r="DN21" s="243"/>
      <c r="DO21" s="243"/>
      <c r="DP21" s="243"/>
      <c r="DQ21" s="243"/>
      <c r="DR21" s="243"/>
      <c r="DS21" s="243"/>
      <c r="DT21" s="243"/>
    </row>
    <row r="22" spans="1:124" s="370" customFormat="1" x14ac:dyDescent="0.3">
      <c r="A22" s="363" t="s">
        <v>145</v>
      </c>
      <c r="B22" s="290">
        <v>42397</v>
      </c>
      <c r="C22" s="291" t="s">
        <v>146</v>
      </c>
      <c r="D22" s="296">
        <v>113511</v>
      </c>
      <c r="E22" s="297" t="s">
        <v>147</v>
      </c>
      <c r="F22" s="278">
        <v>74.78</v>
      </c>
      <c r="G22" s="295" t="s">
        <v>148</v>
      </c>
      <c r="H22" s="295" t="s">
        <v>158</v>
      </c>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c r="BM22" s="243"/>
      <c r="BN22" s="243"/>
      <c r="BO22" s="243"/>
      <c r="BP22" s="243"/>
      <c r="BQ22" s="243"/>
      <c r="BR22" s="243"/>
      <c r="BS22" s="243"/>
      <c r="BT22" s="243"/>
      <c r="BU22" s="243"/>
      <c r="BV22" s="243"/>
      <c r="BW22" s="243"/>
      <c r="BX22" s="243"/>
      <c r="BY22" s="243"/>
      <c r="BZ22" s="243"/>
      <c r="CA22" s="243"/>
      <c r="CB22" s="243"/>
      <c r="CC22" s="243"/>
      <c r="CD22" s="243"/>
      <c r="CE22" s="243"/>
      <c r="CF22" s="243"/>
      <c r="CG22" s="243"/>
      <c r="CH22" s="243"/>
      <c r="CI22" s="243"/>
      <c r="CJ22" s="243"/>
      <c r="CK22" s="243"/>
      <c r="CL22" s="243"/>
      <c r="CM22" s="243"/>
      <c r="CN22" s="243"/>
      <c r="CO22" s="243"/>
      <c r="CP22" s="243"/>
      <c r="CQ22" s="243"/>
      <c r="CR22" s="243"/>
      <c r="CS22" s="243"/>
      <c r="CT22" s="243"/>
      <c r="CU22" s="243"/>
      <c r="CV22" s="243"/>
      <c r="CW22" s="243"/>
      <c r="CX22" s="243"/>
      <c r="CY22" s="243"/>
      <c r="CZ22" s="243"/>
      <c r="DA22" s="243"/>
      <c r="DB22" s="243"/>
      <c r="DC22" s="243"/>
      <c r="DD22" s="243"/>
      <c r="DE22" s="243"/>
      <c r="DF22" s="243"/>
      <c r="DG22" s="243"/>
      <c r="DH22" s="243"/>
      <c r="DI22" s="243"/>
      <c r="DJ22" s="243"/>
      <c r="DK22" s="243"/>
      <c r="DL22" s="243"/>
      <c r="DM22" s="243"/>
      <c r="DN22" s="243"/>
      <c r="DO22" s="243"/>
      <c r="DP22" s="243"/>
      <c r="DQ22" s="243"/>
      <c r="DR22" s="243"/>
      <c r="DS22" s="243"/>
      <c r="DT22" s="243"/>
    </row>
    <row r="23" spans="1:124" s="243" customFormat="1" x14ac:dyDescent="0.3">
      <c r="A23" s="363" t="s">
        <v>145</v>
      </c>
      <c r="B23" s="290">
        <v>42397</v>
      </c>
      <c r="C23" s="291" t="s">
        <v>146</v>
      </c>
      <c r="D23" s="296">
        <v>113512</v>
      </c>
      <c r="E23" s="297" t="s">
        <v>147</v>
      </c>
      <c r="F23" s="278">
        <v>115.79</v>
      </c>
      <c r="G23" s="295" t="s">
        <v>148</v>
      </c>
      <c r="H23" s="295" t="s">
        <v>158</v>
      </c>
    </row>
    <row r="24" spans="1:124" s="243" customFormat="1" x14ac:dyDescent="0.3">
      <c r="A24" s="363" t="s">
        <v>145</v>
      </c>
      <c r="B24" s="290">
        <v>42397</v>
      </c>
      <c r="C24" s="291" t="s">
        <v>146</v>
      </c>
      <c r="D24" s="296">
        <v>113513</v>
      </c>
      <c r="E24" s="297" t="s">
        <v>147</v>
      </c>
      <c r="F24" s="278">
        <v>138.55000000000001</v>
      </c>
      <c r="G24" s="295" t="s">
        <v>148</v>
      </c>
      <c r="H24" s="295" t="s">
        <v>158</v>
      </c>
    </row>
    <row r="25" spans="1:124" s="243" customFormat="1" x14ac:dyDescent="0.3">
      <c r="A25" s="363" t="s">
        <v>145</v>
      </c>
      <c r="B25" s="290">
        <v>42410</v>
      </c>
      <c r="C25" s="291" t="s">
        <v>146</v>
      </c>
      <c r="D25" s="296">
        <v>114412</v>
      </c>
      <c r="E25" s="297" t="s">
        <v>147</v>
      </c>
      <c r="F25" s="278">
        <v>51.71</v>
      </c>
      <c r="G25" s="295" t="s">
        <v>148</v>
      </c>
      <c r="H25" s="295" t="s">
        <v>158</v>
      </c>
    </row>
    <row r="26" spans="1:124" s="243" customFormat="1" x14ac:dyDescent="0.3">
      <c r="A26" s="363" t="s">
        <v>145</v>
      </c>
      <c r="B26" s="290">
        <v>42431</v>
      </c>
      <c r="C26" s="291" t="s">
        <v>146</v>
      </c>
      <c r="D26" s="296">
        <v>115051</v>
      </c>
      <c r="E26" s="297" t="s">
        <v>147</v>
      </c>
      <c r="F26" s="278">
        <v>6.56</v>
      </c>
      <c r="G26" s="295" t="s">
        <v>148</v>
      </c>
      <c r="H26" s="295" t="s">
        <v>158</v>
      </c>
    </row>
    <row r="27" spans="1:124" s="243" customFormat="1" x14ac:dyDescent="0.3">
      <c r="A27" s="363" t="s">
        <v>145</v>
      </c>
      <c r="B27" s="290">
        <v>42431</v>
      </c>
      <c r="C27" s="291" t="s">
        <v>146</v>
      </c>
      <c r="D27" s="296">
        <v>115049</v>
      </c>
      <c r="E27" s="297" t="s">
        <v>147</v>
      </c>
      <c r="F27" s="278">
        <v>77.19</v>
      </c>
      <c r="G27" s="295" t="s">
        <v>148</v>
      </c>
      <c r="H27" s="295" t="s">
        <v>158</v>
      </c>
    </row>
    <row r="28" spans="1:124" s="243" customFormat="1" x14ac:dyDescent="0.3">
      <c r="A28" s="363" t="s">
        <v>145</v>
      </c>
      <c r="B28" s="290">
        <v>42431</v>
      </c>
      <c r="C28" s="291" t="s">
        <v>146</v>
      </c>
      <c r="D28" s="296">
        <v>115052</v>
      </c>
      <c r="E28" s="297" t="s">
        <v>147</v>
      </c>
      <c r="F28" s="278">
        <v>1849.32</v>
      </c>
      <c r="G28" s="295" t="s">
        <v>148</v>
      </c>
      <c r="H28" s="295" t="s">
        <v>158</v>
      </c>
    </row>
    <row r="29" spans="1:124" s="243" customFormat="1" x14ac:dyDescent="0.3">
      <c r="A29" s="363" t="s">
        <v>145</v>
      </c>
      <c r="B29" s="290">
        <v>42445</v>
      </c>
      <c r="C29" s="291" t="s">
        <v>146</v>
      </c>
      <c r="D29" s="296">
        <v>115633</v>
      </c>
      <c r="E29" s="297" t="s">
        <v>147</v>
      </c>
      <c r="F29" s="278">
        <v>22.12</v>
      </c>
      <c r="G29" s="295" t="s">
        <v>148</v>
      </c>
      <c r="H29" s="295" t="s">
        <v>158</v>
      </c>
    </row>
    <row r="30" spans="1:124" s="243" customFormat="1" x14ac:dyDescent="0.3">
      <c r="A30" s="363" t="s">
        <v>145</v>
      </c>
      <c r="B30" s="290">
        <v>42445</v>
      </c>
      <c r="C30" s="291" t="s">
        <v>146</v>
      </c>
      <c r="D30" s="296">
        <v>115634</v>
      </c>
      <c r="E30" s="297" t="s">
        <v>147</v>
      </c>
      <c r="F30" s="278">
        <v>41.06</v>
      </c>
      <c r="G30" s="295" t="s">
        <v>148</v>
      </c>
      <c r="H30" s="295" t="s">
        <v>158</v>
      </c>
    </row>
    <row r="31" spans="1:124" s="243" customFormat="1" x14ac:dyDescent="0.3">
      <c r="A31" s="363" t="s">
        <v>145</v>
      </c>
      <c r="B31" s="290">
        <v>42452</v>
      </c>
      <c r="C31" s="291" t="s">
        <v>146</v>
      </c>
      <c r="D31" s="296">
        <v>115863</v>
      </c>
      <c r="E31" s="297" t="s">
        <v>147</v>
      </c>
      <c r="F31" s="278">
        <v>18.72</v>
      </c>
      <c r="G31" s="295" t="s">
        <v>148</v>
      </c>
      <c r="H31" s="295" t="s">
        <v>158</v>
      </c>
    </row>
    <row r="32" spans="1:124" s="243" customFormat="1" x14ac:dyDescent="0.3">
      <c r="A32" s="363" t="s">
        <v>145</v>
      </c>
      <c r="B32" s="290">
        <v>42473</v>
      </c>
      <c r="C32" s="291" t="s">
        <v>146</v>
      </c>
      <c r="D32" s="296">
        <v>116387</v>
      </c>
      <c r="E32" s="297" t="s">
        <v>147</v>
      </c>
      <c r="F32" s="278">
        <v>38.51</v>
      </c>
      <c r="G32" s="295" t="s">
        <v>148</v>
      </c>
      <c r="H32" s="295" t="s">
        <v>158</v>
      </c>
    </row>
    <row r="33" spans="1:8" s="243" customFormat="1" x14ac:dyDescent="0.3">
      <c r="A33" s="363" t="s">
        <v>145</v>
      </c>
      <c r="B33" s="290">
        <v>42473</v>
      </c>
      <c r="C33" s="291" t="s">
        <v>146</v>
      </c>
      <c r="D33" s="296">
        <v>116388</v>
      </c>
      <c r="E33" s="297" t="s">
        <v>147</v>
      </c>
      <c r="F33" s="278">
        <v>1.56</v>
      </c>
      <c r="G33" s="295" t="s">
        <v>148</v>
      </c>
      <c r="H33" s="295" t="s">
        <v>158</v>
      </c>
    </row>
    <row r="34" spans="1:8" s="243" customFormat="1" x14ac:dyDescent="0.3">
      <c r="A34" s="363" t="s">
        <v>145</v>
      </c>
      <c r="B34" s="290">
        <v>42488</v>
      </c>
      <c r="C34" s="291" t="s">
        <v>146</v>
      </c>
      <c r="D34" s="296">
        <v>116929</v>
      </c>
      <c r="E34" s="297" t="s">
        <v>147</v>
      </c>
      <c r="F34" s="278">
        <v>3.12</v>
      </c>
      <c r="G34" s="295" t="s">
        <v>148</v>
      </c>
      <c r="H34" s="295" t="s">
        <v>158</v>
      </c>
    </row>
    <row r="35" spans="1:8" s="243" customFormat="1" x14ac:dyDescent="0.3">
      <c r="A35" s="363" t="s">
        <v>145</v>
      </c>
      <c r="B35" s="290">
        <v>42494</v>
      </c>
      <c r="C35" s="291" t="s">
        <v>146</v>
      </c>
      <c r="D35" s="296">
        <v>117042</v>
      </c>
      <c r="E35" s="297" t="s">
        <v>147</v>
      </c>
      <c r="F35" s="278">
        <v>16.72</v>
      </c>
      <c r="G35" s="295" t="s">
        <v>148</v>
      </c>
      <c r="H35" s="295" t="s">
        <v>158</v>
      </c>
    </row>
    <row r="36" spans="1:8" s="243" customFormat="1" x14ac:dyDescent="0.3">
      <c r="A36" s="363" t="s">
        <v>145</v>
      </c>
      <c r="B36" s="290">
        <v>42494</v>
      </c>
      <c r="C36" s="291" t="s">
        <v>146</v>
      </c>
      <c r="D36" s="296">
        <v>117044</v>
      </c>
      <c r="E36" s="297" t="s">
        <v>147</v>
      </c>
      <c r="F36" s="278">
        <v>15.39</v>
      </c>
      <c r="G36" s="295" t="s">
        <v>148</v>
      </c>
      <c r="H36" s="295" t="s">
        <v>158</v>
      </c>
    </row>
    <row r="37" spans="1:8" s="243" customFormat="1" x14ac:dyDescent="0.3">
      <c r="A37" s="363" t="s">
        <v>145</v>
      </c>
      <c r="B37" s="290">
        <v>42522</v>
      </c>
      <c r="C37" s="291" t="s">
        <v>146</v>
      </c>
      <c r="D37" s="296">
        <v>117842</v>
      </c>
      <c r="E37" s="297" t="s">
        <v>147</v>
      </c>
      <c r="F37" s="278">
        <v>0.85</v>
      </c>
      <c r="G37" s="295" t="s">
        <v>148</v>
      </c>
      <c r="H37" s="295" t="s">
        <v>158</v>
      </c>
    </row>
    <row r="38" spans="1:8" s="243" customFormat="1" x14ac:dyDescent="0.3">
      <c r="A38" s="363" t="s">
        <v>145</v>
      </c>
      <c r="B38" s="290">
        <v>42528</v>
      </c>
      <c r="C38" s="291" t="s">
        <v>146</v>
      </c>
      <c r="D38" s="296">
        <v>117882</v>
      </c>
      <c r="E38" s="297" t="s">
        <v>147</v>
      </c>
      <c r="F38" s="278">
        <v>487.45</v>
      </c>
      <c r="G38" s="295" t="s">
        <v>148</v>
      </c>
      <c r="H38" s="295" t="s">
        <v>158</v>
      </c>
    </row>
    <row r="39" spans="1:8" s="243" customFormat="1" x14ac:dyDescent="0.3">
      <c r="A39" s="363" t="s">
        <v>145</v>
      </c>
      <c r="B39" s="290">
        <v>42536</v>
      </c>
      <c r="C39" s="291" t="s">
        <v>146</v>
      </c>
      <c r="D39" s="296">
        <v>118152</v>
      </c>
      <c r="E39" s="297" t="s">
        <v>147</v>
      </c>
      <c r="F39" s="278">
        <v>9.56</v>
      </c>
      <c r="G39" s="295" t="s">
        <v>148</v>
      </c>
      <c r="H39" s="295" t="s">
        <v>158</v>
      </c>
    </row>
    <row r="40" spans="1:8" s="243" customFormat="1" x14ac:dyDescent="0.3">
      <c r="A40" s="363" t="s">
        <v>145</v>
      </c>
      <c r="B40" s="290">
        <v>42536</v>
      </c>
      <c r="C40" s="291" t="s">
        <v>146</v>
      </c>
      <c r="D40" s="296">
        <v>118154</v>
      </c>
      <c r="E40" s="297" t="s">
        <v>147</v>
      </c>
      <c r="F40" s="278">
        <v>8.8800000000000008</v>
      </c>
      <c r="G40" s="295" t="s">
        <v>148</v>
      </c>
      <c r="H40" s="295" t="s">
        <v>158</v>
      </c>
    </row>
    <row r="41" spans="1:8" s="243" customFormat="1" x14ac:dyDescent="0.3">
      <c r="A41" s="363" t="s">
        <v>145</v>
      </c>
      <c r="B41" s="290">
        <v>42536</v>
      </c>
      <c r="C41" s="291" t="s">
        <v>146</v>
      </c>
      <c r="D41" s="296">
        <v>118155</v>
      </c>
      <c r="E41" s="297" t="s">
        <v>147</v>
      </c>
      <c r="F41" s="278">
        <v>1866</v>
      </c>
      <c r="G41" s="295" t="s">
        <v>148</v>
      </c>
      <c r="H41" s="295" t="s">
        <v>158</v>
      </c>
    </row>
    <row r="42" spans="1:8" s="243" customFormat="1" x14ac:dyDescent="0.3">
      <c r="A42" s="363" t="s">
        <v>145</v>
      </c>
      <c r="B42" s="290">
        <v>42551</v>
      </c>
      <c r="C42" s="291" t="s">
        <v>146</v>
      </c>
      <c r="D42" s="385" t="s">
        <v>235</v>
      </c>
      <c r="E42" s="297" t="s">
        <v>147</v>
      </c>
      <c r="F42" s="278">
        <v>82724.45</v>
      </c>
      <c r="G42" s="295" t="s">
        <v>148</v>
      </c>
      <c r="H42" s="295" t="s">
        <v>158</v>
      </c>
    </row>
    <row r="43" spans="1:8" s="243" customFormat="1" x14ac:dyDescent="0.3">
      <c r="A43" s="363" t="s">
        <v>145</v>
      </c>
      <c r="B43" s="290">
        <v>42551</v>
      </c>
      <c r="C43" s="291" t="s">
        <v>146</v>
      </c>
      <c r="D43" s="385" t="s">
        <v>236</v>
      </c>
      <c r="E43" s="297" t="s">
        <v>147</v>
      </c>
      <c r="F43" s="278">
        <v>30058.39</v>
      </c>
      <c r="G43" s="295" t="s">
        <v>148</v>
      </c>
      <c r="H43" s="295" t="s">
        <v>158</v>
      </c>
    </row>
    <row r="44" spans="1:8" s="243" customFormat="1" x14ac:dyDescent="0.3">
      <c r="A44" s="363" t="s">
        <v>145</v>
      </c>
      <c r="B44" s="281" t="s">
        <v>287</v>
      </c>
      <c r="C44" s="291" t="s">
        <v>146</v>
      </c>
      <c r="D44" s="385">
        <v>118832</v>
      </c>
      <c r="E44" s="297" t="s">
        <v>147</v>
      </c>
      <c r="F44" s="278">
        <v>402.6</v>
      </c>
      <c r="G44" s="295" t="s">
        <v>148</v>
      </c>
      <c r="H44" s="295" t="s">
        <v>158</v>
      </c>
    </row>
    <row r="45" spans="1:8" s="243" customFormat="1" x14ac:dyDescent="0.3">
      <c r="A45" s="289"/>
      <c r="B45" s="290"/>
      <c r="C45" s="291"/>
      <c r="D45" s="296"/>
      <c r="E45" s="297"/>
      <c r="F45" s="278"/>
      <c r="G45" s="295"/>
      <c r="H45" s="295"/>
    </row>
    <row r="46" spans="1:8" ht="15" thickBot="1" x14ac:dyDescent="0.35">
      <c r="F46" s="374">
        <f>SUM(F7:F45)</f>
        <v>127271.76</v>
      </c>
    </row>
    <row r="47" spans="1:8" ht="15" thickTop="1" x14ac:dyDescent="0.3"/>
  </sheetData>
  <hyperlinks>
    <hyperlink ref="A1" location="'MFMA-7.1 F&amp;W Register'!A1" display="Back to MFMA-7.1 F&amp;W Register" xr:uid="{00000000-0004-0000-4200-000000000000}"/>
  </hyperlink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FFFF00"/>
  </sheetPr>
  <dimension ref="A1:H12"/>
  <sheetViews>
    <sheetView topLeftCell="A4" workbookViewId="0">
      <selection activeCell="A4" sqref="A1:XFD1048576"/>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0.109375" style="1" bestFit="1" customWidth="1"/>
    <col min="5" max="5" width="24.33203125" style="1" customWidth="1"/>
    <col min="6" max="6" width="10.5546875" style="1" bestFit="1" customWidth="1"/>
    <col min="7" max="7" width="18.44140625" style="1" customWidth="1"/>
    <col min="8" max="8" width="73.44140625" style="1" customWidth="1"/>
    <col min="9" max="16384" width="9.109375" style="1"/>
  </cols>
  <sheetData>
    <row r="1" spans="1:8" x14ac:dyDescent="0.3">
      <c r="A1" s="326"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x14ac:dyDescent="0.3">
      <c r="A6" s="282" t="s">
        <v>138</v>
      </c>
      <c r="B6" s="283" t="s">
        <v>139</v>
      </c>
      <c r="C6" s="284" t="s">
        <v>140</v>
      </c>
      <c r="D6" s="285" t="s">
        <v>141</v>
      </c>
      <c r="E6" s="286" t="s">
        <v>142</v>
      </c>
      <c r="F6" s="287" t="s">
        <v>143</v>
      </c>
      <c r="G6" s="288" t="s">
        <v>144</v>
      </c>
      <c r="H6" s="288" t="s">
        <v>157</v>
      </c>
    </row>
    <row r="7" spans="1:8" x14ac:dyDescent="0.3">
      <c r="A7" s="289" t="s">
        <v>145</v>
      </c>
      <c r="B7" s="290" t="s">
        <v>226</v>
      </c>
      <c r="C7" s="291" t="s">
        <v>227</v>
      </c>
      <c r="D7" s="292">
        <v>107663</v>
      </c>
      <c r="E7" s="293" t="s">
        <v>147</v>
      </c>
      <c r="F7" s="294">
        <v>11700.07</v>
      </c>
      <c r="G7" s="295" t="s">
        <v>148</v>
      </c>
      <c r="H7" s="295" t="s">
        <v>158</v>
      </c>
    </row>
    <row r="8" spans="1:8" x14ac:dyDescent="0.3">
      <c r="A8" s="289"/>
      <c r="B8" s="290"/>
      <c r="C8" s="291"/>
      <c r="D8" s="292"/>
      <c r="E8" s="293"/>
      <c r="F8" s="294"/>
      <c r="G8" s="295"/>
      <c r="H8" s="295"/>
    </row>
    <row r="9" spans="1:8" x14ac:dyDescent="0.3">
      <c r="A9" s="333"/>
      <c r="B9" s="334"/>
      <c r="C9" s="335"/>
      <c r="D9" s="336"/>
      <c r="E9" s="293"/>
      <c r="F9" s="337"/>
      <c r="G9" s="338"/>
      <c r="H9" s="338"/>
    </row>
    <row r="10" spans="1:8" x14ac:dyDescent="0.3">
      <c r="A10" s="289"/>
      <c r="B10" s="290"/>
      <c r="C10" s="291"/>
      <c r="D10" s="296"/>
      <c r="E10" s="293"/>
      <c r="F10" s="278"/>
      <c r="G10" s="295"/>
      <c r="H10" s="295"/>
    </row>
    <row r="11" spans="1:8" ht="15" thickBot="1" x14ac:dyDescent="0.35">
      <c r="F11" s="372">
        <f>SUM(F7:F10)</f>
        <v>11700.07</v>
      </c>
    </row>
    <row r="12" spans="1:8" ht="15" thickTop="1" x14ac:dyDescent="0.3"/>
  </sheetData>
  <hyperlinks>
    <hyperlink ref="A1" location="'MFMA-7.1 F&amp;W Register'!A1" display="Back to MFMA-7.1 F&amp;W Register" xr:uid="{00000000-0004-0000-4300-000000000000}"/>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FFFF00"/>
  </sheetPr>
  <dimension ref="A1:H31"/>
  <sheetViews>
    <sheetView topLeftCell="A25" zoomScaleNormal="100" workbookViewId="0">
      <selection activeCell="E41" sqref="E41"/>
    </sheetView>
  </sheetViews>
  <sheetFormatPr defaultColWidth="9.109375" defaultRowHeight="14.4" x14ac:dyDescent="0.3"/>
  <cols>
    <col min="1" max="1" width="35.109375" style="1" bestFit="1" customWidth="1"/>
    <col min="2" max="2" width="11.5546875" style="1" bestFit="1" customWidth="1"/>
    <col min="3" max="3" width="16.5546875" style="1" bestFit="1" customWidth="1"/>
    <col min="4" max="4" width="11.44140625" style="1" bestFit="1" customWidth="1"/>
    <col min="5" max="5" width="25.88671875" style="1" bestFit="1" customWidth="1"/>
    <col min="6" max="6" width="25.6640625" style="1" bestFit="1" customWidth="1"/>
    <col min="7" max="7" width="14.109375" style="1" bestFit="1" customWidth="1"/>
    <col min="8" max="8" width="33" style="1" bestFit="1" customWidth="1"/>
    <col min="9" max="16384" width="9.109375" style="1"/>
  </cols>
  <sheetData>
    <row r="1" spans="1:8" x14ac:dyDescent="0.3">
      <c r="A1" s="339" t="s">
        <v>223</v>
      </c>
      <c r="B1" s="340"/>
      <c r="C1" s="340"/>
      <c r="D1" s="340"/>
      <c r="E1" s="340"/>
      <c r="F1" s="340"/>
      <c r="G1" s="281"/>
      <c r="H1" s="281"/>
    </row>
    <row r="2" spans="1:8" x14ac:dyDescent="0.3">
      <c r="A2" s="207" t="s">
        <v>137</v>
      </c>
      <c r="B2" s="341"/>
      <c r="C2" s="340"/>
      <c r="D2" s="340"/>
      <c r="E2" s="340"/>
      <c r="F2" s="340"/>
      <c r="G2" s="281"/>
      <c r="H2" s="281"/>
    </row>
    <row r="3" spans="1:8" x14ac:dyDescent="0.3">
      <c r="A3" s="340"/>
      <c r="B3" s="341"/>
      <c r="C3" s="340"/>
      <c r="D3" s="340"/>
      <c r="E3" s="340"/>
      <c r="F3" s="340"/>
      <c r="G3" s="281"/>
      <c r="H3" s="281"/>
    </row>
    <row r="4" spans="1:8" x14ac:dyDescent="0.3">
      <c r="A4" s="885" t="s">
        <v>163</v>
      </c>
      <c r="B4" s="885"/>
      <c r="C4" s="885"/>
      <c r="D4" s="885"/>
      <c r="E4" s="885"/>
      <c r="F4" s="885"/>
      <c r="G4" s="281"/>
      <c r="H4" s="281"/>
    </row>
    <row r="5" spans="1:8" x14ac:dyDescent="0.3">
      <c r="A5" s="340"/>
      <c r="B5" s="341"/>
      <c r="C5" s="340"/>
      <c r="D5" s="340"/>
      <c r="E5" s="340"/>
      <c r="F5" s="340"/>
      <c r="G5" s="281"/>
      <c r="H5" s="281"/>
    </row>
    <row r="6" spans="1:8" ht="27.6" x14ac:dyDescent="0.3">
      <c r="A6" s="342" t="s">
        <v>138</v>
      </c>
      <c r="B6" s="343" t="s">
        <v>139</v>
      </c>
      <c r="C6" s="344" t="s">
        <v>140</v>
      </c>
      <c r="D6" s="345" t="s">
        <v>141</v>
      </c>
      <c r="E6" s="346" t="s">
        <v>142</v>
      </c>
      <c r="F6" s="347" t="s">
        <v>143</v>
      </c>
      <c r="G6" s="288" t="s">
        <v>144</v>
      </c>
      <c r="H6" s="288" t="s">
        <v>157</v>
      </c>
    </row>
    <row r="7" spans="1:8" x14ac:dyDescent="0.3">
      <c r="A7" s="348" t="s">
        <v>145</v>
      </c>
      <c r="B7" s="349">
        <v>42221</v>
      </c>
      <c r="C7" s="350" t="s">
        <v>96</v>
      </c>
      <c r="D7" s="351">
        <v>107887</v>
      </c>
      <c r="E7" s="352" t="s">
        <v>147</v>
      </c>
      <c r="F7" s="353">
        <v>76.36</v>
      </c>
      <c r="G7" s="361" t="s">
        <v>148</v>
      </c>
      <c r="H7" s="361" t="s">
        <v>158</v>
      </c>
    </row>
    <row r="8" spans="1:8" x14ac:dyDescent="0.3">
      <c r="A8" s="348" t="s">
        <v>145</v>
      </c>
      <c r="B8" s="349">
        <v>42221</v>
      </c>
      <c r="C8" s="350" t="s">
        <v>96</v>
      </c>
      <c r="D8" s="351">
        <v>107886</v>
      </c>
      <c r="E8" s="352" t="s">
        <v>147</v>
      </c>
      <c r="F8" s="353">
        <v>25.34</v>
      </c>
      <c r="G8" s="361" t="s">
        <v>148</v>
      </c>
      <c r="H8" s="361" t="s">
        <v>158</v>
      </c>
    </row>
    <row r="9" spans="1:8" x14ac:dyDescent="0.3">
      <c r="A9" s="348" t="s">
        <v>145</v>
      </c>
      <c r="B9" s="349">
        <v>42285</v>
      </c>
      <c r="C9" s="350" t="s">
        <v>96</v>
      </c>
      <c r="D9" s="357">
        <v>109934</v>
      </c>
      <c r="E9" s="352" t="s">
        <v>147</v>
      </c>
      <c r="F9" s="358">
        <v>20.309999999999999</v>
      </c>
      <c r="G9" s="361" t="s">
        <v>148</v>
      </c>
      <c r="H9" s="361" t="s">
        <v>158</v>
      </c>
    </row>
    <row r="10" spans="1:8" x14ac:dyDescent="0.3">
      <c r="A10" s="348" t="s">
        <v>145</v>
      </c>
      <c r="B10" s="349">
        <v>42285</v>
      </c>
      <c r="C10" s="350" t="s">
        <v>96</v>
      </c>
      <c r="D10" s="357">
        <v>109936</v>
      </c>
      <c r="E10" s="352" t="s">
        <v>147</v>
      </c>
      <c r="F10" s="358">
        <v>39.01</v>
      </c>
      <c r="G10" s="361" t="s">
        <v>148</v>
      </c>
      <c r="H10" s="361" t="s">
        <v>158</v>
      </c>
    </row>
    <row r="11" spans="1:8" x14ac:dyDescent="0.3">
      <c r="A11" s="348" t="s">
        <v>145</v>
      </c>
      <c r="B11" s="349">
        <v>42319</v>
      </c>
      <c r="C11" s="350" t="s">
        <v>96</v>
      </c>
      <c r="D11" s="357">
        <v>111191</v>
      </c>
      <c r="E11" s="352" t="s">
        <v>147</v>
      </c>
      <c r="F11" s="358">
        <v>27.03</v>
      </c>
      <c r="G11" s="361" t="s">
        <v>148</v>
      </c>
      <c r="H11" s="361" t="s">
        <v>158</v>
      </c>
    </row>
    <row r="12" spans="1:8" x14ac:dyDescent="0.3">
      <c r="A12" s="348" t="s">
        <v>145</v>
      </c>
      <c r="B12" s="349">
        <v>42347</v>
      </c>
      <c r="C12" s="350" t="s">
        <v>96</v>
      </c>
      <c r="D12" s="357">
        <v>112255</v>
      </c>
      <c r="E12" s="352" t="s">
        <v>147</v>
      </c>
      <c r="F12" s="358">
        <v>32.03</v>
      </c>
      <c r="G12" s="361" t="s">
        <v>148</v>
      </c>
      <c r="H12" s="361" t="s">
        <v>158</v>
      </c>
    </row>
    <row r="13" spans="1:8" x14ac:dyDescent="0.3">
      <c r="A13" s="348" t="s">
        <v>145</v>
      </c>
      <c r="B13" s="349">
        <v>42403</v>
      </c>
      <c r="C13" s="362" t="s">
        <v>96</v>
      </c>
      <c r="D13" s="357">
        <v>113721</v>
      </c>
      <c r="E13" s="352" t="s">
        <v>147</v>
      </c>
      <c r="F13" s="358">
        <v>25.39</v>
      </c>
      <c r="G13" s="380" t="s">
        <v>148</v>
      </c>
      <c r="H13" s="380" t="s">
        <v>158</v>
      </c>
    </row>
    <row r="14" spans="1:8" x14ac:dyDescent="0.3">
      <c r="A14" s="348" t="s">
        <v>145</v>
      </c>
      <c r="B14" s="349">
        <v>42403</v>
      </c>
      <c r="C14" s="362" t="s">
        <v>96</v>
      </c>
      <c r="D14" s="357">
        <v>113723</v>
      </c>
      <c r="E14" s="352" t="s">
        <v>147</v>
      </c>
      <c r="F14" s="358">
        <v>24.69</v>
      </c>
      <c r="G14" s="380" t="s">
        <v>148</v>
      </c>
      <c r="H14" s="380" t="s">
        <v>158</v>
      </c>
    </row>
    <row r="15" spans="1:8" x14ac:dyDescent="0.3">
      <c r="A15" s="348" t="s">
        <v>145</v>
      </c>
      <c r="B15" s="349">
        <v>42403</v>
      </c>
      <c r="C15" s="362" t="s">
        <v>96</v>
      </c>
      <c r="D15" s="357">
        <v>113725</v>
      </c>
      <c r="E15" s="352" t="s">
        <v>147</v>
      </c>
      <c r="F15" s="358">
        <v>28</v>
      </c>
      <c r="G15" s="380" t="s">
        <v>148</v>
      </c>
      <c r="H15" s="380" t="s">
        <v>158</v>
      </c>
    </row>
    <row r="16" spans="1:8" x14ac:dyDescent="0.3">
      <c r="A16" s="348" t="s">
        <v>145</v>
      </c>
      <c r="B16" s="349">
        <v>42404</v>
      </c>
      <c r="C16" s="362" t="s">
        <v>96</v>
      </c>
      <c r="D16" s="357">
        <v>113726</v>
      </c>
      <c r="E16" s="352" t="s">
        <v>147</v>
      </c>
      <c r="F16" s="358">
        <v>23.69</v>
      </c>
      <c r="G16" s="380" t="s">
        <v>148</v>
      </c>
      <c r="H16" s="380" t="s">
        <v>158</v>
      </c>
    </row>
    <row r="17" spans="1:8" x14ac:dyDescent="0.3">
      <c r="A17" s="348" t="s">
        <v>145</v>
      </c>
      <c r="B17" s="349">
        <v>42431</v>
      </c>
      <c r="C17" s="362" t="s">
        <v>96</v>
      </c>
      <c r="D17" s="357">
        <v>115053</v>
      </c>
      <c r="E17" s="352" t="s">
        <v>147</v>
      </c>
      <c r="F17" s="358">
        <v>213.22</v>
      </c>
      <c r="G17" s="380" t="s">
        <v>148</v>
      </c>
      <c r="H17" s="380" t="s">
        <v>158</v>
      </c>
    </row>
    <row r="18" spans="1:8" x14ac:dyDescent="0.3">
      <c r="A18" s="348" t="s">
        <v>145</v>
      </c>
      <c r="B18" s="349">
        <v>42431</v>
      </c>
      <c r="C18" s="362" t="s">
        <v>96</v>
      </c>
      <c r="D18" s="357">
        <v>115054</v>
      </c>
      <c r="E18" s="352" t="s">
        <v>147</v>
      </c>
      <c r="F18" s="358">
        <v>254.09</v>
      </c>
      <c r="G18" s="380" t="s">
        <v>148</v>
      </c>
      <c r="H18" s="380" t="s">
        <v>158</v>
      </c>
    </row>
    <row r="19" spans="1:8" x14ac:dyDescent="0.3">
      <c r="A19" s="348" t="s">
        <v>145</v>
      </c>
      <c r="B19" s="349">
        <v>42431</v>
      </c>
      <c r="C19" s="362" t="s">
        <v>96</v>
      </c>
      <c r="D19" s="357">
        <v>115055</v>
      </c>
      <c r="E19" s="352" t="s">
        <v>147</v>
      </c>
      <c r="F19" s="358">
        <v>90.84</v>
      </c>
      <c r="G19" s="380" t="s">
        <v>148</v>
      </c>
      <c r="H19" s="380" t="s">
        <v>158</v>
      </c>
    </row>
    <row r="20" spans="1:8" x14ac:dyDescent="0.3">
      <c r="A20" s="348" t="s">
        <v>145</v>
      </c>
      <c r="B20" s="349">
        <v>42438</v>
      </c>
      <c r="C20" s="362" t="s">
        <v>96</v>
      </c>
      <c r="D20" s="357">
        <v>115222</v>
      </c>
      <c r="E20" s="352" t="s">
        <v>147</v>
      </c>
      <c r="F20" s="358">
        <v>137.44</v>
      </c>
      <c r="G20" s="380" t="s">
        <v>148</v>
      </c>
      <c r="H20" s="380" t="s">
        <v>158</v>
      </c>
    </row>
    <row r="21" spans="1:8" x14ac:dyDescent="0.3">
      <c r="A21" s="348" t="s">
        <v>145</v>
      </c>
      <c r="B21" s="349">
        <v>42438</v>
      </c>
      <c r="C21" s="362" t="s">
        <v>96</v>
      </c>
      <c r="D21" s="357">
        <v>115223</v>
      </c>
      <c r="E21" s="352" t="s">
        <v>147</v>
      </c>
      <c r="F21" s="358">
        <v>21.64</v>
      </c>
      <c r="G21" s="380" t="s">
        <v>148</v>
      </c>
      <c r="H21" s="380" t="s">
        <v>158</v>
      </c>
    </row>
    <row r="22" spans="1:8" x14ac:dyDescent="0.3">
      <c r="A22" s="348" t="s">
        <v>145</v>
      </c>
      <c r="B22" s="349">
        <v>42473</v>
      </c>
      <c r="C22" s="362" t="s">
        <v>96</v>
      </c>
      <c r="D22" s="357">
        <v>116394</v>
      </c>
      <c r="E22" s="352" t="s">
        <v>147</v>
      </c>
      <c r="F22" s="358">
        <v>50.6</v>
      </c>
      <c r="G22" s="380" t="s">
        <v>148</v>
      </c>
      <c r="H22" s="380" t="s">
        <v>158</v>
      </c>
    </row>
    <row r="23" spans="1:8" x14ac:dyDescent="0.3">
      <c r="A23" s="348" t="s">
        <v>145</v>
      </c>
      <c r="B23" s="349">
        <v>42536</v>
      </c>
      <c r="C23" s="362" t="s">
        <v>96</v>
      </c>
      <c r="D23" s="357">
        <v>118157</v>
      </c>
      <c r="E23" s="352" t="s">
        <v>147</v>
      </c>
      <c r="F23" s="358">
        <v>25.13</v>
      </c>
      <c r="G23" s="380" t="s">
        <v>148</v>
      </c>
      <c r="H23" s="380" t="s">
        <v>158</v>
      </c>
    </row>
    <row r="24" spans="1:8" x14ac:dyDescent="0.3">
      <c r="A24" s="348" t="s">
        <v>145</v>
      </c>
      <c r="B24" s="406" t="s">
        <v>287</v>
      </c>
      <c r="C24" s="362" t="s">
        <v>96</v>
      </c>
      <c r="D24" s="357">
        <v>118835</v>
      </c>
      <c r="E24" s="352" t="s">
        <v>147</v>
      </c>
      <c r="F24" s="403">
        <v>25.39</v>
      </c>
      <c r="G24" s="380" t="s">
        <v>148</v>
      </c>
      <c r="H24" s="380" t="s">
        <v>158</v>
      </c>
    </row>
    <row r="25" spans="1:8" x14ac:dyDescent="0.3">
      <c r="A25" s="348" t="s">
        <v>145</v>
      </c>
      <c r="B25" s="406" t="s">
        <v>287</v>
      </c>
      <c r="C25" s="362" t="s">
        <v>96</v>
      </c>
      <c r="D25" s="357">
        <v>118836</v>
      </c>
      <c r="E25" s="352" t="s">
        <v>147</v>
      </c>
      <c r="F25" s="358">
        <v>72.28</v>
      </c>
      <c r="G25" s="380" t="s">
        <v>148</v>
      </c>
      <c r="H25" s="380" t="s">
        <v>158</v>
      </c>
    </row>
    <row r="26" spans="1:8" x14ac:dyDescent="0.3">
      <c r="A26" s="348" t="s">
        <v>145</v>
      </c>
      <c r="B26" s="406" t="s">
        <v>287</v>
      </c>
      <c r="C26" s="362" t="s">
        <v>96</v>
      </c>
      <c r="D26" s="357">
        <v>118838</v>
      </c>
      <c r="E26" s="352" t="s">
        <v>147</v>
      </c>
      <c r="F26" s="358">
        <v>229.33</v>
      </c>
      <c r="G26" s="380" t="s">
        <v>148</v>
      </c>
      <c r="H26" s="380" t="s">
        <v>158</v>
      </c>
    </row>
    <row r="27" spans="1:8" x14ac:dyDescent="0.3">
      <c r="A27" s="348" t="s">
        <v>145</v>
      </c>
      <c r="B27" s="406" t="s">
        <v>287</v>
      </c>
      <c r="C27" s="362" t="s">
        <v>96</v>
      </c>
      <c r="D27" s="357">
        <v>118840</v>
      </c>
      <c r="E27" s="352" t="s">
        <v>147</v>
      </c>
      <c r="F27" s="358">
        <v>59.74</v>
      </c>
      <c r="G27" s="380" t="s">
        <v>148</v>
      </c>
      <c r="H27" s="380" t="s">
        <v>158</v>
      </c>
    </row>
    <row r="28" spans="1:8" x14ac:dyDescent="0.3">
      <c r="A28" s="348" t="s">
        <v>145</v>
      </c>
      <c r="B28" s="406" t="s">
        <v>287</v>
      </c>
      <c r="C28" s="362" t="s">
        <v>96</v>
      </c>
      <c r="D28" s="357">
        <v>118841</v>
      </c>
      <c r="E28" s="352" t="s">
        <v>147</v>
      </c>
      <c r="F28" s="358">
        <v>66.39</v>
      </c>
      <c r="G28" s="380" t="s">
        <v>148</v>
      </c>
      <c r="H28" s="380" t="s">
        <v>158</v>
      </c>
    </row>
    <row r="29" spans="1:8" x14ac:dyDescent="0.3">
      <c r="A29" s="348" t="s">
        <v>145</v>
      </c>
      <c r="B29" s="406" t="s">
        <v>289</v>
      </c>
      <c r="C29" s="362" t="s">
        <v>96</v>
      </c>
      <c r="D29" s="416" t="s">
        <v>330</v>
      </c>
      <c r="E29" s="352" t="s">
        <v>147</v>
      </c>
      <c r="F29" s="360">
        <v>164.47</v>
      </c>
      <c r="G29" s="295" t="s">
        <v>148</v>
      </c>
      <c r="H29" s="295" t="s">
        <v>158</v>
      </c>
    </row>
    <row r="30" spans="1:8" ht="15" thickBot="1" x14ac:dyDescent="0.35">
      <c r="A30" s="340"/>
      <c r="B30" s="340"/>
      <c r="C30" s="340"/>
      <c r="D30" s="340"/>
      <c r="E30" s="340"/>
      <c r="F30" s="371">
        <f>SUM(F7:F29)</f>
        <v>1732.4100000000003</v>
      </c>
    </row>
    <row r="31" spans="1:8" ht="15" thickTop="1" x14ac:dyDescent="0.3">
      <c r="F31" s="407"/>
    </row>
  </sheetData>
  <mergeCells count="1">
    <mergeCell ref="A4:F4"/>
  </mergeCells>
  <hyperlinks>
    <hyperlink ref="A1" location="'MFMA-7.1 F&amp;W Register'!A1" display="Back to MFMA-7.1 F&amp;W Register" xr:uid="{00000000-0004-0000-44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E37"/>
  <sheetViews>
    <sheetView topLeftCell="A17" workbookViewId="0">
      <selection activeCell="D23" sqref="D23"/>
    </sheetView>
  </sheetViews>
  <sheetFormatPr defaultColWidth="9.109375" defaultRowHeight="14.4" x14ac:dyDescent="0.3"/>
  <cols>
    <col min="1" max="1" width="9.109375" style="1"/>
    <col min="2" max="2" width="12.5546875" style="1" bestFit="1" customWidth="1"/>
    <col min="3" max="3" width="28.33203125" style="1" bestFit="1" customWidth="1"/>
    <col min="4" max="4" width="15.109375" style="1" customWidth="1"/>
    <col min="5" max="16384" width="9.109375" style="1"/>
  </cols>
  <sheetData>
    <row r="1" spans="1:5" x14ac:dyDescent="0.3">
      <c r="A1" s="207" t="s">
        <v>768</v>
      </c>
    </row>
    <row r="3" spans="1:5" ht="28.8" x14ac:dyDescent="0.3">
      <c r="A3" s="754" t="s">
        <v>769</v>
      </c>
      <c r="B3" s="754" t="s">
        <v>770</v>
      </c>
      <c r="C3" s="754" t="s">
        <v>771</v>
      </c>
      <c r="D3" s="726" t="s">
        <v>772</v>
      </c>
    </row>
    <row r="4" spans="1:5" x14ac:dyDescent="0.3">
      <c r="A4" s="370">
        <v>1</v>
      </c>
      <c r="B4" s="435" t="s">
        <v>754</v>
      </c>
      <c r="C4" s="435" t="s">
        <v>755</v>
      </c>
      <c r="D4" s="278">
        <f>'[1]Gazette vs payday recon'!E78</f>
        <v>-2915.6699999999546</v>
      </c>
    </row>
    <row r="5" spans="1:5" x14ac:dyDescent="0.3">
      <c r="A5" s="370">
        <f>A4+1</f>
        <v>2</v>
      </c>
      <c r="B5" s="370" t="s">
        <v>470</v>
      </c>
      <c r="C5" s="370" t="s">
        <v>471</v>
      </c>
      <c r="D5" s="730">
        <f>'[1]Gazette vs payday recon'!E90</f>
        <v>-11603.309999999969</v>
      </c>
    </row>
    <row r="6" spans="1:5" x14ac:dyDescent="0.3">
      <c r="A6" s="370">
        <f t="shared" ref="A6:A35" si="0">A5+1</f>
        <v>3</v>
      </c>
      <c r="B6" s="370" t="s">
        <v>773</v>
      </c>
      <c r="C6" s="370" t="s">
        <v>774</v>
      </c>
      <c r="D6" s="730">
        <f>'[1]Gazette vs payday recon'!E102</f>
        <v>-2963.2499999999127</v>
      </c>
    </row>
    <row r="7" spans="1:5" x14ac:dyDescent="0.3">
      <c r="A7" s="370">
        <f t="shared" si="0"/>
        <v>4</v>
      </c>
      <c r="B7" s="370" t="s">
        <v>458</v>
      </c>
      <c r="C7" s="370" t="s">
        <v>460</v>
      </c>
      <c r="D7" s="730">
        <f>'[1]Gazette vs payday recon'!E116</f>
        <v>-3529.239999999947</v>
      </c>
    </row>
    <row r="8" spans="1:5" x14ac:dyDescent="0.3">
      <c r="A8" s="370">
        <f t="shared" si="0"/>
        <v>5</v>
      </c>
      <c r="B8" s="370" t="s">
        <v>775</v>
      </c>
      <c r="C8" s="370" t="s">
        <v>776</v>
      </c>
      <c r="D8" s="730">
        <f>'[1]Gazette vs payday recon'!E128</f>
        <v>-2876.2899999999936</v>
      </c>
    </row>
    <row r="9" spans="1:5" x14ac:dyDescent="0.3">
      <c r="A9" s="370">
        <f t="shared" si="0"/>
        <v>6</v>
      </c>
      <c r="B9" s="370" t="s">
        <v>777</v>
      </c>
      <c r="C9" s="370" t="s">
        <v>778</v>
      </c>
      <c r="D9" s="730">
        <f>'[1]Gazette vs payday recon'!E140</f>
        <v>-2876.2899999999936</v>
      </c>
    </row>
    <row r="10" spans="1:5" x14ac:dyDescent="0.3">
      <c r="A10" s="370">
        <f t="shared" si="0"/>
        <v>7</v>
      </c>
      <c r="B10" s="370" t="s">
        <v>463</v>
      </c>
      <c r="C10" s="370" t="s">
        <v>462</v>
      </c>
      <c r="D10" s="730">
        <f>'[1]Gazette vs payday recon'!E153</f>
        <v>-2876.1700000000128</v>
      </c>
    </row>
    <row r="11" spans="1:5" x14ac:dyDescent="0.3">
      <c r="A11" s="370">
        <f t="shared" si="0"/>
        <v>8</v>
      </c>
      <c r="B11" s="755" t="s">
        <v>779</v>
      </c>
      <c r="C11" s="370" t="s">
        <v>780</v>
      </c>
      <c r="D11" s="730">
        <f>'[1]Gazette vs payday recon'!E166</f>
        <v>-728.74000000001979</v>
      </c>
      <c r="E11" s="243"/>
    </row>
    <row r="12" spans="1:5" x14ac:dyDescent="0.3">
      <c r="A12" s="370">
        <f t="shared" si="0"/>
        <v>9</v>
      </c>
      <c r="B12" s="755" t="s">
        <v>781</v>
      </c>
      <c r="C12" s="370" t="s">
        <v>782</v>
      </c>
      <c r="D12" s="730">
        <f>'[1]Gazette vs payday recon'!E178</f>
        <v>-1458.7299999999377</v>
      </c>
    </row>
    <row r="13" spans="1:5" x14ac:dyDescent="0.3">
      <c r="A13" s="370">
        <f t="shared" si="0"/>
        <v>10</v>
      </c>
      <c r="B13" s="755" t="s">
        <v>757</v>
      </c>
      <c r="C13" s="370" t="s">
        <v>758</v>
      </c>
      <c r="D13" s="730">
        <f>'[1]Gazette vs payday recon'!E189</f>
        <v>-1458.6800000000003</v>
      </c>
    </row>
    <row r="14" spans="1:5" x14ac:dyDescent="0.3">
      <c r="A14" s="370">
        <f t="shared" si="0"/>
        <v>11</v>
      </c>
      <c r="B14" s="755" t="s">
        <v>783</v>
      </c>
      <c r="C14" s="370" t="s">
        <v>784</v>
      </c>
      <c r="D14" s="730">
        <f>'[1]Gazette vs payday recon'!E200</f>
        <v>-1458.6800000000003</v>
      </c>
    </row>
    <row r="15" spans="1:5" x14ac:dyDescent="0.3">
      <c r="A15" s="370">
        <f t="shared" si="0"/>
        <v>12</v>
      </c>
      <c r="B15" s="755" t="s">
        <v>785</v>
      </c>
      <c r="C15" s="370" t="s">
        <v>786</v>
      </c>
      <c r="D15" s="730">
        <f>'[1]Gazette vs payday recon'!E212</f>
        <v>-1458.6100000000006</v>
      </c>
    </row>
    <row r="16" spans="1:5" x14ac:dyDescent="0.3">
      <c r="A16" s="370">
        <f t="shared" si="0"/>
        <v>13</v>
      </c>
      <c r="B16" s="755" t="s">
        <v>787</v>
      </c>
      <c r="C16" s="370" t="s">
        <v>788</v>
      </c>
      <c r="D16" s="730">
        <f>'[1]Gazette vs payday recon'!E225</f>
        <v>-1098.6200000000026</v>
      </c>
    </row>
    <row r="17" spans="1:4" x14ac:dyDescent="0.3">
      <c r="A17" s="370">
        <f t="shared" si="0"/>
        <v>14</v>
      </c>
      <c r="B17" s="755" t="s">
        <v>789</v>
      </c>
      <c r="C17" s="370" t="s">
        <v>790</v>
      </c>
      <c r="D17" s="730">
        <f>'[1]Gazette vs payday recon'!E238</f>
        <v>-1458.4499999999971</v>
      </c>
    </row>
    <row r="18" spans="1:4" x14ac:dyDescent="0.3">
      <c r="A18" s="370">
        <f t="shared" si="0"/>
        <v>15</v>
      </c>
      <c r="B18" s="755" t="s">
        <v>791</v>
      </c>
      <c r="C18" s="370" t="s">
        <v>792</v>
      </c>
      <c r="D18" s="730">
        <f>'[1]Gazette vs payday recon'!E249</f>
        <v>-729.33000000000175</v>
      </c>
    </row>
    <row r="19" spans="1:4" x14ac:dyDescent="0.3">
      <c r="A19" s="370">
        <f t="shared" si="0"/>
        <v>16</v>
      </c>
      <c r="B19" s="755" t="s">
        <v>793</v>
      </c>
      <c r="C19" s="370" t="s">
        <v>794</v>
      </c>
      <c r="D19" s="730">
        <f>'[1]Gazette vs payday recon'!E260</f>
        <v>-1458.6100000000006</v>
      </c>
    </row>
    <row r="20" spans="1:4" x14ac:dyDescent="0.3">
      <c r="A20" s="370">
        <f t="shared" si="0"/>
        <v>17</v>
      </c>
      <c r="B20" s="755" t="s">
        <v>795</v>
      </c>
      <c r="C20" s="370" t="s">
        <v>796</v>
      </c>
      <c r="D20" s="730">
        <f>'[1]Gazette vs payday recon'!E272</f>
        <v>-1458.6100000000006</v>
      </c>
    </row>
    <row r="21" spans="1:4" x14ac:dyDescent="0.3">
      <c r="A21" s="370">
        <f t="shared" si="0"/>
        <v>18</v>
      </c>
      <c r="B21" s="755" t="s">
        <v>797</v>
      </c>
      <c r="C21" s="370" t="s">
        <v>798</v>
      </c>
      <c r="D21" s="730">
        <f>'[1]Gazette vs payday recon'!E283</f>
        <v>-1458.6100000000006</v>
      </c>
    </row>
    <row r="22" spans="1:4" x14ac:dyDescent="0.3">
      <c r="A22" s="370">
        <f t="shared" si="0"/>
        <v>19</v>
      </c>
      <c r="B22" s="755" t="s">
        <v>799</v>
      </c>
      <c r="C22" s="370" t="s">
        <v>800</v>
      </c>
      <c r="D22" s="730">
        <f>'[1]Gazette vs payday recon'!E294</f>
        <v>-1458.6100000000006</v>
      </c>
    </row>
    <row r="23" spans="1:4" x14ac:dyDescent="0.3">
      <c r="A23" s="370">
        <f t="shared" si="0"/>
        <v>20</v>
      </c>
      <c r="B23" s="755" t="s">
        <v>801</v>
      </c>
      <c r="C23" s="370" t="s">
        <v>802</v>
      </c>
      <c r="D23" s="730">
        <f>'[1]Gazette vs payday recon'!E305</f>
        <v>-1750.4099999999962</v>
      </c>
    </row>
    <row r="24" spans="1:4" x14ac:dyDescent="0.3">
      <c r="A24" s="370">
        <f t="shared" si="0"/>
        <v>21</v>
      </c>
      <c r="B24" s="378" t="s">
        <v>803</v>
      </c>
      <c r="C24" s="243" t="s">
        <v>804</v>
      </c>
      <c r="D24" s="730">
        <f>'[1]Gazette vs payday recon'!E316</f>
        <v>-1458.6800000000003</v>
      </c>
    </row>
    <row r="25" spans="1:4" x14ac:dyDescent="0.3">
      <c r="A25" s="370">
        <f t="shared" si="0"/>
        <v>22</v>
      </c>
      <c r="B25" s="755" t="s">
        <v>805</v>
      </c>
      <c r="C25" s="370" t="s">
        <v>806</v>
      </c>
      <c r="D25" s="730">
        <f>'[1]Gazette vs payday recon'!E327</f>
        <v>-1458.6100000000006</v>
      </c>
    </row>
    <row r="26" spans="1:4" x14ac:dyDescent="0.3">
      <c r="A26" s="370">
        <f t="shared" si="0"/>
        <v>23</v>
      </c>
      <c r="B26" s="755" t="s">
        <v>807</v>
      </c>
      <c r="C26" s="370" t="s">
        <v>808</v>
      </c>
      <c r="D26" s="730">
        <f>'[1]Gazette vs payday recon'!E338</f>
        <v>-1458.6699999999983</v>
      </c>
    </row>
    <row r="27" spans="1:4" x14ac:dyDescent="0.3">
      <c r="A27" s="370">
        <f t="shared" si="0"/>
        <v>24</v>
      </c>
      <c r="B27" s="755" t="s">
        <v>809</v>
      </c>
      <c r="C27" s="370" t="s">
        <v>810</v>
      </c>
      <c r="D27" s="730">
        <f>'[1]Gazette vs payday recon'!E349</f>
        <v>-729.27999999999884</v>
      </c>
    </row>
    <row r="28" spans="1:4" x14ac:dyDescent="0.3">
      <c r="A28" s="370">
        <f t="shared" si="0"/>
        <v>25</v>
      </c>
      <c r="B28" s="755" t="s">
        <v>811</v>
      </c>
      <c r="C28" s="370" t="s">
        <v>812</v>
      </c>
      <c r="D28" s="730">
        <f>'[1]Gazette vs payday recon'!E367</f>
        <v>-4210.0199999999895</v>
      </c>
    </row>
    <row r="29" spans="1:4" x14ac:dyDescent="0.3">
      <c r="A29" s="370">
        <f t="shared" si="0"/>
        <v>26</v>
      </c>
      <c r="B29" s="755" t="s">
        <v>813</v>
      </c>
      <c r="C29" s="370" t="s">
        <v>814</v>
      </c>
      <c r="D29" s="730">
        <f>'[1]Gazette vs payday recon'!E379</f>
        <v>-3609.3300000000017</v>
      </c>
    </row>
    <row r="30" spans="1:4" x14ac:dyDescent="0.3">
      <c r="A30" s="370">
        <f t="shared" si="0"/>
        <v>27</v>
      </c>
      <c r="B30" s="755" t="s">
        <v>464</v>
      </c>
      <c r="C30" s="370" t="s">
        <v>465</v>
      </c>
      <c r="D30" s="730">
        <f>'[1]Gazette vs payday recon'!E390</f>
        <v>-729.27999999999884</v>
      </c>
    </row>
    <row r="31" spans="1:4" x14ac:dyDescent="0.3">
      <c r="A31" s="370">
        <f t="shared" si="0"/>
        <v>28</v>
      </c>
      <c r="B31" s="755" t="s">
        <v>815</v>
      </c>
      <c r="C31" s="370" t="s">
        <v>816</v>
      </c>
      <c r="D31" s="730">
        <f>'[1]Gazette vs payday recon'!E401</f>
        <v>-729.33000000000175</v>
      </c>
    </row>
    <row r="32" spans="1:4" x14ac:dyDescent="0.3">
      <c r="A32" s="370">
        <f t="shared" si="0"/>
        <v>29</v>
      </c>
      <c r="B32" s="755" t="s">
        <v>817</v>
      </c>
      <c r="C32" s="370" t="s">
        <v>818</v>
      </c>
      <c r="D32" s="730">
        <f>'[1]Gazette vs payday recon'!E412</f>
        <v>-1458.7899999999936</v>
      </c>
    </row>
    <row r="33" spans="1:4" x14ac:dyDescent="0.3">
      <c r="A33" s="370">
        <f t="shared" si="0"/>
        <v>30</v>
      </c>
      <c r="B33" s="755" t="s">
        <v>819</v>
      </c>
      <c r="C33" s="370" t="s">
        <v>820</v>
      </c>
      <c r="D33" s="730">
        <f>'[1]Gazette vs payday recon'!E423</f>
        <v>-729.27999999999884</v>
      </c>
    </row>
    <row r="34" spans="1:4" x14ac:dyDescent="0.3">
      <c r="A34" s="370">
        <f t="shared" si="0"/>
        <v>31</v>
      </c>
      <c r="B34" s="755" t="s">
        <v>821</v>
      </c>
      <c r="C34" s="370" t="s">
        <v>467</v>
      </c>
      <c r="D34" s="730">
        <f>'[1]Gazette vs payday recon'!E436</f>
        <v>-608.03999999997905</v>
      </c>
    </row>
    <row r="35" spans="1:4" x14ac:dyDescent="0.3">
      <c r="A35" s="370">
        <f t="shared" si="0"/>
        <v>32</v>
      </c>
      <c r="B35" s="378" t="s">
        <v>822</v>
      </c>
      <c r="C35" s="243" t="s">
        <v>823</v>
      </c>
      <c r="D35" s="730">
        <f>'[1]Gazette vs payday recon'!E447</f>
        <v>-2880</v>
      </c>
    </row>
    <row r="36" spans="1:4" s="207" customFormat="1" ht="15" thickBot="1" x14ac:dyDescent="0.35">
      <c r="B36" s="207" t="s">
        <v>824</v>
      </c>
      <c r="D36" s="756">
        <f>SUM(D4:D35)</f>
        <v>-67134.21999999971</v>
      </c>
    </row>
    <row r="37" spans="1:4" ht="15" thickTop="1" x14ac:dyDescent="0.3"/>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FFFF00"/>
  </sheetPr>
  <dimension ref="A1:H29"/>
  <sheetViews>
    <sheetView topLeftCell="A10" zoomScale="90" zoomScaleNormal="90" workbookViewId="0">
      <selection activeCell="E21" sqref="E21"/>
    </sheetView>
  </sheetViews>
  <sheetFormatPr defaultColWidth="9.109375" defaultRowHeight="14.4" x14ac:dyDescent="0.3"/>
  <cols>
    <col min="1" max="1" width="31.33203125" style="1" bestFit="1" customWidth="1"/>
    <col min="2" max="2" width="11.5546875" style="1" bestFit="1" customWidth="1"/>
    <col min="3" max="3" width="16.6640625" style="1" bestFit="1" customWidth="1"/>
    <col min="4" max="4" width="11.44140625" style="1" bestFit="1" customWidth="1"/>
    <col min="5" max="5" width="26.33203125" style="1" customWidth="1"/>
    <col min="6" max="6" width="23.5546875" style="1" bestFit="1" customWidth="1"/>
    <col min="7" max="7" width="18.44140625" style="1" customWidth="1"/>
    <col min="8" max="8" width="73.44140625" style="1" customWidth="1"/>
    <col min="9" max="16384" width="9.109375" style="1"/>
  </cols>
  <sheetData>
    <row r="1" spans="1:8" x14ac:dyDescent="0.3">
      <c r="A1" s="339" t="s">
        <v>223</v>
      </c>
      <c r="B1" s="340"/>
      <c r="C1" s="340"/>
      <c r="D1" s="340"/>
      <c r="E1" s="340"/>
      <c r="F1" s="340"/>
      <c r="G1" s="281"/>
      <c r="H1" s="281"/>
    </row>
    <row r="2" spans="1:8" x14ac:dyDescent="0.3">
      <c r="A2" s="207" t="s">
        <v>137</v>
      </c>
      <c r="B2" s="341"/>
      <c r="C2" s="340"/>
      <c r="D2" s="340"/>
      <c r="E2" s="340"/>
      <c r="F2" s="340"/>
      <c r="G2" s="281"/>
      <c r="H2" s="281"/>
    </row>
    <row r="3" spans="1:8" x14ac:dyDescent="0.3">
      <c r="A3" s="340"/>
      <c r="B3" s="341"/>
      <c r="C3" s="340"/>
      <c r="D3" s="340"/>
      <c r="E3" s="340"/>
      <c r="F3" s="340"/>
      <c r="G3" s="281"/>
      <c r="H3" s="281"/>
    </row>
    <row r="4" spans="1:8" x14ac:dyDescent="0.3">
      <c r="A4" s="885" t="s">
        <v>163</v>
      </c>
      <c r="B4" s="885"/>
      <c r="C4" s="885"/>
      <c r="D4" s="885"/>
      <c r="E4" s="885"/>
      <c r="F4" s="885"/>
      <c r="G4" s="281"/>
      <c r="H4" s="281"/>
    </row>
    <row r="5" spans="1:8" x14ac:dyDescent="0.3">
      <c r="A5" s="340"/>
      <c r="B5" s="341"/>
      <c r="C5" s="340"/>
      <c r="D5" s="340"/>
      <c r="E5" s="340"/>
      <c r="F5" s="340"/>
      <c r="G5" s="281"/>
      <c r="H5" s="281"/>
    </row>
    <row r="6" spans="1:8" x14ac:dyDescent="0.3">
      <c r="A6" s="342" t="s">
        <v>138</v>
      </c>
      <c r="B6" s="343" t="s">
        <v>139</v>
      </c>
      <c r="C6" s="344" t="s">
        <v>140</v>
      </c>
      <c r="D6" s="345" t="s">
        <v>141</v>
      </c>
      <c r="E6" s="346" t="s">
        <v>142</v>
      </c>
      <c r="F6" s="347" t="s">
        <v>143</v>
      </c>
      <c r="G6" s="288" t="s">
        <v>144</v>
      </c>
      <c r="H6" s="288" t="s">
        <v>157</v>
      </c>
    </row>
    <row r="7" spans="1:8" ht="21.75" customHeight="1" x14ac:dyDescent="0.3">
      <c r="A7" s="348" t="s">
        <v>145</v>
      </c>
      <c r="B7" s="349">
        <v>42235</v>
      </c>
      <c r="C7" s="362" t="s">
        <v>228</v>
      </c>
      <c r="D7" s="351">
        <v>108185</v>
      </c>
      <c r="E7" s="352" t="s">
        <v>147</v>
      </c>
      <c r="F7" s="353">
        <v>69.72</v>
      </c>
      <c r="G7" s="361" t="s">
        <v>148</v>
      </c>
      <c r="H7" s="361" t="s">
        <v>158</v>
      </c>
    </row>
    <row r="8" spans="1:8" x14ac:dyDescent="0.3">
      <c r="A8" s="348" t="s">
        <v>145</v>
      </c>
      <c r="B8" s="349">
        <v>42270</v>
      </c>
      <c r="C8" s="362" t="s">
        <v>228</v>
      </c>
      <c r="D8" s="351">
        <v>109571</v>
      </c>
      <c r="E8" s="352" t="s">
        <v>147</v>
      </c>
      <c r="F8" s="353">
        <v>63.2</v>
      </c>
      <c r="G8" s="361" t="s">
        <v>148</v>
      </c>
      <c r="H8" s="361" t="s">
        <v>158</v>
      </c>
    </row>
    <row r="9" spans="1:8" x14ac:dyDescent="0.3">
      <c r="A9" s="348" t="s">
        <v>145</v>
      </c>
      <c r="B9" s="349">
        <v>42285</v>
      </c>
      <c r="C9" s="362" t="s">
        <v>228</v>
      </c>
      <c r="D9" s="351">
        <v>109968</v>
      </c>
      <c r="E9" s="352" t="s">
        <v>147</v>
      </c>
      <c r="F9" s="353">
        <v>335.83</v>
      </c>
      <c r="G9" s="361" t="s">
        <v>148</v>
      </c>
      <c r="H9" s="361" t="s">
        <v>158</v>
      </c>
    </row>
    <row r="10" spans="1:8" x14ac:dyDescent="0.3">
      <c r="A10" s="348" t="s">
        <v>145</v>
      </c>
      <c r="B10" s="349">
        <v>42319</v>
      </c>
      <c r="C10" s="362" t="s">
        <v>228</v>
      </c>
      <c r="D10" s="351">
        <v>111219</v>
      </c>
      <c r="E10" s="352" t="s">
        <v>147</v>
      </c>
      <c r="F10" s="353">
        <v>14.92</v>
      </c>
      <c r="G10" s="361" t="s">
        <v>148</v>
      </c>
      <c r="H10" s="361" t="s">
        <v>158</v>
      </c>
    </row>
    <row r="11" spans="1:8" x14ac:dyDescent="0.3">
      <c r="A11" s="348" t="s">
        <v>145</v>
      </c>
      <c r="B11" s="349">
        <v>42347</v>
      </c>
      <c r="C11" s="362" t="s">
        <v>228</v>
      </c>
      <c r="D11" s="351">
        <v>112266</v>
      </c>
      <c r="E11" s="352" t="s">
        <v>147</v>
      </c>
      <c r="F11" s="353">
        <v>10.59</v>
      </c>
      <c r="G11" s="361" t="s">
        <v>148</v>
      </c>
      <c r="H11" s="361" t="s">
        <v>158</v>
      </c>
    </row>
    <row r="12" spans="1:8" x14ac:dyDescent="0.3">
      <c r="A12" s="348" t="s">
        <v>145</v>
      </c>
      <c r="B12" s="349">
        <v>42397</v>
      </c>
      <c r="C12" s="362" t="s">
        <v>228</v>
      </c>
      <c r="D12" s="351">
        <v>113544</v>
      </c>
      <c r="E12" s="352" t="s">
        <v>147</v>
      </c>
      <c r="F12" s="353">
        <v>3.88</v>
      </c>
      <c r="G12" s="361" t="s">
        <v>148</v>
      </c>
      <c r="H12" s="380" t="s">
        <v>158</v>
      </c>
    </row>
    <row r="13" spans="1:8" x14ac:dyDescent="0.3">
      <c r="A13" s="348" t="s">
        <v>145</v>
      </c>
      <c r="B13" s="406" t="s">
        <v>290</v>
      </c>
      <c r="C13" s="362" t="s">
        <v>228</v>
      </c>
      <c r="D13" s="351">
        <v>114442</v>
      </c>
      <c r="E13" s="352" t="s">
        <v>147</v>
      </c>
      <c r="F13" s="353">
        <v>50.7</v>
      </c>
      <c r="G13" s="380" t="s">
        <v>148</v>
      </c>
      <c r="H13" s="380" t="s">
        <v>158</v>
      </c>
    </row>
    <row r="14" spans="1:8" x14ac:dyDescent="0.3">
      <c r="A14" s="348" t="s">
        <v>145</v>
      </c>
      <c r="B14" s="349">
        <v>42431</v>
      </c>
      <c r="C14" s="362" t="s">
        <v>228</v>
      </c>
      <c r="D14" s="351">
        <v>115091</v>
      </c>
      <c r="E14" s="352" t="s">
        <v>147</v>
      </c>
      <c r="F14" s="353">
        <v>21.12</v>
      </c>
      <c r="G14" s="380" t="s">
        <v>148</v>
      </c>
      <c r="H14" s="380" t="s">
        <v>158</v>
      </c>
    </row>
    <row r="15" spans="1:8" x14ac:dyDescent="0.3">
      <c r="A15" s="348" t="s">
        <v>145</v>
      </c>
      <c r="B15" s="349">
        <v>42502</v>
      </c>
      <c r="C15" s="362" t="s">
        <v>228</v>
      </c>
      <c r="D15" s="351">
        <v>117303</v>
      </c>
      <c r="E15" s="352" t="s">
        <v>147</v>
      </c>
      <c r="F15" s="353">
        <v>16.96</v>
      </c>
      <c r="G15" s="380" t="s">
        <v>148</v>
      </c>
      <c r="H15" s="380" t="s">
        <v>158</v>
      </c>
    </row>
    <row r="16" spans="1:8" x14ac:dyDescent="0.3">
      <c r="A16" s="348" t="s">
        <v>145</v>
      </c>
      <c r="B16" s="349">
        <v>42529</v>
      </c>
      <c r="C16" s="362" t="s">
        <v>228</v>
      </c>
      <c r="D16" s="351">
        <v>117996</v>
      </c>
      <c r="E16" s="352" t="s">
        <v>147</v>
      </c>
      <c r="F16" s="353">
        <v>7.44</v>
      </c>
      <c r="G16" s="380" t="s">
        <v>148</v>
      </c>
      <c r="H16" s="380" t="s">
        <v>234</v>
      </c>
    </row>
    <row r="17" spans="1:8" x14ac:dyDescent="0.3">
      <c r="A17" s="348" t="s">
        <v>145</v>
      </c>
      <c r="B17" s="349"/>
      <c r="C17" s="362" t="s">
        <v>228</v>
      </c>
      <c r="D17" s="417">
        <v>118827</v>
      </c>
      <c r="E17" s="352" t="s">
        <v>147</v>
      </c>
      <c r="F17" s="360">
        <v>24</v>
      </c>
      <c r="G17" s="295" t="s">
        <v>148</v>
      </c>
      <c r="H17" s="295" t="s">
        <v>158</v>
      </c>
    </row>
    <row r="18" spans="1:8" ht="15" thickBot="1" x14ac:dyDescent="0.35">
      <c r="A18" s="340"/>
      <c r="B18" s="340"/>
      <c r="C18" s="340"/>
      <c r="D18" s="340"/>
      <c r="E18" s="340"/>
      <c r="F18" s="371">
        <f>SUM(F7:F17)</f>
        <v>618.36000000000013</v>
      </c>
    </row>
    <row r="19" spans="1:8" ht="15" thickTop="1" x14ac:dyDescent="0.3">
      <c r="F19" s="408"/>
    </row>
    <row r="29" spans="1:8" x14ac:dyDescent="0.3">
      <c r="F29" s="415"/>
    </row>
  </sheetData>
  <autoFilter ref="A6:H6" xr:uid="{00000000-0009-0000-0000-000045000000}">
    <sortState xmlns:xlrd2="http://schemas.microsoft.com/office/spreadsheetml/2017/richdata2" ref="A7:H16">
      <sortCondition ref="D6"/>
    </sortState>
  </autoFilter>
  <mergeCells count="1">
    <mergeCell ref="A4:F4"/>
  </mergeCells>
  <hyperlinks>
    <hyperlink ref="A1" location="'MFMA-7.1 F&amp;W Register'!A1" display="Back to MFMA-7.1 F&amp;W Register" xr:uid="{00000000-0004-0000-4500-000000000000}"/>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FFFF00"/>
  </sheetPr>
  <dimension ref="A1:H14"/>
  <sheetViews>
    <sheetView topLeftCell="B1" workbookViewId="0">
      <selection activeCell="G13" sqref="G13"/>
    </sheetView>
  </sheetViews>
  <sheetFormatPr defaultColWidth="9.109375" defaultRowHeight="14.4" x14ac:dyDescent="0.3"/>
  <cols>
    <col min="1" max="1" width="31.33203125" style="1" bestFit="1" customWidth="1"/>
    <col min="2" max="2" width="10.6640625" style="1" bestFit="1" customWidth="1"/>
    <col min="3" max="3" width="16.6640625" style="1" bestFit="1" customWidth="1"/>
    <col min="4" max="4" width="11.44140625" style="1" bestFit="1" customWidth="1"/>
    <col min="5" max="5" width="26.33203125" style="1" customWidth="1"/>
    <col min="6" max="6" width="10.6640625" style="1" bestFit="1" customWidth="1"/>
    <col min="7" max="7" width="18.44140625" style="1" customWidth="1"/>
    <col min="8" max="8" width="73.44140625" style="1" customWidth="1"/>
    <col min="9" max="16384" width="9.109375" style="1"/>
  </cols>
  <sheetData>
    <row r="1" spans="1:8" x14ac:dyDescent="0.3">
      <c r="A1" s="339" t="s">
        <v>223</v>
      </c>
      <c r="B1" s="340"/>
      <c r="C1" s="340"/>
      <c r="D1" s="340"/>
      <c r="E1" s="340"/>
      <c r="F1" s="340"/>
      <c r="G1" s="281"/>
      <c r="H1" s="281"/>
    </row>
    <row r="2" spans="1:8" x14ac:dyDescent="0.3">
      <c r="A2" s="207" t="s">
        <v>137</v>
      </c>
      <c r="B2" s="341"/>
      <c r="C2" s="340"/>
      <c r="D2" s="340"/>
      <c r="E2" s="340"/>
      <c r="F2" s="340"/>
      <c r="G2" s="281"/>
      <c r="H2" s="281"/>
    </row>
    <row r="3" spans="1:8" x14ac:dyDescent="0.3">
      <c r="A3" s="340"/>
      <c r="B3" s="341"/>
      <c r="C3" s="340"/>
      <c r="D3" s="340"/>
      <c r="E3" s="340"/>
      <c r="F3" s="340"/>
      <c r="G3" s="281"/>
      <c r="H3" s="281"/>
    </row>
    <row r="4" spans="1:8" x14ac:dyDescent="0.3">
      <c r="A4" s="885" t="s">
        <v>163</v>
      </c>
      <c r="B4" s="885"/>
      <c r="C4" s="885"/>
      <c r="D4" s="885"/>
      <c r="E4" s="885"/>
      <c r="F4" s="885"/>
      <c r="G4" s="281"/>
      <c r="H4" s="281"/>
    </row>
    <row r="5" spans="1:8" x14ac:dyDescent="0.3">
      <c r="A5" s="340"/>
      <c r="B5" s="341"/>
      <c r="C5" s="340"/>
      <c r="D5" s="340"/>
      <c r="E5" s="340"/>
      <c r="F5" s="340"/>
      <c r="G5" s="281"/>
      <c r="H5" s="281"/>
    </row>
    <row r="6" spans="1:8" x14ac:dyDescent="0.3">
      <c r="A6" s="342" t="s">
        <v>138</v>
      </c>
      <c r="B6" s="343" t="s">
        <v>139</v>
      </c>
      <c r="C6" s="344" t="s">
        <v>140</v>
      </c>
      <c r="D6" s="345" t="s">
        <v>141</v>
      </c>
      <c r="E6" s="346" t="s">
        <v>142</v>
      </c>
      <c r="F6" s="347" t="s">
        <v>143</v>
      </c>
      <c r="G6" s="288" t="s">
        <v>144</v>
      </c>
      <c r="H6" s="288" t="s">
        <v>157</v>
      </c>
    </row>
    <row r="7" spans="1:8" ht="21.75" customHeight="1" x14ac:dyDescent="0.3">
      <c r="A7" s="409" t="s">
        <v>145</v>
      </c>
      <c r="B7" s="370" t="s">
        <v>293</v>
      </c>
      <c r="C7" s="370" t="s">
        <v>200</v>
      </c>
      <c r="D7" s="370">
        <v>108006</v>
      </c>
      <c r="E7" s="370" t="s">
        <v>147</v>
      </c>
      <c r="F7" s="370">
        <v>114.74</v>
      </c>
      <c r="G7" s="370" t="s">
        <v>148</v>
      </c>
      <c r="H7" s="370" t="s">
        <v>158</v>
      </c>
    </row>
    <row r="8" spans="1:8" ht="21.75" customHeight="1" x14ac:dyDescent="0.3">
      <c r="A8" s="348" t="s">
        <v>145</v>
      </c>
      <c r="B8" s="349">
        <v>42221</v>
      </c>
      <c r="C8" s="362" t="s">
        <v>200</v>
      </c>
      <c r="D8" s="351">
        <v>108742</v>
      </c>
      <c r="E8" s="352" t="s">
        <v>147</v>
      </c>
      <c r="F8" s="353">
        <v>123.7</v>
      </c>
      <c r="G8" s="361" t="s">
        <v>148</v>
      </c>
      <c r="H8" s="361" t="s">
        <v>158</v>
      </c>
    </row>
    <row r="9" spans="1:8" x14ac:dyDescent="0.3">
      <c r="A9" s="348" t="s">
        <v>145</v>
      </c>
      <c r="B9" s="349">
        <v>42319</v>
      </c>
      <c r="C9" s="362" t="s">
        <v>200</v>
      </c>
      <c r="D9" s="351">
        <v>111232</v>
      </c>
      <c r="E9" s="352" t="s">
        <v>147</v>
      </c>
      <c r="F9" s="353">
        <v>109.8</v>
      </c>
      <c r="G9" s="361" t="s">
        <v>148</v>
      </c>
      <c r="H9" s="361" t="s">
        <v>158</v>
      </c>
    </row>
    <row r="10" spans="1:8" x14ac:dyDescent="0.3">
      <c r="A10" s="348" t="s">
        <v>145</v>
      </c>
      <c r="B10" s="355">
        <v>42403</v>
      </c>
      <c r="C10" s="356" t="s">
        <v>200</v>
      </c>
      <c r="D10" s="357">
        <v>113750</v>
      </c>
      <c r="E10" s="352" t="s">
        <v>147</v>
      </c>
      <c r="F10" s="358">
        <v>97.54</v>
      </c>
      <c r="G10" s="338" t="s">
        <v>148</v>
      </c>
      <c r="H10" s="338" t="s">
        <v>158</v>
      </c>
    </row>
    <row r="11" spans="1:8" x14ac:dyDescent="0.3">
      <c r="A11" s="348" t="s">
        <v>145</v>
      </c>
      <c r="B11" s="355">
        <v>42466</v>
      </c>
      <c r="C11" s="356" t="s">
        <v>200</v>
      </c>
      <c r="D11" s="357">
        <v>116122</v>
      </c>
      <c r="E11" s="352" t="s">
        <v>147</v>
      </c>
      <c r="F11" s="358">
        <v>114.2</v>
      </c>
      <c r="G11" s="338" t="s">
        <v>148</v>
      </c>
      <c r="H11" s="338" t="s">
        <v>158</v>
      </c>
    </row>
    <row r="12" spans="1:8" x14ac:dyDescent="0.3">
      <c r="A12" s="348" t="s">
        <v>145</v>
      </c>
      <c r="B12" s="349"/>
      <c r="C12" s="356" t="s">
        <v>200</v>
      </c>
      <c r="D12" s="370">
        <v>118898</v>
      </c>
      <c r="E12" s="405" t="s">
        <v>147</v>
      </c>
      <c r="F12" s="360">
        <v>101.62</v>
      </c>
      <c r="G12" s="295" t="s">
        <v>148</v>
      </c>
      <c r="H12" s="295" t="s">
        <v>158</v>
      </c>
    </row>
    <row r="13" spans="1:8" ht="15" thickBot="1" x14ac:dyDescent="0.35">
      <c r="A13" s="340"/>
      <c r="B13" s="340"/>
      <c r="C13" s="340"/>
      <c r="D13" s="340"/>
      <c r="E13" s="340"/>
      <c r="F13" s="371">
        <f>SUM(F7:F12)</f>
        <v>661.6</v>
      </c>
    </row>
    <row r="14" spans="1:8" ht="15" thickTop="1" x14ac:dyDescent="0.3"/>
  </sheetData>
  <mergeCells count="1">
    <mergeCell ref="A4:F4"/>
  </mergeCells>
  <hyperlinks>
    <hyperlink ref="A1" location="'MFMA-7.1 F&amp;W Register'!A1" display="Back to MFMA-7.1 F&amp;W Register" xr:uid="{00000000-0004-0000-4600-0000000000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FFFF00"/>
  </sheetPr>
  <dimension ref="A1:H15"/>
  <sheetViews>
    <sheetView topLeftCell="A4" workbookViewId="0">
      <selection activeCell="D17" sqref="D17"/>
    </sheetView>
  </sheetViews>
  <sheetFormatPr defaultColWidth="9.109375" defaultRowHeight="14.4" x14ac:dyDescent="0.3"/>
  <cols>
    <col min="1" max="1" width="31.33203125" style="1" bestFit="1" customWidth="1"/>
    <col min="2" max="2" width="10.6640625" style="1" bestFit="1" customWidth="1"/>
    <col min="3" max="3" width="22.5546875" style="1" bestFit="1" customWidth="1"/>
    <col min="4" max="4" width="11.44140625" style="1" bestFit="1" customWidth="1"/>
    <col min="5" max="5" width="26.33203125" style="1" customWidth="1"/>
    <col min="6" max="6" width="10.6640625" style="1" bestFit="1" customWidth="1"/>
    <col min="7" max="7" width="18.44140625" style="1" customWidth="1"/>
    <col min="8" max="8" width="73.44140625" style="1" customWidth="1"/>
    <col min="9" max="16384" width="9.109375" style="1"/>
  </cols>
  <sheetData>
    <row r="1" spans="1:8" x14ac:dyDescent="0.3">
      <c r="A1" s="339" t="s">
        <v>223</v>
      </c>
      <c r="B1" s="340"/>
      <c r="C1" s="340"/>
      <c r="D1" s="340"/>
      <c r="E1" s="340"/>
      <c r="F1" s="340"/>
      <c r="G1" s="281"/>
      <c r="H1" s="281"/>
    </row>
    <row r="2" spans="1:8" x14ac:dyDescent="0.3">
      <c r="A2" s="207" t="s">
        <v>137</v>
      </c>
      <c r="B2" s="341"/>
      <c r="C2" s="340"/>
      <c r="D2" s="340"/>
      <c r="E2" s="340"/>
      <c r="F2" s="340"/>
      <c r="G2" s="281"/>
      <c r="H2" s="281"/>
    </row>
    <row r="3" spans="1:8" x14ac:dyDescent="0.3">
      <c r="A3" s="340"/>
      <c r="B3" s="341"/>
      <c r="C3" s="340"/>
      <c r="D3" s="340"/>
      <c r="E3" s="340"/>
      <c r="F3" s="340"/>
      <c r="G3" s="281"/>
      <c r="H3" s="281"/>
    </row>
    <row r="4" spans="1:8" x14ac:dyDescent="0.3">
      <c r="A4" s="885" t="s">
        <v>163</v>
      </c>
      <c r="B4" s="885"/>
      <c r="C4" s="885"/>
      <c r="D4" s="885"/>
      <c r="E4" s="885"/>
      <c r="F4" s="885"/>
      <c r="G4" s="281"/>
      <c r="H4" s="281"/>
    </row>
    <row r="5" spans="1:8" x14ac:dyDescent="0.3">
      <c r="A5" s="340"/>
      <c r="B5" s="341"/>
      <c r="C5" s="340"/>
      <c r="D5" s="340"/>
      <c r="E5" s="340"/>
      <c r="F5" s="340"/>
      <c r="G5" s="281"/>
      <c r="H5" s="281"/>
    </row>
    <row r="6" spans="1:8" x14ac:dyDescent="0.3">
      <c r="A6" s="342" t="s">
        <v>138</v>
      </c>
      <c r="B6" s="343" t="s">
        <v>139</v>
      </c>
      <c r="C6" s="344" t="s">
        <v>140</v>
      </c>
      <c r="D6" s="345" t="s">
        <v>141</v>
      </c>
      <c r="E6" s="346" t="s">
        <v>142</v>
      </c>
      <c r="F6" s="347" t="s">
        <v>143</v>
      </c>
      <c r="G6" s="288" t="s">
        <v>144</v>
      </c>
      <c r="H6" s="288" t="s">
        <v>157</v>
      </c>
    </row>
    <row r="7" spans="1:8" ht="21.75" customHeight="1" x14ac:dyDescent="0.3">
      <c r="A7" s="348" t="s">
        <v>145</v>
      </c>
      <c r="B7" s="349">
        <v>42221</v>
      </c>
      <c r="C7" s="362" t="s">
        <v>103</v>
      </c>
      <c r="D7" s="351">
        <v>110743</v>
      </c>
      <c r="E7" s="352" t="s">
        <v>147</v>
      </c>
      <c r="F7" s="383">
        <v>21345.599999999999</v>
      </c>
      <c r="G7" s="361" t="s">
        <v>148</v>
      </c>
      <c r="H7" s="361" t="s">
        <v>158</v>
      </c>
    </row>
    <row r="8" spans="1:8" x14ac:dyDescent="0.3">
      <c r="A8" s="348" t="s">
        <v>145</v>
      </c>
      <c r="B8" s="349">
        <v>42256</v>
      </c>
      <c r="C8" s="362" t="s">
        <v>103</v>
      </c>
      <c r="D8" s="351">
        <v>109043</v>
      </c>
      <c r="E8" s="352" t="s">
        <v>147</v>
      </c>
      <c r="F8" s="382">
        <v>20603.53</v>
      </c>
      <c r="G8" s="361" t="s">
        <v>148</v>
      </c>
      <c r="H8" s="361" t="s">
        <v>158</v>
      </c>
    </row>
    <row r="9" spans="1:8" x14ac:dyDescent="0.3">
      <c r="A9" s="354" t="s">
        <v>145</v>
      </c>
      <c r="B9" s="355">
        <v>42510</v>
      </c>
      <c r="C9" s="356" t="s">
        <v>103</v>
      </c>
      <c r="D9" s="357">
        <v>117574</v>
      </c>
      <c r="E9" s="352" t="s">
        <v>147</v>
      </c>
      <c r="F9" s="358">
        <v>24011.67</v>
      </c>
      <c r="G9" s="381" t="s">
        <v>148</v>
      </c>
      <c r="H9" s="381" t="s">
        <v>158</v>
      </c>
    </row>
    <row r="10" spans="1:8" x14ac:dyDescent="0.3">
      <c r="A10" s="354" t="s">
        <v>145</v>
      </c>
      <c r="B10" s="355">
        <v>42515</v>
      </c>
      <c r="C10" s="356" t="s">
        <v>103</v>
      </c>
      <c r="D10" s="357">
        <v>117725</v>
      </c>
      <c r="E10" s="352" t="s">
        <v>147</v>
      </c>
      <c r="F10" s="358">
        <v>44480.1</v>
      </c>
      <c r="G10" s="381" t="s">
        <v>148</v>
      </c>
      <c r="H10" s="338" t="s">
        <v>158</v>
      </c>
    </row>
    <row r="11" spans="1:8" x14ac:dyDescent="0.3">
      <c r="A11" s="348" t="s">
        <v>145</v>
      </c>
      <c r="B11" s="349">
        <v>42499</v>
      </c>
      <c r="C11" s="362" t="s">
        <v>103</v>
      </c>
      <c r="D11" s="410" t="s">
        <v>240</v>
      </c>
      <c r="E11" s="352" t="s">
        <v>147</v>
      </c>
      <c r="F11" s="360">
        <v>62039.3</v>
      </c>
      <c r="G11" s="295" t="s">
        <v>148</v>
      </c>
      <c r="H11" s="295" t="s">
        <v>158</v>
      </c>
    </row>
    <row r="12" spans="1:8" x14ac:dyDescent="0.3">
      <c r="A12" s="348" t="s">
        <v>145</v>
      </c>
      <c r="B12" s="406" t="s">
        <v>288</v>
      </c>
      <c r="C12" s="362" t="s">
        <v>103</v>
      </c>
      <c r="D12" s="386">
        <v>109976</v>
      </c>
      <c r="E12" s="405" t="s">
        <v>147</v>
      </c>
      <c r="F12" s="411">
        <v>20090.169999999998</v>
      </c>
      <c r="G12" s="295" t="s">
        <v>148</v>
      </c>
      <c r="H12" s="295" t="s">
        <v>158</v>
      </c>
    </row>
    <row r="13" spans="1:8" s="340" customFormat="1" x14ac:dyDescent="0.3">
      <c r="A13" s="348" t="s">
        <v>145</v>
      </c>
      <c r="B13" s="406" t="s">
        <v>332</v>
      </c>
      <c r="C13" s="362" t="s">
        <v>103</v>
      </c>
      <c r="D13" s="357" t="s">
        <v>331</v>
      </c>
      <c r="E13" s="352" t="s">
        <v>147</v>
      </c>
      <c r="F13" s="358">
        <v>20403</v>
      </c>
      <c r="G13" s="361" t="s">
        <v>148</v>
      </c>
      <c r="H13" s="361" t="s">
        <v>158</v>
      </c>
    </row>
    <row r="14" spans="1:8" ht="15" thickBot="1" x14ac:dyDescent="0.35">
      <c r="A14" s="340"/>
      <c r="B14" s="340"/>
      <c r="C14" s="340"/>
      <c r="D14" s="340"/>
      <c r="E14" s="340"/>
      <c r="F14" s="404">
        <f>SUM(F7:F13)</f>
        <v>212973.37</v>
      </c>
    </row>
    <row r="15" spans="1:8" ht="15" thickTop="1" x14ac:dyDescent="0.3"/>
  </sheetData>
  <mergeCells count="1">
    <mergeCell ref="A4:F4"/>
  </mergeCells>
  <hyperlinks>
    <hyperlink ref="A1" location="'MFMA-7.1 F&amp;W Register'!A1" display="Back to MFMA-7.1 F&amp;W Register" xr:uid="{00000000-0004-0000-4700-000000000000}"/>
  </hyperlink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FFFF00"/>
  </sheetPr>
  <dimension ref="A1:H12"/>
  <sheetViews>
    <sheetView workbookViewId="0">
      <selection activeCell="A18" sqref="A18"/>
    </sheetView>
  </sheetViews>
  <sheetFormatPr defaultColWidth="9.109375" defaultRowHeight="14.4" x14ac:dyDescent="0.3"/>
  <cols>
    <col min="1" max="1" width="31.33203125" style="1" bestFit="1" customWidth="1"/>
    <col min="2" max="2" width="10.6640625" style="1" bestFit="1" customWidth="1"/>
    <col min="3" max="3" width="29" style="1" bestFit="1" customWidth="1"/>
    <col min="4" max="4" width="11.44140625" style="1" bestFit="1" customWidth="1"/>
    <col min="5" max="5" width="26.33203125" style="1" customWidth="1"/>
    <col min="6" max="6" width="10.6640625" style="1" bestFit="1" customWidth="1"/>
    <col min="7" max="7" width="18.44140625" style="1" customWidth="1"/>
    <col min="8" max="8" width="73.44140625" style="1" customWidth="1"/>
    <col min="9" max="16384" width="9.109375" style="1"/>
  </cols>
  <sheetData>
    <row r="1" spans="1:8" x14ac:dyDescent="0.3">
      <c r="A1" s="339" t="s">
        <v>223</v>
      </c>
      <c r="B1" s="340"/>
      <c r="C1" s="340"/>
      <c r="D1" s="340"/>
      <c r="E1" s="340"/>
      <c r="F1" s="340"/>
      <c r="G1" s="281"/>
      <c r="H1" s="281"/>
    </row>
    <row r="2" spans="1:8" x14ac:dyDescent="0.3">
      <c r="A2" s="207" t="s">
        <v>137</v>
      </c>
      <c r="B2" s="341"/>
      <c r="C2" s="340"/>
      <c r="D2" s="340"/>
      <c r="E2" s="340"/>
      <c r="F2" s="340"/>
      <c r="G2" s="281"/>
      <c r="H2" s="281"/>
    </row>
    <row r="3" spans="1:8" x14ac:dyDescent="0.3">
      <c r="A3" s="340"/>
      <c r="B3" s="341"/>
      <c r="C3" s="340"/>
      <c r="D3" s="340"/>
      <c r="E3" s="340"/>
      <c r="F3" s="340"/>
      <c r="G3" s="281"/>
      <c r="H3" s="281"/>
    </row>
    <row r="4" spans="1:8" x14ac:dyDescent="0.3">
      <c r="A4" s="885" t="s">
        <v>163</v>
      </c>
      <c r="B4" s="885"/>
      <c r="C4" s="885"/>
      <c r="D4" s="885"/>
      <c r="E4" s="885"/>
      <c r="F4" s="885"/>
      <c r="G4" s="281"/>
      <c r="H4" s="281"/>
    </row>
    <row r="5" spans="1:8" x14ac:dyDescent="0.3">
      <c r="A5" s="340"/>
      <c r="B5" s="341"/>
      <c r="C5" s="340"/>
      <c r="D5" s="340"/>
      <c r="E5" s="340"/>
      <c r="F5" s="340"/>
      <c r="G5" s="281"/>
      <c r="H5" s="281"/>
    </row>
    <row r="6" spans="1:8" x14ac:dyDescent="0.3">
      <c r="A6" s="342" t="s">
        <v>138</v>
      </c>
      <c r="B6" s="343" t="s">
        <v>139</v>
      </c>
      <c r="C6" s="344" t="s">
        <v>140</v>
      </c>
      <c r="D6" s="345" t="s">
        <v>141</v>
      </c>
      <c r="E6" s="346" t="s">
        <v>142</v>
      </c>
      <c r="F6" s="347" t="s">
        <v>143</v>
      </c>
      <c r="G6" s="288" t="s">
        <v>144</v>
      </c>
      <c r="H6" s="288" t="s">
        <v>157</v>
      </c>
    </row>
    <row r="7" spans="1:8" ht="21.75" customHeight="1" x14ac:dyDescent="0.3">
      <c r="A7" s="348" t="s">
        <v>145</v>
      </c>
      <c r="B7" s="349">
        <v>42221</v>
      </c>
      <c r="C7" s="362" t="s">
        <v>231</v>
      </c>
      <c r="D7" s="351">
        <v>110743</v>
      </c>
      <c r="E7" s="352" t="s">
        <v>147</v>
      </c>
      <c r="F7" s="375">
        <v>3796.41</v>
      </c>
      <c r="G7" s="361" t="s">
        <v>148</v>
      </c>
      <c r="H7" s="361" t="s">
        <v>158</v>
      </c>
    </row>
    <row r="8" spans="1:8" x14ac:dyDescent="0.3">
      <c r="A8" s="348"/>
      <c r="B8" s="349"/>
      <c r="C8" s="362"/>
      <c r="D8" s="351"/>
      <c r="E8" s="352"/>
      <c r="F8" s="377"/>
      <c r="G8" s="361"/>
      <c r="H8" s="361"/>
    </row>
    <row r="9" spans="1:8" x14ac:dyDescent="0.3">
      <c r="A9" s="354"/>
      <c r="B9" s="355"/>
      <c r="C9" s="356"/>
      <c r="D9" s="357"/>
      <c r="E9" s="352"/>
      <c r="F9" s="358"/>
      <c r="G9" s="338"/>
      <c r="H9" s="338"/>
    </row>
    <row r="10" spans="1:8" x14ac:dyDescent="0.3">
      <c r="A10" s="348"/>
      <c r="B10" s="349"/>
      <c r="C10" s="350"/>
      <c r="D10" s="359"/>
      <c r="E10" s="352"/>
      <c r="F10" s="360"/>
      <c r="G10" s="295"/>
      <c r="H10" s="295"/>
    </row>
    <row r="11" spans="1:8" ht="15" thickBot="1" x14ac:dyDescent="0.35">
      <c r="A11" s="340"/>
      <c r="B11" s="340"/>
      <c r="C11" s="340"/>
      <c r="D11" s="340"/>
      <c r="E11" s="340"/>
      <c r="F11" s="376">
        <f>SUM(F7:F10)</f>
        <v>3796.41</v>
      </c>
    </row>
    <row r="12" spans="1:8" ht="15" thickTop="1" x14ac:dyDescent="0.3"/>
  </sheetData>
  <mergeCells count="1">
    <mergeCell ref="A4:F4"/>
  </mergeCells>
  <hyperlinks>
    <hyperlink ref="A1" location="'MFMA-7.1 F&amp;W Register'!A1" display="Back to MFMA-7.1 F&amp;W Register" xr:uid="{00000000-0004-0000-4800-000000000000}"/>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FFFF00"/>
  </sheetPr>
  <dimension ref="A1:H12"/>
  <sheetViews>
    <sheetView workbookViewId="0"/>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0.109375" style="1" bestFit="1" customWidth="1"/>
    <col min="5" max="5" width="24.33203125" style="1" customWidth="1"/>
    <col min="6" max="6" width="11.88671875" style="1" customWidth="1"/>
    <col min="7" max="7" width="18.44140625" style="1" customWidth="1"/>
    <col min="8" max="8" width="73.44140625" style="1" customWidth="1"/>
    <col min="9" max="16384" width="9.109375" style="1"/>
  </cols>
  <sheetData>
    <row r="1" spans="1:8" x14ac:dyDescent="0.3">
      <c r="A1" s="326"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x14ac:dyDescent="0.3">
      <c r="A6" s="282" t="s">
        <v>138</v>
      </c>
      <c r="B6" s="283" t="s">
        <v>139</v>
      </c>
      <c r="C6" s="284" t="s">
        <v>140</v>
      </c>
      <c r="D6" s="285" t="s">
        <v>141</v>
      </c>
      <c r="E6" s="286" t="s">
        <v>142</v>
      </c>
      <c r="F6" s="287" t="s">
        <v>143</v>
      </c>
      <c r="G6" s="288" t="s">
        <v>144</v>
      </c>
      <c r="H6" s="288" t="s">
        <v>157</v>
      </c>
    </row>
    <row r="7" spans="1:8" x14ac:dyDescent="0.3">
      <c r="A7" s="289" t="s">
        <v>145</v>
      </c>
      <c r="B7" s="290">
        <v>42499</v>
      </c>
      <c r="C7" s="291" t="s">
        <v>17</v>
      </c>
      <c r="D7" s="292" t="s">
        <v>237</v>
      </c>
      <c r="E7" s="297" t="s">
        <v>147</v>
      </c>
      <c r="F7" s="294">
        <v>117852.29</v>
      </c>
      <c r="G7" s="295" t="s">
        <v>148</v>
      </c>
      <c r="H7" s="295" t="s">
        <v>158</v>
      </c>
    </row>
    <row r="8" spans="1:8" x14ac:dyDescent="0.3">
      <c r="A8" s="289"/>
      <c r="B8" s="290"/>
      <c r="C8" s="291"/>
      <c r="D8" s="292"/>
      <c r="E8" s="293"/>
      <c r="F8" s="294"/>
      <c r="G8" s="295"/>
      <c r="H8" s="295"/>
    </row>
    <row r="9" spans="1:8" x14ac:dyDescent="0.3">
      <c r="A9" s="333"/>
      <c r="B9" s="334"/>
      <c r="C9" s="335"/>
      <c r="D9" s="336"/>
      <c r="E9" s="293"/>
      <c r="F9" s="337"/>
      <c r="G9" s="338"/>
      <c r="H9" s="338"/>
    </row>
    <row r="10" spans="1:8" x14ac:dyDescent="0.3">
      <c r="A10" s="289"/>
      <c r="B10" s="290"/>
      <c r="C10" s="291"/>
      <c r="D10" s="296"/>
      <c r="E10" s="293"/>
      <c r="F10" s="278"/>
      <c r="G10" s="295"/>
      <c r="H10" s="295"/>
    </row>
    <row r="11" spans="1:8" ht="15" thickBot="1" x14ac:dyDescent="0.35">
      <c r="F11" s="372">
        <f>SUM(F7:F10)</f>
        <v>117852.29</v>
      </c>
    </row>
    <row r="12" spans="1:8" ht="15" thickTop="1" x14ac:dyDescent="0.3"/>
  </sheetData>
  <hyperlinks>
    <hyperlink ref="A1" location="'MFMA-7.1 F&amp;W Register'!A1" display="Back to MFMA-7.1 F&amp;W Register" xr:uid="{00000000-0004-0000-4900-000000000000}"/>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00B0F0"/>
  </sheetPr>
  <dimension ref="A1:H35"/>
  <sheetViews>
    <sheetView topLeftCell="A13" workbookViewId="0"/>
  </sheetViews>
  <sheetFormatPr defaultColWidth="9.109375" defaultRowHeight="13.8" x14ac:dyDescent="0.3"/>
  <cols>
    <col min="1" max="1" width="30.88671875" style="281" bestFit="1" customWidth="1"/>
    <col min="2" max="2" width="24.44140625" style="281" bestFit="1" customWidth="1"/>
    <col min="3" max="3" width="15.44140625" style="281" bestFit="1" customWidth="1"/>
    <col min="4" max="4" width="11" style="281" bestFit="1" customWidth="1"/>
    <col min="5" max="5" width="29.5546875" style="281" customWidth="1"/>
    <col min="6" max="6" width="10.5546875" style="281" bestFit="1" customWidth="1"/>
    <col min="7" max="7" width="14.44140625" style="281" bestFit="1" customWidth="1"/>
    <col min="8" max="8" width="35.88671875" style="281" bestFit="1" customWidth="1"/>
    <col min="9" max="16384" width="9.109375" style="281"/>
  </cols>
  <sheetData>
    <row r="1" spans="1:8" x14ac:dyDescent="0.3">
      <c r="A1" s="326" t="s">
        <v>223</v>
      </c>
    </row>
    <row r="2" spans="1:8" x14ac:dyDescent="0.3">
      <c r="A2" s="279" t="s">
        <v>137</v>
      </c>
      <c r="B2" s="280"/>
    </row>
    <row r="3" spans="1:8" x14ac:dyDescent="0.3">
      <c r="B3" s="280"/>
    </row>
    <row r="4" spans="1:8" x14ac:dyDescent="0.3">
      <c r="A4" s="886" t="s">
        <v>163</v>
      </c>
      <c r="B4" s="886"/>
      <c r="C4" s="886"/>
      <c r="D4" s="886"/>
      <c r="E4" s="886"/>
      <c r="F4" s="886"/>
    </row>
    <row r="5" spans="1:8" x14ac:dyDescent="0.3">
      <c r="B5" s="280"/>
    </row>
    <row r="6" spans="1:8" x14ac:dyDescent="0.3">
      <c r="A6" s="282" t="s">
        <v>138</v>
      </c>
      <c r="B6" s="283" t="s">
        <v>139</v>
      </c>
      <c r="C6" s="284" t="s">
        <v>140</v>
      </c>
      <c r="D6" s="285" t="s">
        <v>141</v>
      </c>
      <c r="E6" s="286" t="s">
        <v>142</v>
      </c>
      <c r="F6" s="287" t="s">
        <v>143</v>
      </c>
      <c r="G6" s="288" t="s">
        <v>144</v>
      </c>
      <c r="H6" s="288" t="s">
        <v>157</v>
      </c>
    </row>
    <row r="7" spans="1:8" x14ac:dyDescent="0.3">
      <c r="A7" s="289" t="s">
        <v>145</v>
      </c>
      <c r="B7" s="290">
        <v>41889</v>
      </c>
      <c r="C7" s="291" t="s">
        <v>146</v>
      </c>
      <c r="D7" s="292">
        <v>95016</v>
      </c>
      <c r="E7" s="293" t="s">
        <v>147</v>
      </c>
      <c r="F7" s="294">
        <v>2782.69</v>
      </c>
      <c r="G7" s="295" t="s">
        <v>148</v>
      </c>
      <c r="H7" s="295" t="s">
        <v>158</v>
      </c>
    </row>
    <row r="8" spans="1:8" x14ac:dyDescent="0.3">
      <c r="A8" s="289" t="s">
        <v>145</v>
      </c>
      <c r="B8" s="290" t="s">
        <v>176</v>
      </c>
      <c r="C8" s="291" t="s">
        <v>146</v>
      </c>
      <c r="D8" s="292">
        <v>96351</v>
      </c>
      <c r="E8" s="293" t="s">
        <v>147</v>
      </c>
      <c r="F8" s="294">
        <f>246.84+182.81</f>
        <v>429.65</v>
      </c>
      <c r="G8" s="295" t="s">
        <v>148</v>
      </c>
      <c r="H8" s="295" t="s">
        <v>158</v>
      </c>
    </row>
    <row r="9" spans="1:8" x14ac:dyDescent="0.3">
      <c r="A9" s="303" t="s">
        <v>145</v>
      </c>
      <c r="B9" s="304" t="s">
        <v>177</v>
      </c>
      <c r="C9" s="305" t="s">
        <v>146</v>
      </c>
      <c r="D9" s="306">
        <v>97437</v>
      </c>
      <c r="E9" s="307" t="s">
        <v>147</v>
      </c>
      <c r="F9" s="308">
        <v>5703.04</v>
      </c>
      <c r="G9" s="309" t="s">
        <v>148</v>
      </c>
      <c r="H9" s="309" t="s">
        <v>158</v>
      </c>
    </row>
    <row r="10" spans="1:8" x14ac:dyDescent="0.3">
      <c r="A10" s="289" t="s">
        <v>145</v>
      </c>
      <c r="B10" s="290">
        <v>41861</v>
      </c>
      <c r="C10" s="291" t="s">
        <v>146</v>
      </c>
      <c r="D10" s="296">
        <v>97805</v>
      </c>
      <c r="E10" s="293" t="s">
        <v>147</v>
      </c>
      <c r="F10" s="278">
        <v>2.31</v>
      </c>
      <c r="G10" s="295" t="s">
        <v>148</v>
      </c>
      <c r="H10" s="295" t="s">
        <v>158</v>
      </c>
    </row>
    <row r="11" spans="1:8" x14ac:dyDescent="0.3">
      <c r="A11" s="289" t="s">
        <v>145</v>
      </c>
      <c r="B11" s="290">
        <v>41861</v>
      </c>
      <c r="C11" s="291" t="s">
        <v>146</v>
      </c>
      <c r="D11" s="296">
        <v>97801</v>
      </c>
      <c r="E11" s="293" t="s">
        <v>147</v>
      </c>
      <c r="F11" s="278">
        <v>13.6</v>
      </c>
      <c r="G11" s="295" t="s">
        <v>148</v>
      </c>
      <c r="H11" s="295" t="s">
        <v>158</v>
      </c>
    </row>
    <row r="12" spans="1:8" x14ac:dyDescent="0.3">
      <c r="A12" s="289" t="s">
        <v>145</v>
      </c>
      <c r="B12" s="290">
        <v>41861</v>
      </c>
      <c r="C12" s="291" t="s">
        <v>146</v>
      </c>
      <c r="D12" s="296">
        <v>97803</v>
      </c>
      <c r="E12" s="297" t="s">
        <v>147</v>
      </c>
      <c r="F12" s="278">
        <v>72</v>
      </c>
      <c r="G12" s="295" t="s">
        <v>148</v>
      </c>
      <c r="H12" s="295" t="s">
        <v>158</v>
      </c>
    </row>
    <row r="13" spans="1:8" x14ac:dyDescent="0.3">
      <c r="A13" s="289" t="s">
        <v>145</v>
      </c>
      <c r="B13" s="290" t="s">
        <v>185</v>
      </c>
      <c r="C13" s="291" t="s">
        <v>146</v>
      </c>
      <c r="D13" s="296">
        <v>98347</v>
      </c>
      <c r="E13" s="293" t="s">
        <v>147</v>
      </c>
      <c r="F13" s="278">
        <v>2.57</v>
      </c>
      <c r="G13" s="295" t="s">
        <v>148</v>
      </c>
      <c r="H13" s="295" t="s">
        <v>158</v>
      </c>
    </row>
    <row r="14" spans="1:8" x14ac:dyDescent="0.3">
      <c r="A14" s="289" t="s">
        <v>145</v>
      </c>
      <c r="B14" s="290" t="s">
        <v>186</v>
      </c>
      <c r="C14" s="291" t="s">
        <v>146</v>
      </c>
      <c r="D14" s="296">
        <v>98463</v>
      </c>
      <c r="E14" s="293" t="s">
        <v>147</v>
      </c>
      <c r="F14" s="278">
        <v>38.69</v>
      </c>
      <c r="G14" s="295" t="s">
        <v>148</v>
      </c>
      <c r="H14" s="295" t="s">
        <v>158</v>
      </c>
    </row>
    <row r="15" spans="1:8" x14ac:dyDescent="0.3">
      <c r="A15" s="289" t="s">
        <v>145</v>
      </c>
      <c r="B15" s="290" t="s">
        <v>186</v>
      </c>
      <c r="C15" s="291" t="s">
        <v>146</v>
      </c>
      <c r="D15" s="296">
        <v>98465</v>
      </c>
      <c r="E15" s="293" t="s">
        <v>147</v>
      </c>
      <c r="F15" s="278">
        <v>25.08</v>
      </c>
      <c r="G15" s="295" t="s">
        <v>148</v>
      </c>
      <c r="H15" s="295" t="s">
        <v>158</v>
      </c>
    </row>
    <row r="16" spans="1:8" x14ac:dyDescent="0.3">
      <c r="A16" s="289" t="s">
        <v>145</v>
      </c>
      <c r="B16" s="290" t="s">
        <v>185</v>
      </c>
      <c r="C16" s="291" t="s">
        <v>146</v>
      </c>
      <c r="D16" s="296">
        <v>98346</v>
      </c>
      <c r="E16" s="297" t="s">
        <v>147</v>
      </c>
      <c r="F16" s="278">
        <v>15.17</v>
      </c>
      <c r="G16" s="295" t="s">
        <v>148</v>
      </c>
      <c r="H16" s="295" t="s">
        <v>158</v>
      </c>
    </row>
    <row r="17" spans="1:8" x14ac:dyDescent="0.3">
      <c r="A17" s="289" t="s">
        <v>145</v>
      </c>
      <c r="B17" s="290" t="s">
        <v>186</v>
      </c>
      <c r="C17" s="291" t="s">
        <v>146</v>
      </c>
      <c r="D17" s="296">
        <v>98468</v>
      </c>
      <c r="E17" s="297" t="s">
        <v>147</v>
      </c>
      <c r="F17" s="278">
        <f>48.06+53.61+170.98</f>
        <v>272.64999999999998</v>
      </c>
      <c r="G17" s="295" t="s">
        <v>148</v>
      </c>
      <c r="H17" s="295" t="s">
        <v>158</v>
      </c>
    </row>
    <row r="18" spans="1:8" x14ac:dyDescent="0.3">
      <c r="A18" s="289" t="s">
        <v>145</v>
      </c>
      <c r="B18" s="300" t="s">
        <v>188</v>
      </c>
      <c r="C18" s="291" t="s">
        <v>146</v>
      </c>
      <c r="D18" s="296">
        <v>98594</v>
      </c>
      <c r="E18" s="297" t="s">
        <v>147</v>
      </c>
      <c r="F18" s="278">
        <v>166.66</v>
      </c>
      <c r="G18" s="295" t="s">
        <v>148</v>
      </c>
      <c r="H18" s="295" t="s">
        <v>158</v>
      </c>
    </row>
    <row r="19" spans="1:8" x14ac:dyDescent="0.3">
      <c r="A19" s="289" t="s">
        <v>145</v>
      </c>
      <c r="B19" s="290" t="s">
        <v>178</v>
      </c>
      <c r="C19" s="291" t="s">
        <v>146</v>
      </c>
      <c r="D19" s="298">
        <v>99115</v>
      </c>
      <c r="E19" s="293" t="s">
        <v>147</v>
      </c>
      <c r="F19" s="299">
        <v>15.91</v>
      </c>
      <c r="G19" s="295" t="s">
        <v>148</v>
      </c>
      <c r="H19" s="295" t="s">
        <v>158</v>
      </c>
    </row>
    <row r="20" spans="1:8" x14ac:dyDescent="0.3">
      <c r="A20" s="289" t="s">
        <v>145</v>
      </c>
      <c r="B20" s="290" t="s">
        <v>187</v>
      </c>
      <c r="C20" s="291" t="s">
        <v>146</v>
      </c>
      <c r="D20" s="296">
        <v>99398</v>
      </c>
      <c r="E20" s="297" t="s">
        <v>147</v>
      </c>
      <c r="F20" s="278">
        <v>2424.63</v>
      </c>
      <c r="G20" s="295" t="s">
        <v>148</v>
      </c>
      <c r="H20" s="295" t="s">
        <v>158</v>
      </c>
    </row>
    <row r="21" spans="1:8" x14ac:dyDescent="0.3">
      <c r="A21" s="289" t="s">
        <v>145</v>
      </c>
      <c r="B21" s="290" t="s">
        <v>187</v>
      </c>
      <c r="C21" s="291" t="s">
        <v>146</v>
      </c>
      <c r="D21" s="296">
        <v>99399</v>
      </c>
      <c r="E21" s="297" t="s">
        <v>147</v>
      </c>
      <c r="F21" s="278">
        <v>124.27</v>
      </c>
      <c r="G21" s="295" t="s">
        <v>148</v>
      </c>
      <c r="H21" s="295" t="s">
        <v>158</v>
      </c>
    </row>
    <row r="22" spans="1:8" x14ac:dyDescent="0.3">
      <c r="A22" s="289" t="s">
        <v>145</v>
      </c>
      <c r="B22" s="290" t="s">
        <v>179</v>
      </c>
      <c r="C22" s="291" t="s">
        <v>146</v>
      </c>
      <c r="D22" s="296">
        <v>100119</v>
      </c>
      <c r="E22" s="293" t="s">
        <v>147</v>
      </c>
      <c r="F22" s="278">
        <v>99.63</v>
      </c>
      <c r="G22" s="295" t="s">
        <v>148</v>
      </c>
      <c r="H22" s="295" t="s">
        <v>158</v>
      </c>
    </row>
    <row r="23" spans="1:8" x14ac:dyDescent="0.3">
      <c r="A23" s="289" t="s">
        <v>145</v>
      </c>
      <c r="B23" s="290" t="s">
        <v>179</v>
      </c>
      <c r="C23" s="291" t="s">
        <v>146</v>
      </c>
      <c r="D23" s="296">
        <v>100120</v>
      </c>
      <c r="E23" s="293" t="s">
        <v>147</v>
      </c>
      <c r="F23" s="278">
        <v>78.38</v>
      </c>
      <c r="G23" s="295" t="s">
        <v>148</v>
      </c>
      <c r="H23" s="295" t="s">
        <v>158</v>
      </c>
    </row>
    <row r="24" spans="1:8" x14ac:dyDescent="0.3">
      <c r="A24" s="289" t="s">
        <v>145</v>
      </c>
      <c r="B24" s="290" t="s">
        <v>194</v>
      </c>
      <c r="C24" s="291" t="s">
        <v>146</v>
      </c>
      <c r="D24" s="296">
        <v>100935</v>
      </c>
      <c r="E24" s="297" t="s">
        <v>147</v>
      </c>
      <c r="F24" s="278">
        <v>20.75</v>
      </c>
      <c r="G24" s="295" t="s">
        <v>148</v>
      </c>
      <c r="H24" s="295" t="s">
        <v>158</v>
      </c>
    </row>
    <row r="25" spans="1:8" x14ac:dyDescent="0.3">
      <c r="A25" s="289" t="s">
        <v>145</v>
      </c>
      <c r="B25" s="290" t="s">
        <v>195</v>
      </c>
      <c r="C25" s="291" t="s">
        <v>146</v>
      </c>
      <c r="D25" s="296">
        <v>101173</v>
      </c>
      <c r="E25" s="297" t="s">
        <v>147</v>
      </c>
      <c r="F25" s="278">
        <v>723.29</v>
      </c>
      <c r="G25" s="295" t="s">
        <v>148</v>
      </c>
      <c r="H25" s="295" t="s">
        <v>158</v>
      </c>
    </row>
    <row r="26" spans="1:8" x14ac:dyDescent="0.3">
      <c r="A26" s="289" t="s">
        <v>145</v>
      </c>
      <c r="B26" s="300" t="s">
        <v>191</v>
      </c>
      <c r="C26" s="291" t="s">
        <v>146</v>
      </c>
      <c r="D26" s="296">
        <v>101209</v>
      </c>
      <c r="E26" s="297" t="s">
        <v>147</v>
      </c>
      <c r="F26" s="278">
        <v>5326.39</v>
      </c>
      <c r="G26" s="295" t="s">
        <v>148</v>
      </c>
      <c r="H26" s="295" t="s">
        <v>158</v>
      </c>
    </row>
    <row r="27" spans="1:8" x14ac:dyDescent="0.3">
      <c r="A27" s="289" t="s">
        <v>145</v>
      </c>
      <c r="B27" s="290">
        <v>42040</v>
      </c>
      <c r="C27" s="291" t="s">
        <v>146</v>
      </c>
      <c r="D27" s="296">
        <v>101446</v>
      </c>
      <c r="E27" s="297" t="s">
        <v>147</v>
      </c>
      <c r="F27" s="278">
        <v>38.520000000000003</v>
      </c>
      <c r="G27" s="295" t="s">
        <v>148</v>
      </c>
      <c r="H27" s="295" t="s">
        <v>158</v>
      </c>
    </row>
    <row r="28" spans="1:8" x14ac:dyDescent="0.3">
      <c r="A28" s="289" t="s">
        <v>145</v>
      </c>
      <c r="B28" s="290" t="s">
        <v>199</v>
      </c>
      <c r="C28" s="291" t="s">
        <v>146</v>
      </c>
      <c r="D28" s="296">
        <v>102074</v>
      </c>
      <c r="E28" s="297" t="s">
        <v>147</v>
      </c>
      <c r="F28" s="278">
        <v>61.09</v>
      </c>
      <c r="G28" s="295" t="s">
        <v>148</v>
      </c>
      <c r="H28" s="295" t="s">
        <v>158</v>
      </c>
    </row>
    <row r="29" spans="1:8" x14ac:dyDescent="0.3">
      <c r="A29" s="289" t="s">
        <v>145</v>
      </c>
      <c r="B29" s="290">
        <v>42088</v>
      </c>
      <c r="C29" s="291" t="s">
        <v>146</v>
      </c>
      <c r="D29" s="296">
        <v>103143</v>
      </c>
      <c r="E29" s="297" t="s">
        <v>147</v>
      </c>
      <c r="F29" s="278">
        <v>159.96</v>
      </c>
      <c r="G29" s="295" t="s">
        <v>148</v>
      </c>
      <c r="H29" s="295" t="s">
        <v>158</v>
      </c>
    </row>
    <row r="30" spans="1:8" x14ac:dyDescent="0.3">
      <c r="A30" s="289" t="s">
        <v>145</v>
      </c>
      <c r="B30" s="290">
        <v>42123</v>
      </c>
      <c r="C30" s="291" t="s">
        <v>146</v>
      </c>
      <c r="D30" s="296">
        <v>104367</v>
      </c>
      <c r="E30" s="297" t="s">
        <v>147</v>
      </c>
      <c r="F30" s="278">
        <v>1847.91</v>
      </c>
      <c r="G30" s="295" t="s">
        <v>148</v>
      </c>
      <c r="H30" s="295" t="s">
        <v>158</v>
      </c>
    </row>
    <row r="31" spans="1:8" x14ac:dyDescent="0.3">
      <c r="A31" s="289" t="s">
        <v>145</v>
      </c>
      <c r="B31" s="290">
        <v>42137</v>
      </c>
      <c r="C31" s="291" t="s">
        <v>146</v>
      </c>
      <c r="D31" s="296">
        <v>104755</v>
      </c>
      <c r="E31" s="297" t="s">
        <v>147</v>
      </c>
      <c r="F31" s="278">
        <v>1.28</v>
      </c>
      <c r="G31" s="295" t="s">
        <v>148</v>
      </c>
      <c r="H31" s="295" t="s">
        <v>158</v>
      </c>
    </row>
    <row r="32" spans="1:8" x14ac:dyDescent="0.3">
      <c r="A32" s="289" t="s">
        <v>145</v>
      </c>
      <c r="B32" s="290">
        <v>42144</v>
      </c>
      <c r="C32" s="291" t="s">
        <v>146</v>
      </c>
      <c r="D32" s="296">
        <v>105004</v>
      </c>
      <c r="E32" s="297" t="s">
        <v>147</v>
      </c>
      <c r="F32" s="278">
        <f>13.17+10.2</f>
        <v>23.369999999999997</v>
      </c>
      <c r="G32" s="295" t="s">
        <v>148</v>
      </c>
      <c r="H32" s="295" t="s">
        <v>158</v>
      </c>
    </row>
    <row r="33" spans="1:8" x14ac:dyDescent="0.3">
      <c r="A33" s="289"/>
      <c r="B33" s="290"/>
      <c r="C33" s="291"/>
      <c r="D33" s="296"/>
      <c r="E33" s="297"/>
      <c r="F33" s="278"/>
      <c r="G33" s="295"/>
      <c r="H33" s="295"/>
    </row>
    <row r="34" spans="1:8" x14ac:dyDescent="0.3">
      <c r="A34" s="301"/>
      <c r="B34" s="317" t="s">
        <v>81</v>
      </c>
      <c r="C34" s="301"/>
      <c r="D34" s="301"/>
      <c r="E34" s="301"/>
      <c r="F34" s="301"/>
      <c r="G34" s="301"/>
      <c r="H34" s="301"/>
    </row>
    <row r="35" spans="1:8" x14ac:dyDescent="0.3">
      <c r="A35" s="301"/>
      <c r="B35" s="302" t="s">
        <v>81</v>
      </c>
      <c r="C35" s="301"/>
      <c r="D35" s="301"/>
      <c r="E35" s="301"/>
      <c r="F35" s="318">
        <f>SUM(F7:F33)</f>
        <v>20469.489999999998</v>
      </c>
      <c r="G35" s="301"/>
      <c r="H35" s="301"/>
    </row>
  </sheetData>
  <autoFilter ref="A6:H6" xr:uid="{00000000-0009-0000-0000-00004A000000}"/>
  <mergeCells count="1">
    <mergeCell ref="A4:F4"/>
  </mergeCells>
  <hyperlinks>
    <hyperlink ref="A1" location="'MFMA-7.1 F&amp;W Register'!A1" display="Back to MFMA-7.1 F&amp;W Register" xr:uid="{00000000-0004-0000-4A00-000000000000}"/>
  </hyperlinks>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00B0F0"/>
  </sheetPr>
  <dimension ref="A1:H11"/>
  <sheetViews>
    <sheetView workbookViewId="0">
      <selection activeCell="F9" sqref="F9"/>
    </sheetView>
  </sheetViews>
  <sheetFormatPr defaultRowHeight="14.4" x14ac:dyDescent="0.3"/>
  <cols>
    <col min="1" max="1" width="10.109375" customWidth="1"/>
    <col min="2" max="2" width="10.44140625" customWidth="1"/>
    <col min="3" max="3" width="25.5546875" bestFit="1" customWidth="1"/>
    <col min="4" max="4" width="11" bestFit="1" customWidth="1"/>
    <col min="5" max="5" width="26" bestFit="1" customWidth="1"/>
    <col min="6" max="6" width="9.5546875" bestFit="1" customWidth="1"/>
    <col min="7" max="7" width="14.44140625" bestFit="1" customWidth="1"/>
    <col min="8" max="8" width="35.88671875" bestFit="1" customWidth="1"/>
  </cols>
  <sheetData>
    <row r="1" spans="1:8" x14ac:dyDescent="0.3">
      <c r="A1" s="326" t="s">
        <v>223</v>
      </c>
    </row>
    <row r="2" spans="1:8" s="1" customFormat="1" x14ac:dyDescent="0.3">
      <c r="A2" s="888" t="s">
        <v>137</v>
      </c>
      <c r="B2" s="888"/>
      <c r="C2" s="888"/>
      <c r="D2" s="83"/>
      <c r="E2" s="83"/>
      <c r="F2" s="83"/>
      <c r="G2" s="83"/>
      <c r="H2" s="83"/>
    </row>
    <row r="3" spans="1:8" s="1" customFormat="1" x14ac:dyDescent="0.3">
      <c r="A3" s="83"/>
      <c r="B3" s="229"/>
      <c r="C3" s="83"/>
      <c r="D3" s="83"/>
      <c r="E3" s="83"/>
      <c r="F3" s="83"/>
      <c r="G3" s="83"/>
      <c r="H3" s="83"/>
    </row>
    <row r="4" spans="1:8" s="1" customFormat="1" x14ac:dyDescent="0.3">
      <c r="A4" s="887" t="s">
        <v>163</v>
      </c>
      <c r="B4" s="887"/>
      <c r="C4" s="887"/>
      <c r="D4" s="887"/>
      <c r="E4" s="887"/>
      <c r="F4" s="887"/>
      <c r="G4" s="83"/>
      <c r="H4" s="83"/>
    </row>
    <row r="5" spans="1:8" s="1" customFormat="1" x14ac:dyDescent="0.3">
      <c r="A5" s="83"/>
      <c r="B5" s="229"/>
      <c r="C5" s="83"/>
      <c r="D5" s="83"/>
      <c r="E5" s="83"/>
      <c r="F5" s="83"/>
      <c r="G5" s="83"/>
      <c r="H5" s="83"/>
    </row>
    <row r="6" spans="1:8" s="83" customFormat="1" ht="13.2" x14ac:dyDescent="0.3">
      <c r="A6" s="246" t="s">
        <v>138</v>
      </c>
      <c r="B6" s="247" t="s">
        <v>139</v>
      </c>
      <c r="C6" s="248" t="s">
        <v>140</v>
      </c>
      <c r="D6" s="249" t="s">
        <v>141</v>
      </c>
      <c r="E6" s="250" t="s">
        <v>142</v>
      </c>
      <c r="F6" s="251" t="s">
        <v>143</v>
      </c>
      <c r="G6" s="252" t="s">
        <v>144</v>
      </c>
      <c r="H6" s="252" t="s">
        <v>157</v>
      </c>
    </row>
    <row r="7" spans="1:8" s="1" customFormat="1" x14ac:dyDescent="0.3">
      <c r="A7" s="257" t="s">
        <v>145</v>
      </c>
      <c r="B7" s="258">
        <v>41889</v>
      </c>
      <c r="C7" s="259" t="s">
        <v>173</v>
      </c>
      <c r="D7" s="271" t="s">
        <v>174</v>
      </c>
      <c r="E7" s="261" t="s">
        <v>147</v>
      </c>
      <c r="F7" s="262">
        <v>5549.36</v>
      </c>
      <c r="G7" s="263" t="s">
        <v>148</v>
      </c>
      <c r="H7" s="263" t="s">
        <v>158</v>
      </c>
    </row>
    <row r="8" spans="1:8" s="1" customFormat="1" x14ac:dyDescent="0.3">
      <c r="A8" s="257" t="s">
        <v>145</v>
      </c>
      <c r="B8" s="268"/>
      <c r="C8" s="259"/>
      <c r="D8" s="260"/>
      <c r="E8" s="261"/>
      <c r="F8" s="262"/>
      <c r="G8" s="263" t="s">
        <v>148</v>
      </c>
      <c r="H8" s="263" t="s">
        <v>158</v>
      </c>
    </row>
    <row r="9" spans="1:8" s="1" customFormat="1" x14ac:dyDescent="0.3">
      <c r="A9" s="257" t="s">
        <v>145</v>
      </c>
      <c r="B9" s="268"/>
      <c r="C9" s="259"/>
      <c r="D9" s="260"/>
      <c r="E9" s="261"/>
      <c r="F9" s="262"/>
      <c r="G9" s="263" t="s">
        <v>148</v>
      </c>
      <c r="H9" s="263" t="s">
        <v>158</v>
      </c>
    </row>
    <row r="10" spans="1:8" s="1" customFormat="1" x14ac:dyDescent="0.3">
      <c r="A10" s="257" t="s">
        <v>145</v>
      </c>
      <c r="B10" s="269"/>
      <c r="C10" s="259"/>
      <c r="D10" s="260"/>
      <c r="E10" s="261"/>
      <c r="F10" s="270"/>
      <c r="G10" s="263" t="s">
        <v>148</v>
      </c>
      <c r="H10" s="263" t="s">
        <v>158</v>
      </c>
    </row>
    <row r="11" spans="1:8" x14ac:dyDescent="0.3">
      <c r="F11" s="233">
        <f>F7</f>
        <v>5549.36</v>
      </c>
    </row>
  </sheetData>
  <mergeCells count="2">
    <mergeCell ref="A4:F4"/>
    <mergeCell ref="A2:C2"/>
  </mergeCells>
  <hyperlinks>
    <hyperlink ref="A1" location="'MFMA-7.1 F&amp;W Register'!A1" display="Back to MFMA-7.1 F&amp;W Register" xr:uid="{00000000-0004-0000-4B00-000000000000}"/>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B0F0"/>
  </sheetPr>
  <dimension ref="A1:H14"/>
  <sheetViews>
    <sheetView topLeftCell="B1" workbookViewId="0">
      <selection activeCell="A11" sqref="A11"/>
    </sheetView>
  </sheetViews>
  <sheetFormatPr defaultRowHeight="14.4" x14ac:dyDescent="0.3"/>
  <cols>
    <col min="2" max="2" width="18.88671875" customWidth="1"/>
    <col min="3" max="3" width="23" customWidth="1"/>
    <col min="4" max="4" width="21" customWidth="1"/>
    <col min="5" max="5" width="26" bestFit="1" customWidth="1"/>
    <col min="6" max="6" width="8.33203125" bestFit="1" customWidth="1"/>
    <col min="7" max="7" width="21.88671875" customWidth="1"/>
    <col min="8" max="8" width="35.88671875" bestFit="1" customWidth="1"/>
  </cols>
  <sheetData>
    <row r="1" spans="1:8" x14ac:dyDescent="0.3">
      <c r="A1" s="326" t="s">
        <v>223</v>
      </c>
    </row>
    <row r="2" spans="1:8" s="1" customFormat="1" x14ac:dyDescent="0.3">
      <c r="A2" s="228" t="s">
        <v>137</v>
      </c>
      <c r="B2" s="229"/>
      <c r="C2" s="83"/>
      <c r="D2" s="83"/>
      <c r="E2" s="83"/>
      <c r="F2" s="83"/>
      <c r="G2" s="83"/>
      <c r="H2" s="83"/>
    </row>
    <row r="3" spans="1:8" s="1" customFormat="1" x14ac:dyDescent="0.3">
      <c r="A3" s="83"/>
      <c r="B3" s="229"/>
      <c r="C3" s="83"/>
      <c r="D3" s="83"/>
      <c r="E3" s="83"/>
      <c r="F3" s="83"/>
      <c r="G3" s="83"/>
      <c r="H3" s="83"/>
    </row>
    <row r="4" spans="1:8" s="1" customFormat="1" x14ac:dyDescent="0.3">
      <c r="A4" s="887" t="s">
        <v>163</v>
      </c>
      <c r="B4" s="887"/>
      <c r="C4" s="887"/>
      <c r="D4" s="887"/>
      <c r="E4" s="887"/>
      <c r="F4" s="887"/>
      <c r="G4" s="83"/>
      <c r="H4" s="83"/>
    </row>
    <row r="5" spans="1:8" s="1" customFormat="1" x14ac:dyDescent="0.3">
      <c r="A5" s="83"/>
      <c r="B5" s="229"/>
      <c r="C5" s="83"/>
      <c r="D5" s="83"/>
      <c r="E5" s="83"/>
      <c r="F5" s="83"/>
      <c r="G5" s="83"/>
      <c r="H5" s="83"/>
    </row>
    <row r="6" spans="1:8" s="83" customFormat="1" ht="13.2" x14ac:dyDescent="0.3">
      <c r="A6" s="246" t="s">
        <v>138</v>
      </c>
      <c r="B6" s="247" t="s">
        <v>139</v>
      </c>
      <c r="C6" s="248" t="s">
        <v>140</v>
      </c>
      <c r="D6" s="249" t="s">
        <v>141</v>
      </c>
      <c r="E6" s="250" t="s">
        <v>142</v>
      </c>
      <c r="F6" s="251" t="s">
        <v>143</v>
      </c>
      <c r="G6" s="252" t="s">
        <v>144</v>
      </c>
      <c r="H6" s="252" t="s">
        <v>157</v>
      </c>
    </row>
    <row r="7" spans="1:8" s="1" customFormat="1" x14ac:dyDescent="0.3">
      <c r="A7" s="257" t="s">
        <v>145</v>
      </c>
      <c r="B7" s="258" t="s">
        <v>172</v>
      </c>
      <c r="C7" s="259" t="s">
        <v>96</v>
      </c>
      <c r="D7" s="271" t="s">
        <v>204</v>
      </c>
      <c r="E7" s="261" t="s">
        <v>147</v>
      </c>
      <c r="F7" s="262">
        <v>42.02</v>
      </c>
      <c r="G7" s="263" t="s">
        <v>148</v>
      </c>
      <c r="H7" s="263" t="s">
        <v>158</v>
      </c>
    </row>
    <row r="8" spans="1:8" s="1" customFormat="1" x14ac:dyDescent="0.3">
      <c r="A8" s="257" t="s">
        <v>145</v>
      </c>
      <c r="B8" s="258" t="s">
        <v>172</v>
      </c>
      <c r="C8" s="259" t="s">
        <v>96</v>
      </c>
      <c r="D8" s="271" t="s">
        <v>203</v>
      </c>
      <c r="E8" s="261" t="s">
        <v>147</v>
      </c>
      <c r="F8" s="262">
        <v>39.4</v>
      </c>
      <c r="G8" s="263" t="s">
        <v>148</v>
      </c>
      <c r="H8" s="263" t="s">
        <v>158</v>
      </c>
    </row>
    <row r="9" spans="1:8" s="1" customFormat="1" x14ac:dyDescent="0.3">
      <c r="A9" s="257" t="s">
        <v>145</v>
      </c>
      <c r="B9" s="258">
        <v>41949</v>
      </c>
      <c r="C9" s="259" t="s">
        <v>96</v>
      </c>
      <c r="D9" s="271">
        <v>98595</v>
      </c>
      <c r="E9" s="261" t="s">
        <v>147</v>
      </c>
      <c r="F9" s="1">
        <v>21.65</v>
      </c>
      <c r="G9" s="263" t="s">
        <v>148</v>
      </c>
      <c r="H9" s="263" t="s">
        <v>158</v>
      </c>
    </row>
    <row r="10" spans="1:8" s="1" customFormat="1" x14ac:dyDescent="0.3">
      <c r="A10" s="257" t="s">
        <v>145</v>
      </c>
      <c r="B10" s="258">
        <v>41949</v>
      </c>
      <c r="C10" s="259" t="s">
        <v>96</v>
      </c>
      <c r="D10" s="271">
        <v>98596</v>
      </c>
      <c r="E10" s="261" t="s">
        <v>147</v>
      </c>
      <c r="F10" s="262">
        <v>25.52</v>
      </c>
      <c r="G10" s="263" t="s">
        <v>148</v>
      </c>
      <c r="H10" s="263" t="s">
        <v>158</v>
      </c>
    </row>
    <row r="11" spans="1:8" s="1" customFormat="1" x14ac:dyDescent="0.3">
      <c r="A11" s="310" t="s">
        <v>145</v>
      </c>
      <c r="B11" s="273" t="s">
        <v>189</v>
      </c>
      <c r="C11" s="274" t="s">
        <v>96</v>
      </c>
      <c r="D11" s="275">
        <v>99394</v>
      </c>
      <c r="E11" s="276" t="s">
        <v>147</v>
      </c>
      <c r="F11" s="272">
        <v>70.709999999999994</v>
      </c>
      <c r="G11" s="277" t="s">
        <v>148</v>
      </c>
      <c r="H11" s="277" t="s">
        <v>158</v>
      </c>
    </row>
    <row r="12" spans="1:8" s="1" customFormat="1" x14ac:dyDescent="0.3">
      <c r="A12" s="257" t="s">
        <v>145</v>
      </c>
      <c r="B12" s="258">
        <v>42011</v>
      </c>
      <c r="C12" s="259" t="s">
        <v>96</v>
      </c>
      <c r="D12" s="260">
        <v>100618</v>
      </c>
      <c r="E12" s="261" t="s">
        <v>147</v>
      </c>
      <c r="F12" s="262">
        <v>27.65</v>
      </c>
      <c r="G12" s="263" t="s">
        <v>148</v>
      </c>
      <c r="H12" s="263" t="s">
        <v>158</v>
      </c>
    </row>
    <row r="13" spans="1:8" s="1" customFormat="1" x14ac:dyDescent="0.3">
      <c r="A13" s="257" t="s">
        <v>145</v>
      </c>
      <c r="B13" s="258">
        <v>42011</v>
      </c>
      <c r="C13" s="259" t="s">
        <v>96</v>
      </c>
      <c r="D13" s="260">
        <v>100617</v>
      </c>
      <c r="E13" s="261" t="s">
        <v>147</v>
      </c>
      <c r="F13" s="270">
        <v>29.38</v>
      </c>
      <c r="G13" s="263" t="s">
        <v>148</v>
      </c>
      <c r="H13" s="263" t="s">
        <v>158</v>
      </c>
    </row>
    <row r="14" spans="1:8" x14ac:dyDescent="0.3">
      <c r="F14" s="233">
        <f>SUM(F7:F13)</f>
        <v>256.33000000000004</v>
      </c>
    </row>
  </sheetData>
  <mergeCells count="1">
    <mergeCell ref="A4:F4"/>
  </mergeCells>
  <hyperlinks>
    <hyperlink ref="A1" location="'MFMA-7.1 F&amp;W Register'!A1" display="Back to MFMA-7.1 F&amp;W Register" xr:uid="{00000000-0004-0000-4C00-000000000000}"/>
  </hyperlinks>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00B0F0"/>
  </sheetPr>
  <dimension ref="A1:H22"/>
  <sheetViews>
    <sheetView workbookViewId="0"/>
  </sheetViews>
  <sheetFormatPr defaultRowHeight="14.4" x14ac:dyDescent="0.3"/>
  <cols>
    <col min="1" max="1" width="30.88671875" bestFit="1" customWidth="1"/>
    <col min="2" max="2" width="11.109375" bestFit="1" customWidth="1"/>
    <col min="3" max="3" width="15.44140625" bestFit="1" customWidth="1"/>
    <col min="4" max="4" width="11" bestFit="1" customWidth="1"/>
    <col min="5" max="5" width="26" bestFit="1" customWidth="1"/>
    <col min="7" max="7" width="14.44140625" bestFit="1" customWidth="1"/>
    <col min="8" max="8" width="35.88671875" bestFit="1" customWidth="1"/>
  </cols>
  <sheetData>
    <row r="1" spans="1:8" x14ac:dyDescent="0.3">
      <c r="A1" s="326" t="s">
        <v>223</v>
      </c>
    </row>
    <row r="2" spans="1:8" s="1" customFormat="1" x14ac:dyDescent="0.3">
      <c r="A2" s="228" t="s">
        <v>137</v>
      </c>
      <c r="B2" s="229"/>
      <c r="C2" s="83"/>
      <c r="D2" s="83"/>
      <c r="E2" s="83"/>
      <c r="F2" s="83"/>
      <c r="G2" s="83"/>
      <c r="H2" s="83"/>
    </row>
    <row r="3" spans="1:8" s="1" customFormat="1" x14ac:dyDescent="0.3">
      <c r="A3" s="83"/>
      <c r="B3" s="229"/>
      <c r="C3" s="83"/>
      <c r="D3" s="83"/>
      <c r="E3" s="83"/>
      <c r="F3" s="83"/>
      <c r="G3" s="83"/>
      <c r="H3" s="83"/>
    </row>
    <row r="4" spans="1:8" s="1" customFormat="1" x14ac:dyDescent="0.3">
      <c r="A4" s="887" t="s">
        <v>163</v>
      </c>
      <c r="B4" s="887"/>
      <c r="C4" s="887"/>
      <c r="D4" s="887"/>
      <c r="E4" s="887"/>
      <c r="F4" s="887"/>
      <c r="G4" s="83"/>
      <c r="H4" s="83"/>
    </row>
    <row r="5" spans="1:8" s="1" customFormat="1" x14ac:dyDescent="0.3">
      <c r="A5" s="83"/>
      <c r="B5" s="229"/>
      <c r="C5" s="83"/>
      <c r="D5" s="83"/>
      <c r="E5" s="83"/>
      <c r="F5" s="83"/>
      <c r="G5" s="83"/>
      <c r="H5" s="83"/>
    </row>
    <row r="6" spans="1:8" s="83" customFormat="1" ht="13.2" x14ac:dyDescent="0.3">
      <c r="A6" s="246" t="s">
        <v>138</v>
      </c>
      <c r="B6" s="247" t="s">
        <v>139</v>
      </c>
      <c r="C6" s="248" t="s">
        <v>140</v>
      </c>
      <c r="D6" s="249" t="s">
        <v>141</v>
      </c>
      <c r="E6" s="250" t="s">
        <v>142</v>
      </c>
      <c r="F6" s="251" t="s">
        <v>143</v>
      </c>
      <c r="G6" s="252" t="s">
        <v>144</v>
      </c>
      <c r="H6" s="252" t="s">
        <v>157</v>
      </c>
    </row>
    <row r="7" spans="1:8" s="1" customFormat="1" x14ac:dyDescent="0.3">
      <c r="A7" s="257" t="s">
        <v>145</v>
      </c>
      <c r="B7" s="258" t="s">
        <v>170</v>
      </c>
      <c r="C7" s="259" t="s">
        <v>171</v>
      </c>
      <c r="D7" s="260">
        <v>95829</v>
      </c>
      <c r="E7" s="261" t="s">
        <v>147</v>
      </c>
      <c r="F7" s="262">
        <v>65.67</v>
      </c>
      <c r="G7" s="263" t="s">
        <v>148</v>
      </c>
      <c r="H7" s="263" t="s">
        <v>158</v>
      </c>
    </row>
    <row r="8" spans="1:8" s="1" customFormat="1" x14ac:dyDescent="0.3">
      <c r="A8" s="257" t="s">
        <v>145</v>
      </c>
      <c r="B8" s="311">
        <v>41921</v>
      </c>
      <c r="C8" s="312" t="s">
        <v>171</v>
      </c>
      <c r="D8" s="313">
        <v>96960</v>
      </c>
      <c r="E8" s="261" t="s">
        <v>147</v>
      </c>
      <c r="F8" s="314">
        <v>158.97999999999999</v>
      </c>
      <c r="G8" s="315" t="s">
        <v>148</v>
      </c>
      <c r="H8" s="315" t="s">
        <v>158</v>
      </c>
    </row>
    <row r="9" spans="1:8" s="1" customFormat="1" x14ac:dyDescent="0.3">
      <c r="A9" s="257" t="s">
        <v>145</v>
      </c>
      <c r="B9" s="269" t="s">
        <v>189</v>
      </c>
      <c r="C9" s="259" t="s">
        <v>171</v>
      </c>
      <c r="D9" s="260">
        <v>99394</v>
      </c>
      <c r="E9" s="261" t="s">
        <v>147</v>
      </c>
      <c r="F9" s="270">
        <v>70.709999999999994</v>
      </c>
      <c r="G9" s="263" t="s">
        <v>148</v>
      </c>
      <c r="H9" s="263" t="s">
        <v>158</v>
      </c>
    </row>
    <row r="10" spans="1:8" s="1" customFormat="1" x14ac:dyDescent="0.3">
      <c r="A10" s="257" t="s">
        <v>145</v>
      </c>
      <c r="B10" s="258" t="s">
        <v>196</v>
      </c>
      <c r="C10" s="259" t="s">
        <v>171</v>
      </c>
      <c r="D10" s="260">
        <v>100827</v>
      </c>
      <c r="E10" s="261" t="s">
        <v>147</v>
      </c>
      <c r="F10" s="270">
        <v>56.55</v>
      </c>
      <c r="G10" s="263" t="s">
        <v>148</v>
      </c>
      <c r="H10" s="263" t="s">
        <v>158</v>
      </c>
    </row>
    <row r="11" spans="1:8" s="1" customFormat="1" x14ac:dyDescent="0.3">
      <c r="A11" s="257" t="s">
        <v>145</v>
      </c>
      <c r="B11" s="258" t="s">
        <v>196</v>
      </c>
      <c r="C11" s="259" t="s">
        <v>171</v>
      </c>
      <c r="D11" s="260">
        <v>102413</v>
      </c>
      <c r="E11" s="261" t="s">
        <v>147</v>
      </c>
      <c r="F11" s="270">
        <v>25</v>
      </c>
      <c r="G11" s="263" t="s">
        <v>148</v>
      </c>
      <c r="H11" s="263" t="s">
        <v>158</v>
      </c>
    </row>
    <row r="12" spans="1:8" s="1" customFormat="1" x14ac:dyDescent="0.3">
      <c r="A12" s="257" t="s">
        <v>145</v>
      </c>
      <c r="B12" s="258" t="s">
        <v>205</v>
      </c>
      <c r="C12" s="259" t="s">
        <v>171</v>
      </c>
      <c r="D12" s="260">
        <v>104775</v>
      </c>
      <c r="E12" s="261" t="s">
        <v>147</v>
      </c>
      <c r="F12" s="270">
        <v>25.27</v>
      </c>
      <c r="G12" s="263" t="s">
        <v>148</v>
      </c>
      <c r="H12" s="263" t="s">
        <v>158</v>
      </c>
    </row>
    <row r="13" spans="1:8" s="1" customFormat="1" x14ac:dyDescent="0.3">
      <c r="A13" s="257" t="s">
        <v>145</v>
      </c>
      <c r="B13" s="258"/>
      <c r="C13" s="259" t="s">
        <v>171</v>
      </c>
      <c r="D13" s="321" t="s">
        <v>211</v>
      </c>
      <c r="E13" s="261" t="s">
        <v>147</v>
      </c>
      <c r="F13" s="264">
        <v>25</v>
      </c>
      <c r="G13" s="263" t="s">
        <v>148</v>
      </c>
      <c r="H13" s="263" t="s">
        <v>158</v>
      </c>
    </row>
    <row r="14" spans="1:8" x14ac:dyDescent="0.3">
      <c r="F14" s="233">
        <f>SUM(F7:F12)</f>
        <v>402.17999999999995</v>
      </c>
    </row>
    <row r="22" spans="8:8" x14ac:dyDescent="0.3">
      <c r="H22" t="s">
        <v>190</v>
      </c>
    </row>
  </sheetData>
  <mergeCells count="1">
    <mergeCell ref="A4:F4"/>
  </mergeCells>
  <hyperlinks>
    <hyperlink ref="A1" location="'MFMA-7.1 F&amp;W Register'!A1" display="Back to MFMA-7.1 F&amp;W Register" xr:uid="{00000000-0004-0000-4D00-000000000000}"/>
  </hyperlinks>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B0F0"/>
  </sheetPr>
  <dimension ref="A1:H11"/>
  <sheetViews>
    <sheetView workbookViewId="0"/>
  </sheetViews>
  <sheetFormatPr defaultColWidth="9.109375" defaultRowHeight="14.4" x14ac:dyDescent="0.3"/>
  <cols>
    <col min="1" max="1" width="30.88671875" style="1" bestFit="1" customWidth="1"/>
    <col min="2" max="2" width="10.6640625" style="1" bestFit="1" customWidth="1"/>
    <col min="3" max="3" width="15.44140625" style="1" bestFit="1" customWidth="1"/>
    <col min="4" max="4" width="11" style="1" bestFit="1" customWidth="1"/>
    <col min="5" max="5" width="26" style="1" bestFit="1" customWidth="1"/>
    <col min="6" max="6" width="11.33203125" style="1" bestFit="1" customWidth="1"/>
    <col min="7" max="7" width="14.44140625" style="1" bestFit="1" customWidth="1"/>
    <col min="8" max="8" width="35.88671875" style="1" bestFit="1" customWidth="1"/>
    <col min="9" max="16384" width="9.109375" style="1"/>
  </cols>
  <sheetData>
    <row r="1" spans="1:8" x14ac:dyDescent="0.3">
      <c r="A1" s="326" t="s">
        <v>223</v>
      </c>
    </row>
    <row r="2" spans="1:8" x14ac:dyDescent="0.3">
      <c r="A2" s="237" t="s">
        <v>137</v>
      </c>
      <c r="B2" s="229"/>
      <c r="C2" s="83"/>
      <c r="D2" s="83"/>
      <c r="E2" s="83"/>
      <c r="F2" s="83"/>
      <c r="G2" s="83"/>
      <c r="H2" s="83"/>
    </row>
    <row r="3" spans="1:8" x14ac:dyDescent="0.3">
      <c r="A3" s="83"/>
      <c r="B3" s="229"/>
      <c r="C3" s="83"/>
      <c r="D3" s="83"/>
      <c r="E3" s="83"/>
      <c r="F3" s="83"/>
      <c r="G3" s="83"/>
      <c r="H3" s="83"/>
    </row>
    <row r="4" spans="1:8" x14ac:dyDescent="0.3">
      <c r="A4" s="887" t="s">
        <v>163</v>
      </c>
      <c r="B4" s="887"/>
      <c r="C4" s="887"/>
      <c r="D4" s="887"/>
      <c r="E4" s="887"/>
      <c r="F4" s="887"/>
      <c r="G4" s="83"/>
      <c r="H4" s="83"/>
    </row>
    <row r="5" spans="1:8" x14ac:dyDescent="0.3">
      <c r="A5" s="83"/>
      <c r="B5" s="229"/>
      <c r="C5" s="83"/>
      <c r="D5" s="83"/>
      <c r="E5" s="83"/>
      <c r="F5" s="83"/>
      <c r="G5" s="83"/>
      <c r="H5" s="83"/>
    </row>
    <row r="6" spans="1:8" s="83" customFormat="1" ht="13.2" x14ac:dyDescent="0.3">
      <c r="A6" s="246" t="s">
        <v>138</v>
      </c>
      <c r="B6" s="247" t="s">
        <v>139</v>
      </c>
      <c r="C6" s="248" t="s">
        <v>140</v>
      </c>
      <c r="D6" s="249" t="s">
        <v>141</v>
      </c>
      <c r="E6" s="250" t="s">
        <v>142</v>
      </c>
      <c r="F6" s="251" t="s">
        <v>143</v>
      </c>
      <c r="G6" s="252" t="s">
        <v>144</v>
      </c>
      <c r="H6" s="252" t="s">
        <v>157</v>
      </c>
    </row>
    <row r="7" spans="1:8" x14ac:dyDescent="0.3">
      <c r="A7" s="257" t="s">
        <v>145</v>
      </c>
      <c r="B7" s="258" t="s">
        <v>81</v>
      </c>
      <c r="C7" s="259" t="s">
        <v>17</v>
      </c>
      <c r="D7" s="260" t="s">
        <v>210</v>
      </c>
      <c r="E7" s="261" t="s">
        <v>81</v>
      </c>
      <c r="F7" s="264">
        <v>18907.41</v>
      </c>
      <c r="G7" s="263" t="s">
        <v>148</v>
      </c>
      <c r="H7" s="263" t="s">
        <v>158</v>
      </c>
    </row>
    <row r="8" spans="1:8" x14ac:dyDescent="0.3">
      <c r="A8" s="257" t="s">
        <v>145</v>
      </c>
      <c r="B8" s="258"/>
      <c r="C8" s="259" t="s">
        <v>17</v>
      </c>
      <c r="D8" s="321" t="s">
        <v>209</v>
      </c>
      <c r="E8" s="261"/>
      <c r="F8" s="264">
        <v>2440.19</v>
      </c>
      <c r="G8" s="263" t="s">
        <v>148</v>
      </c>
      <c r="H8" s="263" t="s">
        <v>158</v>
      </c>
    </row>
    <row r="9" spans="1:8" x14ac:dyDescent="0.3">
      <c r="A9" s="257" t="s">
        <v>145</v>
      </c>
      <c r="B9" s="268"/>
      <c r="C9" s="259" t="s">
        <v>17</v>
      </c>
      <c r="D9" s="321" t="s">
        <v>209</v>
      </c>
      <c r="E9" s="261"/>
      <c r="F9" s="264">
        <v>7226.71</v>
      </c>
      <c r="G9" s="263" t="s">
        <v>148</v>
      </c>
      <c r="H9" s="263" t="s">
        <v>158</v>
      </c>
    </row>
    <row r="10" spans="1:8" x14ac:dyDescent="0.3">
      <c r="A10" s="257" t="s">
        <v>145</v>
      </c>
      <c r="B10" s="269"/>
      <c r="C10" s="259" t="s">
        <v>17</v>
      </c>
      <c r="D10" s="321" t="s">
        <v>209</v>
      </c>
      <c r="E10" s="261"/>
      <c r="F10" s="264">
        <v>16502.53</v>
      </c>
      <c r="G10" s="263" t="s">
        <v>148</v>
      </c>
      <c r="H10" s="263" t="s">
        <v>158</v>
      </c>
    </row>
    <row r="11" spans="1:8" x14ac:dyDescent="0.3">
      <c r="F11" s="233">
        <f>SUM(F7:F10)</f>
        <v>45076.84</v>
      </c>
    </row>
  </sheetData>
  <mergeCells count="1">
    <mergeCell ref="A4:F4"/>
  </mergeCells>
  <hyperlinks>
    <hyperlink ref="A1" location="'MFMA-7.1 F&amp;W Register'!A1" display="Back to MFMA-7.1 F&amp;W Register" xr:uid="{00000000-0004-0000-4E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H89"/>
  <sheetViews>
    <sheetView topLeftCell="A49" zoomScale="85" zoomScaleNormal="85" workbookViewId="0">
      <selection activeCell="A49" sqref="A49"/>
    </sheetView>
  </sheetViews>
  <sheetFormatPr defaultColWidth="9.109375" defaultRowHeight="14.4" x14ac:dyDescent="0.3"/>
  <cols>
    <col min="1" max="1" width="31.33203125" style="1" bestFit="1" customWidth="1"/>
    <col min="2" max="2" width="10.44140625" style="1" bestFit="1" customWidth="1"/>
    <col min="3" max="3" width="16.6640625" style="1" bestFit="1" customWidth="1"/>
    <col min="4" max="4" width="10.109375" style="1" bestFit="1" customWidth="1"/>
    <col min="5" max="5" width="24.33203125" style="1" customWidth="1"/>
    <col min="6" max="6" width="11.44140625" style="1" bestFit="1" customWidth="1"/>
    <col min="7" max="7" width="18.44140625" style="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x14ac:dyDescent="0.3">
      <c r="A7" s="289" t="s">
        <v>145</v>
      </c>
      <c r="B7" s="290" t="s">
        <v>440</v>
      </c>
      <c r="C7" s="291" t="s">
        <v>91</v>
      </c>
      <c r="D7" s="336" t="s">
        <v>857</v>
      </c>
      <c r="E7" s="293" t="s">
        <v>147</v>
      </c>
      <c r="F7" s="337">
        <v>20.78</v>
      </c>
      <c r="G7" s="295" t="s">
        <v>148</v>
      </c>
      <c r="H7" s="295" t="s">
        <v>158</v>
      </c>
    </row>
    <row r="8" spans="1:8" x14ac:dyDescent="0.3">
      <c r="A8" s="289" t="s">
        <v>145</v>
      </c>
      <c r="B8" s="290" t="s">
        <v>440</v>
      </c>
      <c r="C8" s="291" t="s">
        <v>91</v>
      </c>
      <c r="D8" s="336" t="s">
        <v>857</v>
      </c>
      <c r="E8" s="293" t="s">
        <v>147</v>
      </c>
      <c r="F8" s="294">
        <v>16.25</v>
      </c>
      <c r="G8" s="295" t="s">
        <v>148</v>
      </c>
      <c r="H8" s="295" t="s">
        <v>158</v>
      </c>
    </row>
    <row r="9" spans="1:8" x14ac:dyDescent="0.3">
      <c r="A9" s="289" t="s">
        <v>145</v>
      </c>
      <c r="B9" s="290" t="s">
        <v>440</v>
      </c>
      <c r="C9" s="291" t="s">
        <v>91</v>
      </c>
      <c r="D9" s="336" t="s">
        <v>857</v>
      </c>
      <c r="E9" s="293" t="s">
        <v>147</v>
      </c>
      <c r="F9" s="337">
        <v>38.520000000000003</v>
      </c>
      <c r="G9" s="295" t="s">
        <v>148</v>
      </c>
      <c r="H9" s="295" t="s">
        <v>158</v>
      </c>
    </row>
    <row r="10" spans="1:8" s="281" customFormat="1" ht="13.8" x14ac:dyDescent="0.3">
      <c r="A10" s="289" t="s">
        <v>145</v>
      </c>
      <c r="B10" s="435" t="s">
        <v>440</v>
      </c>
      <c r="C10" s="291" t="s">
        <v>91</v>
      </c>
      <c r="D10" s="336" t="s">
        <v>857</v>
      </c>
      <c r="E10" s="435" t="s">
        <v>147</v>
      </c>
      <c r="F10" s="436">
        <v>23.26</v>
      </c>
      <c r="G10" s="435" t="s">
        <v>148</v>
      </c>
      <c r="H10" s="435" t="s">
        <v>158</v>
      </c>
    </row>
    <row r="11" spans="1:8" x14ac:dyDescent="0.3">
      <c r="A11" s="289" t="s">
        <v>145</v>
      </c>
      <c r="B11" s="290" t="s">
        <v>440</v>
      </c>
      <c r="C11" s="291" t="s">
        <v>91</v>
      </c>
      <c r="D11" s="336" t="s">
        <v>857</v>
      </c>
      <c r="E11" s="293" t="s">
        <v>147</v>
      </c>
      <c r="F11" s="337">
        <v>98.54</v>
      </c>
      <c r="G11" s="295" t="s">
        <v>148</v>
      </c>
      <c r="H11" s="295" t="s">
        <v>158</v>
      </c>
    </row>
    <row r="12" spans="1:8" x14ac:dyDescent="0.3">
      <c r="A12" s="289" t="s">
        <v>145</v>
      </c>
      <c r="B12" s="290" t="s">
        <v>623</v>
      </c>
      <c r="C12" s="291" t="s">
        <v>91</v>
      </c>
      <c r="D12" s="336" t="s">
        <v>857</v>
      </c>
      <c r="E12" s="293" t="s">
        <v>147</v>
      </c>
      <c r="F12" s="337">
        <v>50.01</v>
      </c>
      <c r="G12" s="295" t="s">
        <v>148</v>
      </c>
      <c r="H12" s="295" t="s">
        <v>158</v>
      </c>
    </row>
    <row r="13" spans="1:8" x14ac:dyDescent="0.3">
      <c r="A13" s="289" t="s">
        <v>145</v>
      </c>
      <c r="B13" s="290" t="s">
        <v>624</v>
      </c>
      <c r="C13" s="291" t="s">
        <v>91</v>
      </c>
      <c r="D13" s="336">
        <v>137805</v>
      </c>
      <c r="E13" s="293" t="s">
        <v>147</v>
      </c>
      <c r="F13" s="337">
        <v>324.2</v>
      </c>
      <c r="G13" s="295" t="s">
        <v>148</v>
      </c>
      <c r="H13" s="295" t="s">
        <v>158</v>
      </c>
    </row>
    <row r="14" spans="1:8" x14ac:dyDescent="0.3">
      <c r="A14" s="289" t="s">
        <v>145</v>
      </c>
      <c r="B14" s="290" t="s">
        <v>625</v>
      </c>
      <c r="C14" s="291" t="s">
        <v>91</v>
      </c>
      <c r="D14" s="336">
        <v>137816</v>
      </c>
      <c r="E14" s="293" t="s">
        <v>147</v>
      </c>
      <c r="F14" s="337">
        <v>163.77000000000001</v>
      </c>
      <c r="G14" s="295" t="s">
        <v>148</v>
      </c>
      <c r="H14" s="295" t="s">
        <v>158</v>
      </c>
    </row>
    <row r="15" spans="1:8" x14ac:dyDescent="0.3">
      <c r="A15" s="289" t="s">
        <v>145</v>
      </c>
      <c r="B15" s="290" t="s">
        <v>627</v>
      </c>
      <c r="C15" s="291" t="s">
        <v>91</v>
      </c>
      <c r="D15" s="336" t="s">
        <v>857</v>
      </c>
      <c r="E15" s="293" t="s">
        <v>147</v>
      </c>
      <c r="F15" s="337">
        <v>48.56</v>
      </c>
      <c r="G15" s="295" t="s">
        <v>148</v>
      </c>
      <c r="H15" s="295" t="s">
        <v>158</v>
      </c>
    </row>
    <row r="16" spans="1:8" x14ac:dyDescent="0.3">
      <c r="A16" s="289" t="s">
        <v>145</v>
      </c>
      <c r="B16" s="290" t="s">
        <v>627</v>
      </c>
      <c r="C16" s="291" t="s">
        <v>91</v>
      </c>
      <c r="D16" s="336" t="s">
        <v>857</v>
      </c>
      <c r="E16" s="293" t="s">
        <v>147</v>
      </c>
      <c r="F16" s="337">
        <f>454.28+721.74</f>
        <v>1176.02</v>
      </c>
      <c r="G16" s="295" t="s">
        <v>148</v>
      </c>
      <c r="H16" s="295" t="s">
        <v>158</v>
      </c>
    </row>
    <row r="17" spans="1:8" x14ac:dyDescent="0.3">
      <c r="A17" s="289" t="s">
        <v>145</v>
      </c>
      <c r="B17" s="290" t="s">
        <v>627</v>
      </c>
      <c r="C17" s="291" t="s">
        <v>91</v>
      </c>
      <c r="D17" s="336" t="s">
        <v>857</v>
      </c>
      <c r="E17" s="293" t="s">
        <v>147</v>
      </c>
      <c r="F17" s="337">
        <v>14.88</v>
      </c>
      <c r="G17" s="295" t="s">
        <v>148</v>
      </c>
      <c r="H17" s="295" t="s">
        <v>158</v>
      </c>
    </row>
    <row r="18" spans="1:8" x14ac:dyDescent="0.3">
      <c r="A18" s="289" t="s">
        <v>145</v>
      </c>
      <c r="B18" s="290" t="s">
        <v>627</v>
      </c>
      <c r="C18" s="291" t="s">
        <v>91</v>
      </c>
      <c r="D18" s="336" t="s">
        <v>857</v>
      </c>
      <c r="E18" s="293" t="s">
        <v>147</v>
      </c>
      <c r="F18" s="337">
        <v>116.97</v>
      </c>
      <c r="G18" s="295" t="s">
        <v>148</v>
      </c>
      <c r="H18" s="295" t="s">
        <v>158</v>
      </c>
    </row>
    <row r="19" spans="1:8" x14ac:dyDescent="0.3">
      <c r="A19" s="289" t="s">
        <v>145</v>
      </c>
      <c r="B19" s="290" t="s">
        <v>627</v>
      </c>
      <c r="C19" s="291" t="s">
        <v>91</v>
      </c>
      <c r="D19" s="336" t="s">
        <v>857</v>
      </c>
      <c r="E19" s="293" t="s">
        <v>147</v>
      </c>
      <c r="F19" s="337">
        <f>13.88+187.7</f>
        <v>201.57999999999998</v>
      </c>
      <c r="G19" s="295" t="s">
        <v>148</v>
      </c>
      <c r="H19" s="295" t="s">
        <v>158</v>
      </c>
    </row>
    <row r="20" spans="1:8" x14ac:dyDescent="0.3">
      <c r="A20" s="289" t="s">
        <v>145</v>
      </c>
      <c r="B20" s="290" t="s">
        <v>627</v>
      </c>
      <c r="C20" s="291" t="s">
        <v>91</v>
      </c>
      <c r="D20" s="336">
        <v>137974</v>
      </c>
      <c r="E20" s="293" t="s">
        <v>147</v>
      </c>
      <c r="F20" s="337">
        <f>5.44+15.52</f>
        <v>20.96</v>
      </c>
      <c r="G20" s="295" t="s">
        <v>148</v>
      </c>
      <c r="H20" s="295" t="s">
        <v>158</v>
      </c>
    </row>
    <row r="21" spans="1:8" x14ac:dyDescent="0.3">
      <c r="A21" s="289" t="s">
        <v>145</v>
      </c>
      <c r="B21" s="290" t="s">
        <v>627</v>
      </c>
      <c r="C21" s="291" t="s">
        <v>91</v>
      </c>
      <c r="D21" s="336" t="s">
        <v>857</v>
      </c>
      <c r="E21" s="293" t="s">
        <v>147</v>
      </c>
      <c r="F21" s="337">
        <v>6.73</v>
      </c>
      <c r="G21" s="295" t="s">
        <v>148</v>
      </c>
      <c r="H21" s="295" t="s">
        <v>158</v>
      </c>
    </row>
    <row r="22" spans="1:8" x14ac:dyDescent="0.3">
      <c r="A22" s="289" t="s">
        <v>145</v>
      </c>
      <c r="B22" s="290" t="s">
        <v>627</v>
      </c>
      <c r="C22" s="291" t="s">
        <v>91</v>
      </c>
      <c r="D22" s="336">
        <v>137976</v>
      </c>
      <c r="E22" s="293" t="s">
        <v>147</v>
      </c>
      <c r="F22" s="337">
        <v>17.170000000000002</v>
      </c>
      <c r="G22" s="295" t="s">
        <v>148</v>
      </c>
      <c r="H22" s="295" t="s">
        <v>158</v>
      </c>
    </row>
    <row r="23" spans="1:8" x14ac:dyDescent="0.3">
      <c r="A23" s="289" t="s">
        <v>145</v>
      </c>
      <c r="B23" s="290" t="s">
        <v>627</v>
      </c>
      <c r="C23" s="291" t="s">
        <v>91</v>
      </c>
      <c r="D23" s="336">
        <v>137977</v>
      </c>
      <c r="E23" s="293" t="s">
        <v>147</v>
      </c>
      <c r="F23" s="337">
        <v>15.1</v>
      </c>
      <c r="G23" s="295" t="s">
        <v>148</v>
      </c>
      <c r="H23" s="295" t="s">
        <v>158</v>
      </c>
    </row>
    <row r="24" spans="1:8" x14ac:dyDescent="0.3">
      <c r="A24" s="289" t="s">
        <v>145</v>
      </c>
      <c r="B24" s="290" t="s">
        <v>627</v>
      </c>
      <c r="C24" s="291" t="s">
        <v>91</v>
      </c>
      <c r="D24" s="336">
        <v>137978</v>
      </c>
      <c r="E24" s="293" t="s">
        <v>147</v>
      </c>
      <c r="F24" s="337">
        <v>23.64</v>
      </c>
      <c r="G24" s="295" t="s">
        <v>148</v>
      </c>
      <c r="H24" s="295" t="s">
        <v>158</v>
      </c>
    </row>
    <row r="25" spans="1:8" x14ac:dyDescent="0.3">
      <c r="A25" s="289" t="s">
        <v>145</v>
      </c>
      <c r="B25" s="290" t="s">
        <v>628</v>
      </c>
      <c r="C25" s="291" t="s">
        <v>91</v>
      </c>
      <c r="D25" s="336">
        <v>138303</v>
      </c>
      <c r="E25" s="293" t="s">
        <v>147</v>
      </c>
      <c r="F25" s="337">
        <v>605.97</v>
      </c>
      <c r="G25" s="295" t="s">
        <v>148</v>
      </c>
      <c r="H25" s="295" t="s">
        <v>158</v>
      </c>
    </row>
    <row r="26" spans="1:8" x14ac:dyDescent="0.3">
      <c r="A26" s="289" t="s">
        <v>145</v>
      </c>
      <c r="B26" s="290" t="s">
        <v>628</v>
      </c>
      <c r="C26" s="291" t="s">
        <v>91</v>
      </c>
      <c r="D26" s="336" t="s">
        <v>857</v>
      </c>
      <c r="E26" s="293" t="s">
        <v>147</v>
      </c>
      <c r="F26" s="337">
        <v>184.85</v>
      </c>
      <c r="G26" s="295" t="s">
        <v>148</v>
      </c>
      <c r="H26" s="295" t="s">
        <v>158</v>
      </c>
    </row>
    <row r="27" spans="1:8" x14ac:dyDescent="0.3">
      <c r="A27" s="289" t="s">
        <v>145</v>
      </c>
      <c r="B27" s="290" t="s">
        <v>628</v>
      </c>
      <c r="C27" s="291" t="s">
        <v>91</v>
      </c>
      <c r="D27" s="336" t="s">
        <v>857</v>
      </c>
      <c r="E27" s="293" t="s">
        <v>147</v>
      </c>
      <c r="F27" s="337">
        <v>114.6</v>
      </c>
      <c r="G27" s="295" t="s">
        <v>148</v>
      </c>
      <c r="H27" s="295" t="s">
        <v>158</v>
      </c>
    </row>
    <row r="28" spans="1:8" x14ac:dyDescent="0.3">
      <c r="A28" s="289" t="s">
        <v>145</v>
      </c>
      <c r="B28" s="290" t="s">
        <v>629</v>
      </c>
      <c r="C28" s="291" t="s">
        <v>91</v>
      </c>
      <c r="D28" s="336" t="s">
        <v>857</v>
      </c>
      <c r="E28" s="293" t="s">
        <v>147</v>
      </c>
      <c r="F28" s="337">
        <v>1.29</v>
      </c>
      <c r="G28" s="295" t="s">
        <v>148</v>
      </c>
      <c r="H28" s="295" t="s">
        <v>158</v>
      </c>
    </row>
    <row r="29" spans="1:8" x14ac:dyDescent="0.3">
      <c r="A29" s="289" t="s">
        <v>145</v>
      </c>
      <c r="B29" s="290" t="s">
        <v>630</v>
      </c>
      <c r="C29" s="291" t="s">
        <v>91</v>
      </c>
      <c r="D29" s="336">
        <v>138491</v>
      </c>
      <c r="E29" s="293" t="s">
        <v>147</v>
      </c>
      <c r="F29" s="337">
        <v>66.14</v>
      </c>
      <c r="G29" s="295" t="s">
        <v>148</v>
      </c>
      <c r="H29" s="295" t="s">
        <v>158</v>
      </c>
    </row>
    <row r="30" spans="1:8" x14ac:dyDescent="0.3">
      <c r="A30" s="289" t="s">
        <v>145</v>
      </c>
      <c r="B30" s="290" t="s">
        <v>630</v>
      </c>
      <c r="C30" s="291" t="s">
        <v>91</v>
      </c>
      <c r="D30" s="336" t="s">
        <v>857</v>
      </c>
      <c r="E30" s="293" t="s">
        <v>147</v>
      </c>
      <c r="F30" s="337">
        <f>16.05+43.3</f>
        <v>59.349999999999994</v>
      </c>
      <c r="G30" s="295" t="s">
        <v>148</v>
      </c>
      <c r="H30" s="295" t="s">
        <v>158</v>
      </c>
    </row>
    <row r="31" spans="1:8" x14ac:dyDescent="0.3">
      <c r="A31" s="289" t="s">
        <v>145</v>
      </c>
      <c r="B31" s="290" t="s">
        <v>630</v>
      </c>
      <c r="C31" s="291" t="s">
        <v>91</v>
      </c>
      <c r="D31" s="336" t="s">
        <v>857</v>
      </c>
      <c r="E31" s="293" t="s">
        <v>147</v>
      </c>
      <c r="F31" s="337">
        <v>56.71</v>
      </c>
      <c r="G31" s="295" t="s">
        <v>148</v>
      </c>
      <c r="H31" s="295" t="s">
        <v>158</v>
      </c>
    </row>
    <row r="32" spans="1:8" x14ac:dyDescent="0.3">
      <c r="A32" s="289" t="s">
        <v>145</v>
      </c>
      <c r="B32" s="290" t="s">
        <v>630</v>
      </c>
      <c r="C32" s="291" t="s">
        <v>91</v>
      </c>
      <c r="D32" s="336" t="s">
        <v>856</v>
      </c>
      <c r="E32" s="293" t="s">
        <v>147</v>
      </c>
      <c r="F32" s="337">
        <v>88.3</v>
      </c>
      <c r="G32" s="295" t="s">
        <v>148</v>
      </c>
      <c r="H32" s="295" t="s">
        <v>158</v>
      </c>
    </row>
    <row r="33" spans="1:8" x14ac:dyDescent="0.3">
      <c r="A33" s="289" t="s">
        <v>145</v>
      </c>
      <c r="B33" s="290" t="s">
        <v>631</v>
      </c>
      <c r="C33" s="291" t="s">
        <v>91</v>
      </c>
      <c r="D33" s="336" t="s">
        <v>856</v>
      </c>
      <c r="E33" s="293" t="s">
        <v>147</v>
      </c>
      <c r="F33" s="337">
        <v>70.38</v>
      </c>
      <c r="G33" s="295" t="s">
        <v>148</v>
      </c>
      <c r="H33" s="295" t="s">
        <v>158</v>
      </c>
    </row>
    <row r="34" spans="1:8" x14ac:dyDescent="0.3">
      <c r="A34" s="289" t="s">
        <v>145</v>
      </c>
      <c r="B34" s="290" t="s">
        <v>632</v>
      </c>
      <c r="C34" s="291" t="s">
        <v>91</v>
      </c>
      <c r="D34" s="336" t="s">
        <v>856</v>
      </c>
      <c r="E34" s="293" t="s">
        <v>147</v>
      </c>
      <c r="F34" s="337">
        <v>21.47</v>
      </c>
      <c r="G34" s="295" t="s">
        <v>148</v>
      </c>
      <c r="H34" s="295" t="s">
        <v>158</v>
      </c>
    </row>
    <row r="35" spans="1:8" x14ac:dyDescent="0.3">
      <c r="A35" s="289" t="s">
        <v>145</v>
      </c>
      <c r="B35" s="290" t="s">
        <v>633</v>
      </c>
      <c r="C35" s="291" t="s">
        <v>91</v>
      </c>
      <c r="D35" s="336" t="s">
        <v>856</v>
      </c>
      <c r="E35" s="293" t="s">
        <v>147</v>
      </c>
      <c r="F35" s="337">
        <v>1.3</v>
      </c>
      <c r="G35" s="295" t="s">
        <v>148</v>
      </c>
      <c r="H35" s="295" t="s">
        <v>158</v>
      </c>
    </row>
    <row r="36" spans="1:8" x14ac:dyDescent="0.3">
      <c r="A36" s="289" t="s">
        <v>145</v>
      </c>
      <c r="B36" s="290" t="s">
        <v>634</v>
      </c>
      <c r="C36" s="291" t="s">
        <v>91</v>
      </c>
      <c r="D36" s="336" t="s">
        <v>856</v>
      </c>
      <c r="E36" s="293" t="s">
        <v>147</v>
      </c>
      <c r="F36" s="337">
        <v>44.48</v>
      </c>
      <c r="G36" s="295" t="s">
        <v>148</v>
      </c>
      <c r="H36" s="295" t="s">
        <v>158</v>
      </c>
    </row>
    <row r="37" spans="1:8" x14ac:dyDescent="0.3">
      <c r="A37" s="289" t="s">
        <v>145</v>
      </c>
      <c r="B37" s="290" t="s">
        <v>637</v>
      </c>
      <c r="C37" s="291" t="s">
        <v>91</v>
      </c>
      <c r="D37" s="336" t="s">
        <v>856</v>
      </c>
      <c r="E37" s="293" t="s">
        <v>147</v>
      </c>
      <c r="F37" s="337">
        <v>554.59</v>
      </c>
      <c r="G37" s="295" t="s">
        <v>148</v>
      </c>
      <c r="H37" s="295" t="s">
        <v>158</v>
      </c>
    </row>
    <row r="38" spans="1:8" x14ac:dyDescent="0.3">
      <c r="A38" s="289" t="s">
        <v>145</v>
      </c>
      <c r="B38" s="290" t="s">
        <v>638</v>
      </c>
      <c r="C38" s="291" t="s">
        <v>91</v>
      </c>
      <c r="D38" s="336" t="s">
        <v>856</v>
      </c>
      <c r="E38" s="293" t="s">
        <v>147</v>
      </c>
      <c r="F38" s="337">
        <v>21.04</v>
      </c>
      <c r="G38" s="295" t="s">
        <v>148</v>
      </c>
      <c r="H38" s="295" t="s">
        <v>158</v>
      </c>
    </row>
    <row r="39" spans="1:8" x14ac:dyDescent="0.3">
      <c r="A39" s="289" t="s">
        <v>145</v>
      </c>
      <c r="B39" s="290" t="s">
        <v>638</v>
      </c>
      <c r="C39" s="291" t="s">
        <v>91</v>
      </c>
      <c r="D39" s="336" t="s">
        <v>856</v>
      </c>
      <c r="E39" s="293" t="s">
        <v>147</v>
      </c>
      <c r="F39" s="337">
        <v>45.41</v>
      </c>
      <c r="G39" s="295" t="s">
        <v>148</v>
      </c>
      <c r="H39" s="295" t="s">
        <v>158</v>
      </c>
    </row>
    <row r="40" spans="1:8" x14ac:dyDescent="0.3">
      <c r="A40" s="289" t="s">
        <v>145</v>
      </c>
      <c r="B40" s="290" t="s">
        <v>638</v>
      </c>
      <c r="C40" s="291" t="s">
        <v>91</v>
      </c>
      <c r="D40" s="336" t="s">
        <v>856</v>
      </c>
      <c r="E40" s="293" t="s">
        <v>147</v>
      </c>
      <c r="F40" s="337">
        <f>5.35+134.35</f>
        <v>139.69999999999999</v>
      </c>
      <c r="G40" s="295" t="s">
        <v>148</v>
      </c>
      <c r="H40" s="295" t="s">
        <v>158</v>
      </c>
    </row>
    <row r="41" spans="1:8" x14ac:dyDescent="0.3">
      <c r="A41" s="289" t="s">
        <v>145</v>
      </c>
      <c r="B41" s="290" t="s">
        <v>639</v>
      </c>
      <c r="C41" s="291" t="s">
        <v>91</v>
      </c>
      <c r="D41" s="336" t="s">
        <v>856</v>
      </c>
      <c r="E41" s="293" t="s">
        <v>147</v>
      </c>
      <c r="F41" s="337">
        <v>65.2</v>
      </c>
      <c r="G41" s="295" t="s">
        <v>148</v>
      </c>
      <c r="H41" s="295" t="s">
        <v>158</v>
      </c>
    </row>
    <row r="42" spans="1:8" x14ac:dyDescent="0.3">
      <c r="A42" s="289" t="s">
        <v>145</v>
      </c>
      <c r="B42" s="290" t="s">
        <v>639</v>
      </c>
      <c r="C42" s="291" t="s">
        <v>91</v>
      </c>
      <c r="D42" s="336" t="s">
        <v>856</v>
      </c>
      <c r="E42" s="293" t="s">
        <v>147</v>
      </c>
      <c r="F42" s="337">
        <v>300.85000000000002</v>
      </c>
      <c r="G42" s="295" t="s">
        <v>148</v>
      </c>
      <c r="H42" s="295" t="s">
        <v>158</v>
      </c>
    </row>
    <row r="43" spans="1:8" x14ac:dyDescent="0.3">
      <c r="A43" s="289" t="s">
        <v>145</v>
      </c>
      <c r="B43" s="290" t="s">
        <v>639</v>
      </c>
      <c r="C43" s="291" t="s">
        <v>91</v>
      </c>
      <c r="D43" s="336" t="s">
        <v>856</v>
      </c>
      <c r="E43" s="293" t="s">
        <v>147</v>
      </c>
      <c r="F43" s="337">
        <v>244.1</v>
      </c>
      <c r="G43" s="295" t="s">
        <v>148</v>
      </c>
      <c r="H43" s="295" t="s">
        <v>158</v>
      </c>
    </row>
    <row r="44" spans="1:8" x14ac:dyDescent="0.3">
      <c r="A44" s="289" t="s">
        <v>145</v>
      </c>
      <c r="B44" s="290" t="s">
        <v>640</v>
      </c>
      <c r="C44" s="291" t="s">
        <v>91</v>
      </c>
      <c r="D44" s="336" t="s">
        <v>857</v>
      </c>
      <c r="E44" s="293" t="s">
        <v>147</v>
      </c>
      <c r="F44" s="337">
        <f>198.4+41.08</f>
        <v>239.48000000000002</v>
      </c>
      <c r="G44" s="295" t="s">
        <v>148</v>
      </c>
      <c r="H44" s="295" t="s">
        <v>158</v>
      </c>
    </row>
    <row r="45" spans="1:8" x14ac:dyDescent="0.3">
      <c r="A45" s="289" t="s">
        <v>145</v>
      </c>
      <c r="B45" s="290" t="s">
        <v>640</v>
      </c>
      <c r="C45" s="291" t="s">
        <v>91</v>
      </c>
      <c r="D45" s="336" t="s">
        <v>857</v>
      </c>
      <c r="E45" s="293" t="s">
        <v>147</v>
      </c>
      <c r="F45" s="337">
        <f>8.86+9.01</f>
        <v>17.869999999999997</v>
      </c>
      <c r="G45" s="295" t="s">
        <v>148</v>
      </c>
      <c r="H45" s="295" t="s">
        <v>158</v>
      </c>
    </row>
    <row r="46" spans="1:8" x14ac:dyDescent="0.3">
      <c r="A46" s="289" t="s">
        <v>145</v>
      </c>
      <c r="B46" s="290" t="s">
        <v>640</v>
      </c>
      <c r="C46" s="291" t="s">
        <v>91</v>
      </c>
      <c r="D46" s="336" t="s">
        <v>857</v>
      </c>
      <c r="E46" s="293" t="s">
        <v>147</v>
      </c>
      <c r="F46" s="337">
        <v>97.1</v>
      </c>
      <c r="G46" s="295" t="s">
        <v>148</v>
      </c>
      <c r="H46" s="295" t="s">
        <v>158</v>
      </c>
    </row>
    <row r="47" spans="1:8" x14ac:dyDescent="0.3">
      <c r="A47" s="289" t="s">
        <v>145</v>
      </c>
      <c r="B47" s="290" t="s">
        <v>640</v>
      </c>
      <c r="C47" s="291" t="s">
        <v>91</v>
      </c>
      <c r="D47" s="336" t="s">
        <v>855</v>
      </c>
      <c r="E47" s="293" t="s">
        <v>147</v>
      </c>
      <c r="F47" s="337">
        <v>45.29</v>
      </c>
      <c r="G47" s="295" t="s">
        <v>148</v>
      </c>
      <c r="H47" s="295" t="s">
        <v>158</v>
      </c>
    </row>
    <row r="48" spans="1:8" x14ac:dyDescent="0.3">
      <c r="A48" s="289" t="s">
        <v>145</v>
      </c>
      <c r="B48" s="290" t="s">
        <v>641</v>
      </c>
      <c r="C48" s="291" t="s">
        <v>91</v>
      </c>
      <c r="D48" s="336" t="s">
        <v>855</v>
      </c>
      <c r="E48" s="293" t="s">
        <v>147</v>
      </c>
      <c r="F48" s="337">
        <v>28.01</v>
      </c>
      <c r="G48" s="295" t="s">
        <v>148</v>
      </c>
      <c r="H48" s="295" t="s">
        <v>158</v>
      </c>
    </row>
    <row r="49" spans="1:8" x14ac:dyDescent="0.3">
      <c r="A49" s="289" t="s">
        <v>145</v>
      </c>
      <c r="B49" s="290" t="s">
        <v>641</v>
      </c>
      <c r="C49" s="291" t="s">
        <v>91</v>
      </c>
      <c r="D49" s="336" t="s">
        <v>855</v>
      </c>
      <c r="E49" s="293" t="s">
        <v>147</v>
      </c>
      <c r="F49" s="337">
        <v>29.84</v>
      </c>
      <c r="G49" s="295" t="s">
        <v>148</v>
      </c>
      <c r="H49" s="295" t="s">
        <v>158</v>
      </c>
    </row>
    <row r="50" spans="1:8" x14ac:dyDescent="0.3">
      <c r="A50" s="289" t="s">
        <v>145</v>
      </c>
      <c r="B50" s="290" t="s">
        <v>641</v>
      </c>
      <c r="C50" s="291" t="s">
        <v>91</v>
      </c>
      <c r="D50" s="336" t="s">
        <v>855</v>
      </c>
      <c r="E50" s="293" t="s">
        <v>147</v>
      </c>
      <c r="F50" s="337">
        <v>39.409999999999997</v>
      </c>
      <c r="G50" s="295" t="s">
        <v>148</v>
      </c>
      <c r="H50" s="295" t="s">
        <v>158</v>
      </c>
    </row>
    <row r="51" spans="1:8" x14ac:dyDescent="0.3">
      <c r="A51" s="289" t="s">
        <v>145</v>
      </c>
      <c r="B51" s="290" t="s">
        <v>641</v>
      </c>
      <c r="C51" s="291" t="s">
        <v>91</v>
      </c>
      <c r="D51" s="336" t="s">
        <v>855</v>
      </c>
      <c r="E51" s="293" t="s">
        <v>147</v>
      </c>
      <c r="F51" s="337">
        <f>63.04+5.02</f>
        <v>68.06</v>
      </c>
      <c r="G51" s="295" t="s">
        <v>148</v>
      </c>
      <c r="H51" s="295" t="s">
        <v>158</v>
      </c>
    </row>
    <row r="52" spans="1:8" x14ac:dyDescent="0.3">
      <c r="A52" s="289" t="s">
        <v>145</v>
      </c>
      <c r="B52" s="290" t="s">
        <v>641</v>
      </c>
      <c r="C52" s="291" t="s">
        <v>91</v>
      </c>
      <c r="D52" s="336" t="s">
        <v>855</v>
      </c>
      <c r="E52" s="293" t="s">
        <v>147</v>
      </c>
      <c r="F52" s="337">
        <v>70.010000000000005</v>
      </c>
      <c r="G52" s="295" t="s">
        <v>148</v>
      </c>
      <c r="H52" s="295" t="s">
        <v>158</v>
      </c>
    </row>
    <row r="53" spans="1:8" x14ac:dyDescent="0.3">
      <c r="A53" s="289" t="s">
        <v>145</v>
      </c>
      <c r="B53" s="290" t="s">
        <v>641</v>
      </c>
      <c r="C53" s="291" t="s">
        <v>91</v>
      </c>
      <c r="D53" s="336">
        <v>140518</v>
      </c>
      <c r="E53" s="293" t="s">
        <v>147</v>
      </c>
      <c r="F53" s="687">
        <f>14152.22+25161.63+10817.04+12274.95+7698.23+10333.13</f>
        <v>80437.2</v>
      </c>
      <c r="G53" s="295" t="s">
        <v>148</v>
      </c>
      <c r="H53" s="295" t="s">
        <v>158</v>
      </c>
    </row>
    <row r="54" spans="1:8" x14ac:dyDescent="0.3">
      <c r="A54" s="289" t="s">
        <v>145</v>
      </c>
      <c r="B54" s="290" t="s">
        <v>641</v>
      </c>
      <c r="C54" s="291" t="s">
        <v>91</v>
      </c>
      <c r="D54" s="336">
        <v>140519</v>
      </c>
      <c r="E54" s="293" t="s">
        <v>147</v>
      </c>
      <c r="F54" s="687">
        <v>1166.6600000000001</v>
      </c>
      <c r="G54" s="295" t="s">
        <v>148</v>
      </c>
      <c r="H54" s="295" t="s">
        <v>158</v>
      </c>
    </row>
    <row r="55" spans="1:8" x14ac:dyDescent="0.3">
      <c r="A55" s="289" t="s">
        <v>145</v>
      </c>
      <c r="B55" s="290" t="s">
        <v>641</v>
      </c>
      <c r="C55" s="291" t="s">
        <v>91</v>
      </c>
      <c r="D55" s="336" t="s">
        <v>855</v>
      </c>
      <c r="E55" s="293" t="s">
        <v>147</v>
      </c>
      <c r="F55" s="687">
        <v>112.92</v>
      </c>
      <c r="G55" s="295" t="s">
        <v>148</v>
      </c>
      <c r="H55" s="295" t="s">
        <v>158</v>
      </c>
    </row>
    <row r="56" spans="1:8" x14ac:dyDescent="0.3">
      <c r="A56" s="289" t="s">
        <v>145</v>
      </c>
      <c r="B56" s="290" t="s">
        <v>642</v>
      </c>
      <c r="C56" s="291" t="s">
        <v>91</v>
      </c>
      <c r="D56" s="336" t="s">
        <v>855</v>
      </c>
      <c r="E56" s="293" t="s">
        <v>147</v>
      </c>
      <c r="F56" s="687">
        <v>39.19</v>
      </c>
      <c r="G56" s="295" t="s">
        <v>148</v>
      </c>
      <c r="H56" s="295" t="s">
        <v>158</v>
      </c>
    </row>
    <row r="57" spans="1:8" x14ac:dyDescent="0.3">
      <c r="A57" s="289" t="s">
        <v>145</v>
      </c>
      <c r="B57" s="290" t="s">
        <v>643</v>
      </c>
      <c r="C57" s="291" t="s">
        <v>91</v>
      </c>
      <c r="D57" s="336" t="s">
        <v>855</v>
      </c>
      <c r="E57" s="293" t="s">
        <v>147</v>
      </c>
      <c r="F57" s="687">
        <f>200.68+14.11</f>
        <v>214.79000000000002</v>
      </c>
      <c r="G57" s="295" t="s">
        <v>148</v>
      </c>
      <c r="H57" s="295" t="s">
        <v>158</v>
      </c>
    </row>
    <row r="58" spans="1:8" x14ac:dyDescent="0.3">
      <c r="A58" s="289" t="s">
        <v>145</v>
      </c>
      <c r="B58" s="290" t="s">
        <v>643</v>
      </c>
      <c r="C58" s="291" t="s">
        <v>91</v>
      </c>
      <c r="D58" s="336" t="s">
        <v>855</v>
      </c>
      <c r="E58" s="293" t="s">
        <v>147</v>
      </c>
      <c r="F58" s="687">
        <v>27.56</v>
      </c>
      <c r="G58" s="295" t="s">
        <v>148</v>
      </c>
      <c r="H58" s="295" t="s">
        <v>158</v>
      </c>
    </row>
    <row r="59" spans="1:8" x14ac:dyDescent="0.3">
      <c r="A59" s="289" t="s">
        <v>145</v>
      </c>
      <c r="B59" s="290" t="s">
        <v>643</v>
      </c>
      <c r="C59" s="291" t="s">
        <v>91</v>
      </c>
      <c r="D59" s="336" t="s">
        <v>855</v>
      </c>
      <c r="E59" s="293" t="s">
        <v>147</v>
      </c>
      <c r="F59" s="687">
        <v>373.53</v>
      </c>
      <c r="G59" s="295" t="s">
        <v>148</v>
      </c>
      <c r="H59" s="295" t="s">
        <v>158</v>
      </c>
    </row>
    <row r="60" spans="1:8" x14ac:dyDescent="0.3">
      <c r="A60" s="289" t="s">
        <v>145</v>
      </c>
      <c r="B60" s="290" t="s">
        <v>644</v>
      </c>
      <c r="C60" s="291" t="s">
        <v>91</v>
      </c>
      <c r="D60" s="336">
        <v>140950</v>
      </c>
      <c r="E60" s="293" t="s">
        <v>147</v>
      </c>
      <c r="F60" s="687">
        <v>242.77</v>
      </c>
      <c r="G60" s="295" t="s">
        <v>148</v>
      </c>
      <c r="H60" s="295" t="s">
        <v>158</v>
      </c>
    </row>
    <row r="61" spans="1:8" x14ac:dyDescent="0.3">
      <c r="A61" s="289" t="s">
        <v>145</v>
      </c>
      <c r="B61" s="290" t="s">
        <v>645</v>
      </c>
      <c r="C61" s="291" t="s">
        <v>91</v>
      </c>
      <c r="D61" s="336">
        <v>141017</v>
      </c>
      <c r="E61" s="293" t="s">
        <v>147</v>
      </c>
      <c r="F61" s="687">
        <v>29.97</v>
      </c>
      <c r="G61" s="295" t="s">
        <v>148</v>
      </c>
      <c r="H61" s="295" t="s">
        <v>158</v>
      </c>
    </row>
    <row r="62" spans="1:8" x14ac:dyDescent="0.3">
      <c r="A62" s="289" t="s">
        <v>145</v>
      </c>
      <c r="B62" s="290" t="s">
        <v>645</v>
      </c>
      <c r="C62" s="291" t="s">
        <v>91</v>
      </c>
      <c r="D62" s="336" t="s">
        <v>855</v>
      </c>
      <c r="E62" s="293" t="s">
        <v>147</v>
      </c>
      <c r="F62" s="687">
        <v>506.77</v>
      </c>
      <c r="G62" s="295" t="s">
        <v>148</v>
      </c>
      <c r="H62" s="295" t="s">
        <v>158</v>
      </c>
    </row>
    <row r="63" spans="1:8" x14ac:dyDescent="0.3">
      <c r="A63" s="289" t="s">
        <v>145</v>
      </c>
      <c r="B63" s="290" t="s">
        <v>646</v>
      </c>
      <c r="C63" s="291" t="s">
        <v>91</v>
      </c>
      <c r="D63" s="336" t="s">
        <v>855</v>
      </c>
      <c r="E63" s="293" t="s">
        <v>147</v>
      </c>
      <c r="F63" s="337">
        <v>142.38</v>
      </c>
      <c r="G63" s="295" t="s">
        <v>148</v>
      </c>
      <c r="H63" s="295" t="s">
        <v>158</v>
      </c>
    </row>
    <row r="64" spans="1:8" x14ac:dyDescent="0.3">
      <c r="A64" s="289" t="s">
        <v>145</v>
      </c>
      <c r="B64" s="290" t="s">
        <v>641</v>
      </c>
      <c r="C64" s="291" t="s">
        <v>91</v>
      </c>
      <c r="D64" s="336" t="s">
        <v>855</v>
      </c>
      <c r="E64" s="293" t="s">
        <v>147</v>
      </c>
      <c r="F64" s="337">
        <f>191.71+33.62+1695.65</f>
        <v>1920.98</v>
      </c>
      <c r="G64" s="295" t="s">
        <v>148</v>
      </c>
      <c r="H64" s="295" t="s">
        <v>158</v>
      </c>
    </row>
    <row r="65" spans="1:8" x14ac:dyDescent="0.3">
      <c r="A65" s="289" t="s">
        <v>145</v>
      </c>
      <c r="B65" s="290" t="s">
        <v>641</v>
      </c>
      <c r="C65" s="291" t="s">
        <v>91</v>
      </c>
      <c r="D65" s="336" t="s">
        <v>854</v>
      </c>
      <c r="E65" s="293" t="s">
        <v>147</v>
      </c>
      <c r="F65" s="337">
        <f>23.41+0.09</f>
        <v>23.5</v>
      </c>
      <c r="G65" s="295" t="s">
        <v>148</v>
      </c>
      <c r="H65" s="295" t="s">
        <v>158</v>
      </c>
    </row>
    <row r="66" spans="1:8" x14ac:dyDescent="0.3">
      <c r="A66" s="289" t="s">
        <v>145</v>
      </c>
      <c r="B66" s="290" t="s">
        <v>647</v>
      </c>
      <c r="C66" s="291" t="s">
        <v>91</v>
      </c>
      <c r="D66" s="336">
        <v>141123</v>
      </c>
      <c r="E66" s="293" t="s">
        <v>147</v>
      </c>
      <c r="F66" s="337">
        <v>199.12</v>
      </c>
      <c r="G66" s="295" t="s">
        <v>148</v>
      </c>
      <c r="H66" s="295" t="s">
        <v>158</v>
      </c>
    </row>
    <row r="67" spans="1:8" x14ac:dyDescent="0.3">
      <c r="A67" s="289" t="s">
        <v>145</v>
      </c>
      <c r="B67" s="290" t="s">
        <v>658</v>
      </c>
      <c r="C67" s="291" t="s">
        <v>91</v>
      </c>
      <c r="D67" s="336" t="s">
        <v>854</v>
      </c>
      <c r="E67" s="293" t="s">
        <v>147</v>
      </c>
      <c r="F67" s="337">
        <f>1.44+20.45</f>
        <v>21.89</v>
      </c>
      <c r="G67" s="295" t="s">
        <v>148</v>
      </c>
      <c r="H67" s="295" t="s">
        <v>158</v>
      </c>
    </row>
    <row r="68" spans="1:8" x14ac:dyDescent="0.3">
      <c r="A68" s="289" t="s">
        <v>145</v>
      </c>
      <c r="B68" s="290" t="s">
        <v>658</v>
      </c>
      <c r="C68" s="291" t="s">
        <v>91</v>
      </c>
      <c r="D68" s="336" t="s">
        <v>854</v>
      </c>
      <c r="E68" s="293" t="s">
        <v>147</v>
      </c>
      <c r="F68" s="337">
        <v>3.99</v>
      </c>
      <c r="G68" s="295" t="s">
        <v>148</v>
      </c>
      <c r="H68" s="295" t="s">
        <v>158</v>
      </c>
    </row>
    <row r="69" spans="1:8" x14ac:dyDescent="0.3">
      <c r="A69" s="289" t="s">
        <v>145</v>
      </c>
      <c r="B69" s="290" t="s">
        <v>658</v>
      </c>
      <c r="C69" s="291" t="s">
        <v>91</v>
      </c>
      <c r="D69" s="336" t="s">
        <v>854</v>
      </c>
      <c r="E69" s="293" t="s">
        <v>147</v>
      </c>
      <c r="F69" s="337">
        <v>73.650000000000006</v>
      </c>
      <c r="G69" s="295" t="s">
        <v>148</v>
      </c>
      <c r="H69" s="295" t="s">
        <v>158</v>
      </c>
    </row>
    <row r="70" spans="1:8" x14ac:dyDescent="0.3">
      <c r="A70" s="289" t="s">
        <v>145</v>
      </c>
      <c r="B70" s="290" t="s">
        <v>661</v>
      </c>
      <c r="C70" s="291" t="s">
        <v>91</v>
      </c>
      <c r="D70" s="336" t="s">
        <v>854</v>
      </c>
      <c r="E70" s="293" t="s">
        <v>147</v>
      </c>
      <c r="F70" s="337">
        <v>12.13</v>
      </c>
      <c r="G70" s="295" t="s">
        <v>148</v>
      </c>
      <c r="H70" s="295" t="s">
        <v>158</v>
      </c>
    </row>
    <row r="71" spans="1:8" x14ac:dyDescent="0.3">
      <c r="A71" s="289" t="s">
        <v>145</v>
      </c>
      <c r="B71" s="290" t="s">
        <v>661</v>
      </c>
      <c r="C71" s="291" t="s">
        <v>91</v>
      </c>
      <c r="D71" s="336" t="s">
        <v>854</v>
      </c>
      <c r="E71" s="293" t="s">
        <v>147</v>
      </c>
      <c r="F71" s="337">
        <v>343.64</v>
      </c>
      <c r="G71" s="295" t="s">
        <v>148</v>
      </c>
      <c r="H71" s="295" t="s">
        <v>158</v>
      </c>
    </row>
    <row r="72" spans="1:8" x14ac:dyDescent="0.3">
      <c r="A72" s="289" t="s">
        <v>145</v>
      </c>
      <c r="B72" s="290" t="s">
        <v>662</v>
      </c>
      <c r="C72" s="291" t="s">
        <v>91</v>
      </c>
      <c r="D72" s="336" t="s">
        <v>854</v>
      </c>
      <c r="E72" s="293" t="s">
        <v>147</v>
      </c>
      <c r="F72" s="337">
        <f>5.02+43.65</f>
        <v>48.67</v>
      </c>
      <c r="G72" s="295" t="s">
        <v>148</v>
      </c>
      <c r="H72" s="295" t="s">
        <v>158</v>
      </c>
    </row>
    <row r="73" spans="1:8" x14ac:dyDescent="0.3">
      <c r="A73" s="289" t="s">
        <v>145</v>
      </c>
      <c r="B73" s="290" t="s">
        <v>660</v>
      </c>
      <c r="C73" s="291" t="s">
        <v>91</v>
      </c>
      <c r="D73" s="336" t="s">
        <v>854</v>
      </c>
      <c r="E73" s="293" t="s">
        <v>147</v>
      </c>
      <c r="F73" s="337">
        <v>591.77</v>
      </c>
      <c r="G73" s="295" t="s">
        <v>148</v>
      </c>
      <c r="H73" s="295" t="s">
        <v>158</v>
      </c>
    </row>
    <row r="74" spans="1:8" x14ac:dyDescent="0.3">
      <c r="A74" s="289" t="s">
        <v>145</v>
      </c>
      <c r="B74" s="290" t="s">
        <v>693</v>
      </c>
      <c r="C74" s="291" t="s">
        <v>91</v>
      </c>
      <c r="D74" s="336" t="s">
        <v>854</v>
      </c>
      <c r="E74" s="293" t="s">
        <v>147</v>
      </c>
      <c r="F74" s="337">
        <v>13.25</v>
      </c>
      <c r="G74" s="295" t="s">
        <v>148</v>
      </c>
      <c r="H74" s="295" t="s">
        <v>158</v>
      </c>
    </row>
    <row r="75" spans="1:8" x14ac:dyDescent="0.3">
      <c r="A75" s="289" t="s">
        <v>145</v>
      </c>
      <c r="B75" s="290" t="s">
        <v>693</v>
      </c>
      <c r="C75" s="291" t="s">
        <v>91</v>
      </c>
      <c r="D75" s="336" t="s">
        <v>854</v>
      </c>
      <c r="E75" s="293" t="s">
        <v>147</v>
      </c>
      <c r="F75" s="337">
        <v>169.25</v>
      </c>
      <c r="G75" s="295" t="s">
        <v>148</v>
      </c>
      <c r="H75" s="295" t="s">
        <v>158</v>
      </c>
    </row>
    <row r="76" spans="1:8" x14ac:dyDescent="0.3">
      <c r="A76" s="289" t="s">
        <v>145</v>
      </c>
      <c r="B76" s="290" t="s">
        <v>693</v>
      </c>
      <c r="C76" s="291" t="s">
        <v>91</v>
      </c>
      <c r="D76" s="336" t="s">
        <v>854</v>
      </c>
      <c r="E76" s="293" t="s">
        <v>147</v>
      </c>
      <c r="F76" s="337">
        <v>75.239999999999995</v>
      </c>
      <c r="G76" s="295" t="s">
        <v>148</v>
      </c>
      <c r="H76" s="295" t="s">
        <v>158</v>
      </c>
    </row>
    <row r="77" spans="1:8" x14ac:dyDescent="0.3">
      <c r="A77" s="289" t="s">
        <v>145</v>
      </c>
      <c r="B77" s="290" t="s">
        <v>853</v>
      </c>
      <c r="C77" s="291" t="s">
        <v>91</v>
      </c>
      <c r="D77" s="336" t="s">
        <v>854</v>
      </c>
      <c r="E77" s="293" t="s">
        <v>147</v>
      </c>
      <c r="F77" s="337">
        <v>14.25</v>
      </c>
      <c r="G77" s="295" t="s">
        <v>148</v>
      </c>
      <c r="H77" s="295" t="s">
        <v>158</v>
      </c>
    </row>
    <row r="78" spans="1:8" x14ac:dyDescent="0.3">
      <c r="A78" s="289" t="s">
        <v>145</v>
      </c>
      <c r="B78" s="290" t="s">
        <v>853</v>
      </c>
      <c r="C78" s="291" t="s">
        <v>91</v>
      </c>
      <c r="D78" s="336" t="s">
        <v>854</v>
      </c>
      <c r="E78" s="293" t="s">
        <v>147</v>
      </c>
      <c r="F78" s="337">
        <f>5.08+73</f>
        <v>78.08</v>
      </c>
      <c r="G78" s="295" t="s">
        <v>148</v>
      </c>
      <c r="H78" s="295" t="s">
        <v>158</v>
      </c>
    </row>
    <row r="79" spans="1:8" x14ac:dyDescent="0.3">
      <c r="A79" s="289" t="s">
        <v>145</v>
      </c>
      <c r="B79" s="290" t="s">
        <v>693</v>
      </c>
      <c r="C79" s="291" t="s">
        <v>91</v>
      </c>
      <c r="D79" s="336" t="s">
        <v>854</v>
      </c>
      <c r="E79" s="293" t="s">
        <v>147</v>
      </c>
      <c r="F79" s="337">
        <v>23.35</v>
      </c>
      <c r="G79" s="295" t="s">
        <v>148</v>
      </c>
      <c r="H79" s="295" t="s">
        <v>158</v>
      </c>
    </row>
    <row r="80" spans="1:8" x14ac:dyDescent="0.3">
      <c r="A80" s="289" t="s">
        <v>145</v>
      </c>
      <c r="B80" s="290" t="s">
        <v>692</v>
      </c>
      <c r="C80" s="291" t="s">
        <v>91</v>
      </c>
      <c r="D80" s="336" t="s">
        <v>855</v>
      </c>
      <c r="E80" s="293" t="s">
        <v>147</v>
      </c>
      <c r="F80" s="337">
        <v>670.7</v>
      </c>
      <c r="G80" s="295" t="s">
        <v>148</v>
      </c>
      <c r="H80" s="295" t="s">
        <v>158</v>
      </c>
    </row>
    <row r="81" spans="1:8" x14ac:dyDescent="0.3">
      <c r="A81" s="289" t="s">
        <v>145</v>
      </c>
      <c r="B81" s="290" t="s">
        <v>701</v>
      </c>
      <c r="C81" s="291" t="s">
        <v>91</v>
      </c>
      <c r="D81" s="336" t="s">
        <v>855</v>
      </c>
      <c r="E81" s="293" t="s">
        <v>147</v>
      </c>
      <c r="F81" s="337">
        <f>13.4+920</f>
        <v>933.4</v>
      </c>
      <c r="G81" s="295" t="s">
        <v>148</v>
      </c>
      <c r="H81" s="295" t="s">
        <v>158</v>
      </c>
    </row>
    <row r="82" spans="1:8" x14ac:dyDescent="0.3">
      <c r="A82" s="289" t="s">
        <v>145</v>
      </c>
      <c r="B82" s="290" t="s">
        <v>701</v>
      </c>
      <c r="C82" s="291" t="s">
        <v>91</v>
      </c>
      <c r="D82" s="336" t="s">
        <v>855</v>
      </c>
      <c r="E82" s="293" t="s">
        <v>147</v>
      </c>
      <c r="F82" s="337">
        <v>26608.240000000002</v>
      </c>
      <c r="G82" s="295" t="s">
        <v>148</v>
      </c>
      <c r="H82" s="295" t="s">
        <v>158</v>
      </c>
    </row>
    <row r="83" spans="1:8" x14ac:dyDescent="0.3">
      <c r="A83" s="289" t="s">
        <v>145</v>
      </c>
      <c r="B83" s="290" t="s">
        <v>702</v>
      </c>
      <c r="C83" s="291" t="s">
        <v>91</v>
      </c>
      <c r="D83" s="336" t="s">
        <v>855</v>
      </c>
      <c r="E83" s="293" t="s">
        <v>147</v>
      </c>
      <c r="F83" s="337">
        <v>142.03</v>
      </c>
      <c r="G83" s="295" t="s">
        <v>148</v>
      </c>
      <c r="H83" s="295" t="s">
        <v>158</v>
      </c>
    </row>
    <row r="84" spans="1:8" x14ac:dyDescent="0.3">
      <c r="A84" s="289" t="s">
        <v>145</v>
      </c>
      <c r="B84" s="290" t="s">
        <v>702</v>
      </c>
      <c r="C84" s="291" t="s">
        <v>91</v>
      </c>
      <c r="D84" s="336">
        <v>144498</v>
      </c>
      <c r="E84" s="293" t="s">
        <v>147</v>
      </c>
      <c r="F84" s="337">
        <v>508.45</v>
      </c>
      <c r="G84" s="295" t="s">
        <v>148</v>
      </c>
      <c r="H84" s="295" t="s">
        <v>158</v>
      </c>
    </row>
    <row r="85" spans="1:8" x14ac:dyDescent="0.3">
      <c r="A85" s="289" t="s">
        <v>145</v>
      </c>
      <c r="B85" s="290" t="s">
        <v>703</v>
      </c>
      <c r="C85" s="291" t="s">
        <v>91</v>
      </c>
      <c r="D85" s="336" t="s">
        <v>855</v>
      </c>
      <c r="E85" s="293" t="s">
        <v>147</v>
      </c>
      <c r="F85" s="337">
        <f>4.34+60.36</f>
        <v>64.7</v>
      </c>
      <c r="G85" s="295" t="s">
        <v>148</v>
      </c>
      <c r="H85" s="295" t="s">
        <v>158</v>
      </c>
    </row>
    <row r="86" spans="1:8" x14ac:dyDescent="0.3">
      <c r="A86" s="289" t="s">
        <v>145</v>
      </c>
      <c r="B86" s="290" t="s">
        <v>825</v>
      </c>
      <c r="C86" s="291" t="s">
        <v>91</v>
      </c>
      <c r="D86" s="336" t="s">
        <v>855</v>
      </c>
      <c r="E86" s="293" t="s">
        <v>147</v>
      </c>
      <c r="F86" s="337">
        <v>177.99</v>
      </c>
      <c r="G86" s="295" t="s">
        <v>148</v>
      </c>
      <c r="H86" s="295" t="s">
        <v>158</v>
      </c>
    </row>
    <row r="87" spans="1:8" x14ac:dyDescent="0.3">
      <c r="A87" s="289"/>
      <c r="B87" s="290"/>
      <c r="C87" s="291"/>
      <c r="D87" s="336"/>
      <c r="E87" s="293"/>
      <c r="F87" s="337"/>
      <c r="G87" s="295"/>
      <c r="H87" s="295"/>
    </row>
    <row r="88" spans="1:8" ht="15" thickBot="1" x14ac:dyDescent="0.35">
      <c r="F88" s="374">
        <f>SUM(F7:F87)</f>
        <v>121709.75000000001</v>
      </c>
    </row>
    <row r="89" spans="1:8" ht="15" thickTop="1" x14ac:dyDescent="0.3"/>
  </sheetData>
  <hyperlinks>
    <hyperlink ref="A1" location="'C.5.11.1 F&amp;W Register'!A1" display="Back to MFMA-7.1 F&amp;W Register" xr:uid="{00000000-0004-0000-0700-000000000000}"/>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00B0F0"/>
  </sheetPr>
  <dimension ref="A1:H11"/>
  <sheetViews>
    <sheetView workbookViewId="0"/>
  </sheetViews>
  <sheetFormatPr defaultColWidth="9.109375" defaultRowHeight="14.4" x14ac:dyDescent="0.3"/>
  <cols>
    <col min="1" max="1" width="30.88671875" style="1" bestFit="1" customWidth="1"/>
    <col min="2" max="2" width="10.6640625" style="1" bestFit="1" customWidth="1"/>
    <col min="3" max="3" width="15.44140625" style="1" bestFit="1" customWidth="1"/>
    <col min="4" max="4" width="11" style="1" bestFit="1" customWidth="1"/>
    <col min="5" max="5" width="26" style="1" bestFit="1" customWidth="1"/>
    <col min="6" max="6" width="10.5546875" style="1" bestFit="1" customWidth="1"/>
    <col min="7" max="7" width="14.44140625" style="1" bestFit="1" customWidth="1"/>
    <col min="8" max="8" width="35.88671875" style="1" bestFit="1" customWidth="1"/>
    <col min="9" max="16384" width="9.109375" style="1"/>
  </cols>
  <sheetData>
    <row r="1" spans="1:8" x14ac:dyDescent="0.3">
      <c r="A1" s="326" t="s">
        <v>223</v>
      </c>
    </row>
    <row r="2" spans="1:8" x14ac:dyDescent="0.3">
      <c r="A2" s="237" t="s">
        <v>137</v>
      </c>
      <c r="B2" s="229"/>
      <c r="C2" s="83"/>
      <c r="D2" s="83"/>
      <c r="E2" s="83"/>
      <c r="F2" s="83"/>
      <c r="G2" s="83"/>
      <c r="H2" s="83"/>
    </row>
    <row r="3" spans="1:8" x14ac:dyDescent="0.3">
      <c r="A3" s="83"/>
      <c r="B3" s="229"/>
      <c r="C3" s="83"/>
      <c r="D3" s="83"/>
      <c r="E3" s="83"/>
      <c r="F3" s="83"/>
      <c r="G3" s="83"/>
      <c r="H3" s="83"/>
    </row>
    <row r="4" spans="1:8" x14ac:dyDescent="0.3">
      <c r="A4" s="887" t="s">
        <v>163</v>
      </c>
      <c r="B4" s="887"/>
      <c r="C4" s="887"/>
      <c r="D4" s="887"/>
      <c r="E4" s="887"/>
      <c r="F4" s="887"/>
      <c r="G4" s="83"/>
      <c r="H4" s="83"/>
    </row>
    <row r="5" spans="1:8" x14ac:dyDescent="0.3">
      <c r="A5" s="83"/>
      <c r="B5" s="229"/>
      <c r="C5" s="83"/>
      <c r="D5" s="83"/>
      <c r="E5" s="83"/>
      <c r="F5" s="83"/>
      <c r="G5" s="83"/>
      <c r="H5" s="83"/>
    </row>
    <row r="6" spans="1:8" s="83" customFormat="1" ht="13.2" x14ac:dyDescent="0.3">
      <c r="A6" s="246" t="s">
        <v>138</v>
      </c>
      <c r="B6" s="247" t="s">
        <v>139</v>
      </c>
      <c r="C6" s="248" t="s">
        <v>140</v>
      </c>
      <c r="D6" s="249" t="s">
        <v>141</v>
      </c>
      <c r="E6" s="250" t="s">
        <v>142</v>
      </c>
      <c r="F6" s="251" t="s">
        <v>143</v>
      </c>
      <c r="G6" s="252" t="s">
        <v>144</v>
      </c>
      <c r="H6" s="252" t="s">
        <v>157</v>
      </c>
    </row>
    <row r="7" spans="1:8" x14ac:dyDescent="0.3">
      <c r="A7" s="257" t="s">
        <v>145</v>
      </c>
      <c r="B7" s="258" t="s">
        <v>182</v>
      </c>
      <c r="C7" s="259" t="s">
        <v>181</v>
      </c>
      <c r="D7" s="265">
        <v>100519</v>
      </c>
      <c r="E7" s="266" t="s">
        <v>147</v>
      </c>
      <c r="F7" s="267">
        <v>19616.099999999999</v>
      </c>
      <c r="G7" s="263" t="s">
        <v>148</v>
      </c>
      <c r="H7" s="263" t="s">
        <v>158</v>
      </c>
    </row>
    <row r="8" spans="1:8" x14ac:dyDescent="0.3">
      <c r="A8" s="257" t="s">
        <v>145</v>
      </c>
      <c r="B8" s="258" t="s">
        <v>197</v>
      </c>
      <c r="C8" s="259" t="s">
        <v>181</v>
      </c>
      <c r="D8" s="260">
        <v>102096</v>
      </c>
      <c r="E8" s="266" t="s">
        <v>147</v>
      </c>
      <c r="F8" s="262">
        <v>18543.89</v>
      </c>
      <c r="G8" s="263" t="s">
        <v>148</v>
      </c>
      <c r="H8" s="263" t="s">
        <v>158</v>
      </c>
    </row>
    <row r="9" spans="1:8" x14ac:dyDescent="0.3">
      <c r="A9" s="257" t="s">
        <v>145</v>
      </c>
      <c r="B9" s="258" t="s">
        <v>202</v>
      </c>
      <c r="C9" s="259" t="s">
        <v>181</v>
      </c>
      <c r="D9" s="260">
        <v>105375</v>
      </c>
      <c r="E9" s="266" t="s">
        <v>147</v>
      </c>
      <c r="F9" s="262">
        <v>18884.400000000001</v>
      </c>
      <c r="G9" s="263" t="s">
        <v>148</v>
      </c>
      <c r="H9" s="263" t="s">
        <v>158</v>
      </c>
    </row>
    <row r="10" spans="1:8" x14ac:dyDescent="0.3">
      <c r="A10" s="257"/>
      <c r="B10" s="269"/>
      <c r="C10" s="259"/>
      <c r="D10" s="260"/>
      <c r="E10" s="261"/>
      <c r="F10" s="270"/>
      <c r="G10" s="263"/>
      <c r="H10" s="263"/>
    </row>
    <row r="11" spans="1:8" x14ac:dyDescent="0.3">
      <c r="F11" s="233">
        <f>SUM(F7:F10)</f>
        <v>57044.39</v>
      </c>
    </row>
  </sheetData>
  <mergeCells count="1">
    <mergeCell ref="A4:F4"/>
  </mergeCells>
  <hyperlinks>
    <hyperlink ref="A1" location="'MFMA-7.1 F&amp;W Register'!A1" display="Back to MFMA-7.1 F&amp;W Register" xr:uid="{00000000-0004-0000-4F00-000000000000}"/>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00B0F0"/>
  </sheetPr>
  <dimension ref="A1:H11"/>
  <sheetViews>
    <sheetView workbookViewId="0"/>
  </sheetViews>
  <sheetFormatPr defaultColWidth="9.109375" defaultRowHeight="14.4" x14ac:dyDescent="0.3"/>
  <cols>
    <col min="1" max="1" width="30.88671875" style="1" bestFit="1" customWidth="1"/>
    <col min="2" max="2" width="10.6640625" style="1" bestFit="1" customWidth="1"/>
    <col min="3" max="3" width="22" style="1" bestFit="1" customWidth="1"/>
    <col min="4" max="4" width="11" style="1" bestFit="1" customWidth="1"/>
    <col min="5" max="5" width="26" style="1" bestFit="1" customWidth="1"/>
    <col min="6" max="6" width="10.5546875" style="1" bestFit="1" customWidth="1"/>
    <col min="7" max="7" width="14.44140625" style="1" bestFit="1" customWidth="1"/>
    <col min="8" max="8" width="35.88671875" style="1" bestFit="1" customWidth="1"/>
    <col min="9" max="16384" width="9.109375" style="1"/>
  </cols>
  <sheetData>
    <row r="1" spans="1:8" x14ac:dyDescent="0.3">
      <c r="A1" s="326" t="s">
        <v>223</v>
      </c>
    </row>
    <row r="2" spans="1:8" x14ac:dyDescent="0.3">
      <c r="A2" s="255" t="s">
        <v>137</v>
      </c>
      <c r="B2" s="229"/>
      <c r="C2" s="83"/>
      <c r="D2" s="83"/>
      <c r="E2" s="83"/>
      <c r="F2" s="83"/>
      <c r="G2" s="83"/>
      <c r="H2" s="83"/>
    </row>
    <row r="3" spans="1:8" x14ac:dyDescent="0.3">
      <c r="A3" s="83"/>
      <c r="B3" s="229"/>
      <c r="C3" s="83"/>
      <c r="D3" s="83"/>
      <c r="E3" s="83"/>
      <c r="F3" s="83"/>
      <c r="G3" s="83"/>
      <c r="H3" s="83"/>
    </row>
    <row r="4" spans="1:8" x14ac:dyDescent="0.3">
      <c r="A4" s="887" t="s">
        <v>163</v>
      </c>
      <c r="B4" s="887"/>
      <c r="C4" s="887"/>
      <c r="D4" s="887"/>
      <c r="E4" s="887"/>
      <c r="F4" s="887"/>
      <c r="G4" s="83"/>
      <c r="H4" s="83"/>
    </row>
    <row r="5" spans="1:8" x14ac:dyDescent="0.3">
      <c r="A5" s="83"/>
      <c r="B5" s="229"/>
      <c r="C5" s="83"/>
      <c r="D5" s="83"/>
      <c r="E5" s="83"/>
      <c r="F5" s="83"/>
      <c r="G5" s="83"/>
      <c r="H5" s="83"/>
    </row>
    <row r="6" spans="1:8" s="83" customFormat="1" ht="13.2" x14ac:dyDescent="0.3">
      <c r="A6" s="246" t="s">
        <v>138</v>
      </c>
      <c r="B6" s="247" t="s">
        <v>139</v>
      </c>
      <c r="C6" s="248" t="s">
        <v>140</v>
      </c>
      <c r="D6" s="249" t="s">
        <v>141</v>
      </c>
      <c r="E6" s="250" t="s">
        <v>142</v>
      </c>
      <c r="F6" s="251" t="s">
        <v>143</v>
      </c>
      <c r="G6" s="252" t="s">
        <v>144</v>
      </c>
      <c r="H6" s="252" t="s">
        <v>157</v>
      </c>
    </row>
    <row r="7" spans="1:8" x14ac:dyDescent="0.3">
      <c r="A7" s="257" t="s">
        <v>145</v>
      </c>
      <c r="B7" s="258" t="s">
        <v>193</v>
      </c>
      <c r="C7" s="259" t="s">
        <v>192</v>
      </c>
      <c r="D7" s="265">
        <v>100789</v>
      </c>
      <c r="E7" s="266" t="s">
        <v>147</v>
      </c>
      <c r="F7" s="267">
        <f>28734.16+32182.25+18022.06</f>
        <v>78938.47</v>
      </c>
      <c r="G7" s="263" t="s">
        <v>148</v>
      </c>
      <c r="H7" s="263" t="s">
        <v>158</v>
      </c>
    </row>
    <row r="8" spans="1:8" x14ac:dyDescent="0.3">
      <c r="A8" s="257"/>
      <c r="B8" s="258"/>
      <c r="C8" s="259"/>
      <c r="D8" s="260"/>
      <c r="E8" s="261"/>
      <c r="F8" s="262"/>
      <c r="G8" s="263"/>
      <c r="H8" s="263"/>
    </row>
    <row r="9" spans="1:8" x14ac:dyDescent="0.3">
      <c r="A9" s="257"/>
      <c r="B9" s="268"/>
      <c r="C9" s="259"/>
      <c r="D9" s="260"/>
      <c r="E9" s="261"/>
      <c r="F9" s="262"/>
      <c r="G9" s="263"/>
      <c r="H9" s="263"/>
    </row>
    <row r="10" spans="1:8" x14ac:dyDescent="0.3">
      <c r="A10" s="257"/>
      <c r="B10" s="269"/>
      <c r="C10" s="259"/>
      <c r="D10" s="260"/>
      <c r="E10" s="261"/>
      <c r="F10" s="270"/>
      <c r="G10" s="263"/>
      <c r="H10" s="263"/>
    </row>
    <row r="11" spans="1:8" x14ac:dyDescent="0.3">
      <c r="F11" s="233">
        <f>F7</f>
        <v>78938.47</v>
      </c>
    </row>
  </sheetData>
  <mergeCells count="1">
    <mergeCell ref="A4:F4"/>
  </mergeCells>
  <hyperlinks>
    <hyperlink ref="A1" location="'MFMA-7.1 F&amp;W Register'!A1" display="Back to MFMA-7.1 F&amp;W Register" xr:uid="{00000000-0004-0000-5000-000000000000}"/>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B0F0"/>
  </sheetPr>
  <dimension ref="A1:H11"/>
  <sheetViews>
    <sheetView workbookViewId="0">
      <selection activeCell="B8" sqref="B8"/>
    </sheetView>
  </sheetViews>
  <sheetFormatPr defaultColWidth="9.109375" defaultRowHeight="14.4" x14ac:dyDescent="0.3"/>
  <cols>
    <col min="1" max="1" width="30.88671875" style="1" bestFit="1" customWidth="1"/>
    <col min="2" max="2" width="10.6640625" style="1" bestFit="1" customWidth="1"/>
    <col min="3" max="3" width="22" style="1" bestFit="1" customWidth="1"/>
    <col min="4" max="4" width="11" style="1" bestFit="1" customWidth="1"/>
    <col min="5" max="5" width="26" style="1" bestFit="1" customWidth="1"/>
    <col min="6" max="6" width="10.5546875" style="1" bestFit="1" customWidth="1"/>
    <col min="7" max="7" width="14.44140625" style="1" bestFit="1" customWidth="1"/>
    <col min="8" max="8" width="35.88671875" style="1" bestFit="1" customWidth="1"/>
    <col min="9" max="16384" width="9.109375" style="1"/>
  </cols>
  <sheetData>
    <row r="1" spans="1:8" x14ac:dyDescent="0.3">
      <c r="A1" s="326" t="s">
        <v>223</v>
      </c>
    </row>
    <row r="2" spans="1:8" x14ac:dyDescent="0.3">
      <c r="A2" s="256" t="s">
        <v>137</v>
      </c>
      <c r="B2" s="229"/>
      <c r="C2" s="83"/>
      <c r="D2" s="83"/>
      <c r="E2" s="83"/>
      <c r="F2" s="83"/>
      <c r="G2" s="83"/>
      <c r="H2" s="83"/>
    </row>
    <row r="3" spans="1:8" x14ac:dyDescent="0.3">
      <c r="A3" s="83"/>
      <c r="B3" s="229"/>
      <c r="C3" s="83"/>
      <c r="D3" s="83"/>
      <c r="E3" s="83"/>
      <c r="F3" s="83"/>
      <c r="G3" s="83"/>
      <c r="H3" s="83"/>
    </row>
    <row r="4" spans="1:8" x14ac:dyDescent="0.3">
      <c r="A4" s="887" t="s">
        <v>163</v>
      </c>
      <c r="B4" s="887"/>
      <c r="C4" s="887"/>
      <c r="D4" s="887"/>
      <c r="E4" s="887"/>
      <c r="F4" s="887"/>
      <c r="G4" s="83"/>
      <c r="H4" s="83"/>
    </row>
    <row r="5" spans="1:8" x14ac:dyDescent="0.3">
      <c r="A5" s="83"/>
      <c r="B5" s="229"/>
      <c r="C5" s="83"/>
      <c r="D5" s="83"/>
      <c r="E5" s="83"/>
      <c r="F5" s="83"/>
      <c r="G5" s="83"/>
      <c r="H5" s="83"/>
    </row>
    <row r="6" spans="1:8" s="83" customFormat="1" ht="13.2" x14ac:dyDescent="0.3">
      <c r="A6" s="246" t="s">
        <v>138</v>
      </c>
      <c r="B6" s="247" t="s">
        <v>139</v>
      </c>
      <c r="C6" s="248" t="s">
        <v>140</v>
      </c>
      <c r="D6" s="249" t="s">
        <v>141</v>
      </c>
      <c r="E6" s="250" t="s">
        <v>142</v>
      </c>
      <c r="F6" s="251" t="s">
        <v>143</v>
      </c>
      <c r="G6" s="252" t="s">
        <v>144</v>
      </c>
      <c r="H6" s="252" t="s">
        <v>157</v>
      </c>
    </row>
    <row r="7" spans="1:8" x14ac:dyDescent="0.3">
      <c r="A7" s="257" t="s">
        <v>145</v>
      </c>
      <c r="B7" s="258" t="s">
        <v>193</v>
      </c>
      <c r="C7" s="259" t="s">
        <v>200</v>
      </c>
      <c r="D7" s="265">
        <v>103463</v>
      </c>
      <c r="E7" s="266" t="s">
        <v>147</v>
      </c>
      <c r="F7" s="267">
        <v>112.22</v>
      </c>
      <c r="G7" s="263" t="s">
        <v>148</v>
      </c>
      <c r="H7" s="263" t="s">
        <v>158</v>
      </c>
    </row>
    <row r="8" spans="1:8" x14ac:dyDescent="0.3">
      <c r="A8" s="257" t="s">
        <v>145</v>
      </c>
      <c r="B8" s="258">
        <v>42186</v>
      </c>
      <c r="C8" s="259" t="s">
        <v>200</v>
      </c>
      <c r="D8" s="319">
        <v>100657</v>
      </c>
      <c r="E8" s="266" t="s">
        <v>147</v>
      </c>
      <c r="F8" s="320">
        <v>100.79</v>
      </c>
      <c r="G8" s="263" t="s">
        <v>148</v>
      </c>
      <c r="H8" s="263" t="s">
        <v>158</v>
      </c>
    </row>
    <row r="9" spans="1:8" x14ac:dyDescent="0.3">
      <c r="A9" s="257"/>
      <c r="B9" s="268"/>
      <c r="C9" s="259"/>
      <c r="D9" s="260"/>
      <c r="E9" s="261"/>
      <c r="F9" s="262"/>
      <c r="G9" s="263"/>
      <c r="H9" s="263"/>
    </row>
    <row r="10" spans="1:8" x14ac:dyDescent="0.3">
      <c r="A10" s="257"/>
      <c r="B10" s="269"/>
      <c r="C10" s="259"/>
      <c r="D10" s="260"/>
      <c r="E10" s="261"/>
      <c r="F10" s="270"/>
      <c r="G10" s="263"/>
      <c r="H10" s="263"/>
    </row>
    <row r="11" spans="1:8" x14ac:dyDescent="0.3">
      <c r="F11" s="233">
        <f>SUM(F7:F8)</f>
        <v>213.01</v>
      </c>
    </row>
  </sheetData>
  <mergeCells count="1">
    <mergeCell ref="A4:F4"/>
  </mergeCells>
  <hyperlinks>
    <hyperlink ref="A1" location="'MFMA-7.1 F&amp;W Register'!A1" display="Back to MFMA-7.1 F&amp;W Register" xr:uid="{00000000-0004-0000-5100-000000000000}"/>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00B0F0"/>
  </sheetPr>
  <dimension ref="A1:H11"/>
  <sheetViews>
    <sheetView workbookViewId="0">
      <selection activeCell="A18" sqref="A18"/>
    </sheetView>
  </sheetViews>
  <sheetFormatPr defaultColWidth="9.109375" defaultRowHeight="14.4" x14ac:dyDescent="0.3"/>
  <cols>
    <col min="1" max="1" width="30.88671875" style="1" bestFit="1" customWidth="1"/>
    <col min="2" max="2" width="10.6640625" style="1" bestFit="1" customWidth="1"/>
    <col min="3" max="3" width="22" style="1" bestFit="1" customWidth="1"/>
    <col min="4" max="4" width="11" style="1" bestFit="1" customWidth="1"/>
    <col min="5" max="5" width="26" style="1" bestFit="1" customWidth="1"/>
    <col min="6" max="6" width="10.5546875" style="1" bestFit="1" customWidth="1"/>
    <col min="7" max="7" width="14.44140625" style="1" bestFit="1" customWidth="1"/>
    <col min="8" max="8" width="35.88671875" style="1" bestFit="1" customWidth="1"/>
    <col min="9" max="16384" width="9.109375" style="1"/>
  </cols>
  <sheetData>
    <row r="1" spans="1:8" x14ac:dyDescent="0.3">
      <c r="A1" s="326" t="s">
        <v>223</v>
      </c>
    </row>
    <row r="2" spans="1:8" x14ac:dyDescent="0.3">
      <c r="A2" s="316" t="s">
        <v>137</v>
      </c>
      <c r="B2" s="229"/>
      <c r="C2" s="83"/>
      <c r="D2" s="83"/>
      <c r="E2" s="83"/>
      <c r="F2" s="83"/>
      <c r="G2" s="83"/>
      <c r="H2" s="83"/>
    </row>
    <row r="3" spans="1:8" x14ac:dyDescent="0.3">
      <c r="A3" s="83"/>
      <c r="B3" s="229"/>
      <c r="C3" s="83"/>
      <c r="D3" s="83"/>
      <c r="E3" s="83"/>
      <c r="F3" s="83"/>
      <c r="G3" s="83"/>
      <c r="H3" s="83"/>
    </row>
    <row r="4" spans="1:8" x14ac:dyDescent="0.3">
      <c r="A4" s="887" t="s">
        <v>163</v>
      </c>
      <c r="B4" s="887"/>
      <c r="C4" s="887"/>
      <c r="D4" s="887"/>
      <c r="E4" s="887"/>
      <c r="F4" s="887"/>
      <c r="G4" s="83"/>
      <c r="H4" s="83"/>
    </row>
    <row r="5" spans="1:8" x14ac:dyDescent="0.3">
      <c r="A5" s="83"/>
      <c r="B5" s="229"/>
      <c r="C5" s="83"/>
      <c r="D5" s="83"/>
      <c r="E5" s="83"/>
      <c r="F5" s="83"/>
      <c r="G5" s="83"/>
      <c r="H5" s="83"/>
    </row>
    <row r="6" spans="1:8" s="83" customFormat="1" ht="13.2" x14ac:dyDescent="0.3">
      <c r="A6" s="246" t="s">
        <v>138</v>
      </c>
      <c r="B6" s="247" t="s">
        <v>139</v>
      </c>
      <c r="C6" s="248" t="s">
        <v>140</v>
      </c>
      <c r="D6" s="249" t="s">
        <v>141</v>
      </c>
      <c r="E6" s="250" t="s">
        <v>142</v>
      </c>
      <c r="F6" s="251" t="s">
        <v>143</v>
      </c>
      <c r="G6" s="252" t="s">
        <v>144</v>
      </c>
      <c r="H6" s="252" t="s">
        <v>157</v>
      </c>
    </row>
    <row r="7" spans="1:8" x14ac:dyDescent="0.3">
      <c r="A7" s="257" t="s">
        <v>145</v>
      </c>
      <c r="B7" s="258" t="s">
        <v>193</v>
      </c>
      <c r="C7" s="259" t="s">
        <v>206</v>
      </c>
      <c r="D7" s="265">
        <v>103463</v>
      </c>
      <c r="E7" s="266" t="s">
        <v>147</v>
      </c>
      <c r="F7" s="267">
        <v>1155.1199999999999</v>
      </c>
      <c r="G7" s="263" t="s">
        <v>148</v>
      </c>
      <c r="H7" s="263" t="s">
        <v>158</v>
      </c>
    </row>
    <row r="8" spans="1:8" x14ac:dyDescent="0.3">
      <c r="A8" s="257"/>
      <c r="B8" s="258"/>
      <c r="C8" s="259"/>
      <c r="D8" s="260"/>
      <c r="E8" s="261"/>
      <c r="F8" s="262"/>
      <c r="G8" s="263"/>
      <c r="H8" s="263"/>
    </row>
    <row r="9" spans="1:8" x14ac:dyDescent="0.3">
      <c r="A9" s="257"/>
      <c r="B9" s="268"/>
      <c r="C9" s="259"/>
      <c r="D9" s="260"/>
      <c r="E9" s="261"/>
      <c r="F9" s="262"/>
      <c r="G9" s="263"/>
      <c r="H9" s="263"/>
    </row>
    <row r="10" spans="1:8" x14ac:dyDescent="0.3">
      <c r="A10" s="257"/>
      <c r="B10" s="269"/>
      <c r="C10" s="259"/>
      <c r="D10" s="260"/>
      <c r="E10" s="261"/>
      <c r="F10" s="270"/>
      <c r="G10" s="263"/>
      <c r="H10" s="263"/>
    </row>
    <row r="11" spans="1:8" x14ac:dyDescent="0.3">
      <c r="F11" s="233">
        <f>F7</f>
        <v>1155.1199999999999</v>
      </c>
    </row>
  </sheetData>
  <mergeCells count="1">
    <mergeCell ref="A4:F4"/>
  </mergeCells>
  <hyperlinks>
    <hyperlink ref="A1" location="'MFMA-7.1 F&amp;W Register'!A1" display="Back to MFMA-7.1 F&amp;W Register" xr:uid="{00000000-0004-0000-52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H10"/>
  <sheetViews>
    <sheetView workbookViewId="0">
      <selection sqref="A1:XFD1048576"/>
    </sheetView>
  </sheetViews>
  <sheetFormatPr defaultColWidth="9.109375" defaultRowHeight="14.4" x14ac:dyDescent="0.3"/>
  <cols>
    <col min="1" max="1" width="31.33203125" style="1" bestFit="1" customWidth="1"/>
    <col min="2" max="2" width="10.44140625" style="1" bestFit="1" customWidth="1"/>
    <col min="3" max="3" width="20.6640625" style="1" bestFit="1" customWidth="1"/>
    <col min="4" max="4" width="12" style="1" bestFit="1" customWidth="1"/>
    <col min="5" max="5" width="24.33203125" style="1" customWidth="1"/>
    <col min="6" max="6" width="14" style="1" bestFit="1" customWidth="1"/>
    <col min="7" max="7" width="14.109375" style="1" bestFit="1" customWidth="1"/>
    <col min="8" max="8" width="32.44140625" style="1" bestFit="1" customWidth="1"/>
    <col min="9" max="16384" width="9.109375" style="1"/>
  </cols>
  <sheetData>
    <row r="1" spans="1:8" x14ac:dyDescent="0.3">
      <c r="A1" s="422" t="s">
        <v>223</v>
      </c>
      <c r="B1" s="281"/>
      <c r="C1" s="281"/>
      <c r="D1" s="281"/>
      <c r="E1" s="281"/>
      <c r="F1" s="281"/>
      <c r="G1" s="281"/>
      <c r="H1" s="281"/>
    </row>
    <row r="2" spans="1:8" x14ac:dyDescent="0.3">
      <c r="A2" s="279" t="s">
        <v>137</v>
      </c>
      <c r="B2" s="280"/>
      <c r="C2" s="281"/>
      <c r="D2" s="281"/>
      <c r="E2" s="281"/>
      <c r="F2" s="281"/>
      <c r="G2" s="281"/>
      <c r="H2" s="281"/>
    </row>
    <row r="3" spans="1:8" x14ac:dyDescent="0.3">
      <c r="A3" s="281"/>
      <c r="B3" s="280"/>
      <c r="C3" s="281"/>
      <c r="D3" s="281"/>
      <c r="E3" s="281"/>
      <c r="F3" s="281"/>
      <c r="G3" s="281"/>
      <c r="H3" s="281"/>
    </row>
    <row r="4" spans="1:8" x14ac:dyDescent="0.3">
      <c r="A4" s="384" t="s">
        <v>163</v>
      </c>
      <c r="B4" s="384"/>
      <c r="C4" s="384"/>
      <c r="D4" s="384"/>
      <c r="E4" s="384"/>
      <c r="F4" s="384"/>
      <c r="G4" s="281"/>
      <c r="H4" s="281"/>
    </row>
    <row r="5" spans="1:8" x14ac:dyDescent="0.3">
      <c r="A5" s="281"/>
      <c r="B5" s="280"/>
      <c r="C5" s="281"/>
      <c r="D5" s="281"/>
      <c r="E5" s="281"/>
      <c r="F5" s="281"/>
      <c r="G5" s="281"/>
      <c r="H5" s="281"/>
    </row>
    <row r="6" spans="1:8" ht="27.6" x14ac:dyDescent="0.3">
      <c r="A6" s="282" t="s">
        <v>138</v>
      </c>
      <c r="B6" s="283" t="s">
        <v>139</v>
      </c>
      <c r="C6" s="284" t="s">
        <v>140</v>
      </c>
      <c r="D6" s="285" t="s">
        <v>141</v>
      </c>
      <c r="E6" s="286" t="s">
        <v>142</v>
      </c>
      <c r="F6" s="287" t="s">
        <v>143</v>
      </c>
      <c r="G6" s="288" t="s">
        <v>144</v>
      </c>
      <c r="H6" s="288" t="s">
        <v>157</v>
      </c>
    </row>
    <row r="7" spans="1:8" s="80" customFormat="1" x14ac:dyDescent="0.3">
      <c r="A7" s="289" t="s">
        <v>145</v>
      </c>
      <c r="B7" s="290" t="s">
        <v>851</v>
      </c>
      <c r="C7" s="291" t="s">
        <v>694</v>
      </c>
      <c r="D7" s="296" t="s">
        <v>858</v>
      </c>
      <c r="E7" s="293" t="s">
        <v>147</v>
      </c>
      <c r="F7" s="278">
        <v>195193.68</v>
      </c>
      <c r="G7" s="295" t="s">
        <v>148</v>
      </c>
      <c r="H7" s="338" t="s">
        <v>158</v>
      </c>
    </row>
    <row r="8" spans="1:8" s="80" customFormat="1" x14ac:dyDescent="0.3">
      <c r="A8" s="289"/>
      <c r="B8" s="290"/>
      <c r="C8" s="291"/>
      <c r="D8" s="296"/>
      <c r="E8" s="425"/>
      <c r="F8" s="278"/>
      <c r="G8" s="295"/>
      <c r="H8" s="338"/>
    </row>
    <row r="9" spans="1:8" ht="15" thickBot="1" x14ac:dyDescent="0.35">
      <c r="F9" s="374">
        <f>SUM(F7:F8)</f>
        <v>195193.68</v>
      </c>
    </row>
    <row r="10" spans="1:8" ht="15" thickTop="1" x14ac:dyDescent="0.3"/>
  </sheetData>
  <hyperlinks>
    <hyperlink ref="A1" location="'C.5.11.1 F&amp;W Register'!A1" display="Back to MFMA-7.1 F&amp;W Register"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4</vt:i4>
      </vt:variant>
    </vt:vector>
  </HeadingPairs>
  <TitlesOfParts>
    <vt:vector size="87" baseType="lpstr">
      <vt:lpstr>C.5.11</vt:lpstr>
      <vt:lpstr>C.5.11.1 F&amp;W Register</vt:lpstr>
      <vt:lpstr>C.5.11.2(Policies)</vt:lpstr>
      <vt:lpstr>C.5.11.3 Disclosure</vt:lpstr>
      <vt:lpstr>CALGRO M3 HOLDINGS</vt:lpstr>
      <vt:lpstr>PHUMI TRADING</vt:lpstr>
      <vt:lpstr>LISTING OF OVERPAYMENTS</vt:lpstr>
      <vt:lpstr>ESKOM SOC</vt:lpstr>
      <vt:lpstr>COUZYN HERTZ &amp; HORAK ATTORNEYS</vt:lpstr>
      <vt:lpstr>SABC TV Licences</vt:lpstr>
      <vt:lpstr>FSPG Police</vt:lpstr>
      <vt:lpstr>VARYMIX NINETEEN (PTY)</vt:lpstr>
      <vt:lpstr>BLAIR ATTORNEYS</vt:lpstr>
      <vt:lpstr>SARS - PAYE</vt:lpstr>
      <vt:lpstr>MODDERRIVIER</vt:lpstr>
      <vt:lpstr>CMP BEE ENGINEER</vt:lpstr>
      <vt:lpstr>NICS</vt:lpstr>
      <vt:lpstr>SAMWU</vt:lpstr>
      <vt:lpstr>DOWN TOUCH</vt:lpstr>
      <vt:lpstr>PEYPER ATTORNEYS</vt:lpstr>
      <vt:lpstr>HONEY ATTORNEYS</vt:lpstr>
      <vt:lpstr>TELKOM SA</vt:lpstr>
      <vt:lpstr>Kgato Projects </vt:lpstr>
      <vt:lpstr>Wasserman </vt:lpstr>
      <vt:lpstr>Panzacode</vt:lpstr>
      <vt:lpstr>Refilwe Civils</vt:lpstr>
      <vt:lpstr>TELKOM</vt:lpstr>
      <vt:lpstr>REDER CONSTRUCTION</vt:lpstr>
      <vt:lpstr>L &amp; V Attorneys</vt:lpstr>
      <vt:lpstr>ESKOM. </vt:lpstr>
      <vt:lpstr>FUJITSU</vt:lpstr>
      <vt:lpstr>FDC</vt:lpstr>
      <vt:lpstr> UMFA</vt:lpstr>
      <vt:lpstr>HI-TECH ENGINEERING</vt:lpstr>
      <vt:lpstr>SYMINGTON &amp; DE KOK</vt:lpstr>
      <vt:lpstr>ROAD MAC SURFACING</vt:lpstr>
      <vt:lpstr>TAU PELE </vt:lpstr>
      <vt:lpstr>SPANGENBERG ZIETSMAN</vt:lpstr>
      <vt:lpstr>AUDITOR GENERAL</vt:lpstr>
      <vt:lpstr>Friday Management Solutions</vt:lpstr>
      <vt:lpstr>Councillors Salaries</vt:lpstr>
      <vt:lpstr>Ruwacon</vt:lpstr>
      <vt:lpstr>RUWACON (AC 247)</vt:lpstr>
      <vt:lpstr>Q-Civils</vt:lpstr>
      <vt:lpstr>LTE </vt:lpstr>
      <vt:lpstr>Oramok</vt:lpstr>
      <vt:lpstr>Calculation</vt:lpstr>
      <vt:lpstr>Councillors (2)</vt:lpstr>
      <vt:lpstr>Councillors.</vt:lpstr>
      <vt:lpstr>Auditor General.</vt:lpstr>
      <vt:lpstr>Altimax</vt:lpstr>
      <vt:lpstr>Maluti Plant Hire</vt:lpstr>
      <vt:lpstr>Panzacode CC</vt:lpstr>
      <vt:lpstr>L M Meyer</vt:lpstr>
      <vt:lpstr>Joyce Nel</vt:lpstr>
      <vt:lpstr>Telkom SA Ltd</vt:lpstr>
      <vt:lpstr>Modderrivier Kalkveld</vt:lpstr>
      <vt:lpstr>Railway Safety Regulator</vt:lpstr>
      <vt:lpstr>Free State Municipal Pension</vt:lpstr>
      <vt:lpstr>Wasserman Teerwerke</vt:lpstr>
      <vt:lpstr>SARS PAYE</vt:lpstr>
      <vt:lpstr>Q Civils</vt:lpstr>
      <vt:lpstr>FDC.</vt:lpstr>
      <vt:lpstr>ESKOM.</vt:lpstr>
      <vt:lpstr>UMFA.</vt:lpstr>
      <vt:lpstr>Councillors</vt:lpstr>
      <vt:lpstr>Eskom</vt:lpstr>
      <vt:lpstr>Razzmatazz</vt:lpstr>
      <vt:lpstr>FDC,,</vt:lpstr>
      <vt:lpstr>PEC Metering</vt:lpstr>
      <vt:lpstr>UMFA,,</vt:lpstr>
      <vt:lpstr>Telkom SA Limited</vt:lpstr>
      <vt:lpstr>Kramer Weihmann Joubert</vt:lpstr>
      <vt:lpstr>SARS</vt:lpstr>
      <vt:lpstr>Sche 1-Eskom</vt:lpstr>
      <vt:lpstr>Sche 2-Lawyers</vt:lpstr>
      <vt:lpstr>Sche 3-FDC</vt:lpstr>
      <vt:lpstr>Sche 4-PEC Metering</vt:lpstr>
      <vt:lpstr>Sche 5-SARS</vt:lpstr>
      <vt:lpstr>Sche 6-Telkom</vt:lpstr>
      <vt:lpstr>Sche- 7Pheth. Consul. CC </vt:lpstr>
      <vt:lpstr>Sche 8-UMFA</vt:lpstr>
      <vt:lpstr>Sche 9-Merch. West </vt:lpstr>
      <vt:lpstr>'C.5.11.1 F&amp;W Register'!Print_Area</vt:lpstr>
      <vt:lpstr>'C.5.11.2(Policies)'!Print_Area</vt:lpstr>
      <vt:lpstr>'C.5.11.3 Disclosure'!Print_Area</vt:lpstr>
      <vt:lpstr>'Councillors Salaries'!Print_Area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Maduna</dc:creator>
  <cp:lastModifiedBy>Allison Adams</cp:lastModifiedBy>
  <cp:lastPrinted>2016-07-11T09:56:47Z</cp:lastPrinted>
  <dcterms:created xsi:type="dcterms:W3CDTF">2012-06-28T11:31:13Z</dcterms:created>
  <dcterms:modified xsi:type="dcterms:W3CDTF">2020-01-27T09:54:27Z</dcterms:modified>
</cp:coreProperties>
</file>