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H:\DRAFT MTREF 31 MAY 2021\MMM Submission\"/>
    </mc:Choice>
  </mc:AlternateContent>
  <xr:revisionPtr revIDLastSave="0" documentId="8_{BE4D37FD-A7FB-4858-AA92-EA8C74828359}" xr6:coauthVersionLast="45" xr6:coauthVersionMax="45" xr10:uidLastSave="{00000000-0000-0000-0000-000000000000}"/>
  <workbookProtection workbookAlgorithmName="SHA-512" workbookHashValue="UcEY4gOJbyZWAZKFzZLZrbDCGew70tQ319T/R/KQgD+pFc/TsF1715XUOfBqjW9BsHACDwhn3lCnfaap5qJ8iw==" workbookSaltValue="jnoSirpDNgexI0BYcjxftw==" workbookSpinCount="100000" lockStructure="1"/>
  <bookViews>
    <workbookView xWindow="-108" yWindow="-108" windowWidth="23256" windowHeight="12576" tabRatio="905" activeTab="7" xr2:uid="{00000000-000D-0000-FFFF-FFFF00000000}"/>
  </bookViews>
  <sheets>
    <sheet name="START" sheetId="337" r:id="rId1"/>
    <sheet name="Template names" sheetId="100" state="veryHidden" r:id="rId2"/>
    <sheet name="Lookup and lists" sheetId="333" state="veryHidden" r:id="rId3"/>
    <sheet name="Instructions" sheetId="338" r:id="rId4"/>
    <sheet name="Lookup and lists (2)" sheetId="346" state="veryHidden" r:id="rId5"/>
    <sheet name="D1-Sum" sheetId="279" r:id="rId6"/>
    <sheet name="D2-FinPerf" sheetId="65" r:id="rId7"/>
    <sheet name="D3-Capex" sheetId="202" r:id="rId8"/>
    <sheet name="D4-FinPos" sheetId="201" r:id="rId9"/>
    <sheet name="D5-CFlow" sheetId="200" r:id="rId10"/>
    <sheet name="SD1" sheetId="199" r:id="rId11"/>
    <sheet name="SD2" sheetId="198" r:id="rId12"/>
    <sheet name="SD3" sheetId="243" r:id="rId13"/>
    <sheet name="SD4" sheetId="285" r:id="rId14"/>
    <sheet name="SD5" sheetId="336" r:id="rId15"/>
    <sheet name="SD6" sheetId="204" r:id="rId16"/>
    <sheet name="SD7a" sheetId="284" r:id="rId17"/>
    <sheet name="SD7b" sheetId="341" r:id="rId18"/>
    <sheet name="SD7c" sheetId="342" r:id="rId19"/>
    <sheet name="SD7d" sheetId="344" r:id="rId20"/>
    <sheet name="SD7e" sheetId="343" r:id="rId21"/>
    <sheet name="SD8" sheetId="330" r:id="rId22"/>
    <sheet name="SD9" sheetId="329" r:id="rId23"/>
    <sheet name="SD10" sheetId="282" r:id="rId24"/>
  </sheets>
  <externalReferences>
    <externalReference r:id="rId25"/>
    <externalReference r:id="rId26"/>
    <externalReference r:id="rId27"/>
    <externalReference r:id="rId28"/>
    <externalReference r:id="rId29"/>
  </externalReferences>
  <definedNames>
    <definedName name="_ADJ1" localSheetId="3">'[1]Template names'!#REF!</definedName>
    <definedName name="_ADJ1" localSheetId="17">'Template names'!#REF!</definedName>
    <definedName name="_ADJ1" localSheetId="18">'Template names'!#REF!</definedName>
    <definedName name="_ADJ1" localSheetId="19">'Template names'!#REF!</definedName>
    <definedName name="_ADJ1" localSheetId="20">'Template names'!#REF!</definedName>
    <definedName name="_ADJ1">'Template names'!#REF!</definedName>
    <definedName name="_ADJ10" localSheetId="3">'[1]Template names'!#REF!</definedName>
    <definedName name="_ADJ10" localSheetId="17">'Template names'!#REF!</definedName>
    <definedName name="_ADJ10" localSheetId="18">'Template names'!#REF!</definedName>
    <definedName name="_ADJ10" localSheetId="19">'Template names'!#REF!</definedName>
    <definedName name="_ADJ10" localSheetId="20">'Template names'!#REF!</definedName>
    <definedName name="_ADJ10">'Template names'!#REF!</definedName>
    <definedName name="_ADJ11" localSheetId="3">'[1]Template names'!#REF!</definedName>
    <definedName name="_ADJ11" localSheetId="17">'Template names'!#REF!</definedName>
    <definedName name="_ADJ11" localSheetId="18">'Template names'!#REF!</definedName>
    <definedName name="_ADJ11" localSheetId="19">'Template names'!#REF!</definedName>
    <definedName name="_ADJ11" localSheetId="20">'Template names'!#REF!</definedName>
    <definedName name="_ADJ11">'Template names'!#REF!</definedName>
    <definedName name="_ADJ12" localSheetId="3">'[1]Template names'!#REF!</definedName>
    <definedName name="_ADJ12" localSheetId="17">'Template names'!#REF!</definedName>
    <definedName name="_ADJ12" localSheetId="18">'Template names'!#REF!</definedName>
    <definedName name="_ADJ12" localSheetId="19">'Template names'!#REF!</definedName>
    <definedName name="_ADJ12" localSheetId="20">'Template names'!#REF!</definedName>
    <definedName name="_ADJ12">'Template names'!#REF!</definedName>
    <definedName name="_ADJ13" localSheetId="3">'[1]Template names'!#REF!</definedName>
    <definedName name="_ADJ13" localSheetId="17">'Template names'!#REF!</definedName>
    <definedName name="_ADJ13" localSheetId="18">'Template names'!#REF!</definedName>
    <definedName name="_ADJ13" localSheetId="19">'Template names'!#REF!</definedName>
    <definedName name="_ADJ13" localSheetId="20">'Template names'!#REF!</definedName>
    <definedName name="_ADJ13">'Template names'!#REF!</definedName>
    <definedName name="_ADJ14" localSheetId="3">'[1]Template names'!#REF!</definedName>
    <definedName name="_ADJ14" localSheetId="17">'Template names'!#REF!</definedName>
    <definedName name="_ADJ14" localSheetId="18">'Template names'!#REF!</definedName>
    <definedName name="_ADJ14" localSheetId="19">'Template names'!#REF!</definedName>
    <definedName name="_ADJ14" localSheetId="20">'Template names'!#REF!</definedName>
    <definedName name="_ADJ14">'Template names'!#REF!</definedName>
    <definedName name="_ADJ16" localSheetId="3">'[1]Template names'!#REF!</definedName>
    <definedName name="_ADJ16" localSheetId="17">'Template names'!#REF!</definedName>
    <definedName name="_ADJ16" localSheetId="18">'Template names'!#REF!</definedName>
    <definedName name="_ADJ16" localSheetId="19">'Template names'!#REF!</definedName>
    <definedName name="_ADJ16" localSheetId="20">'Template names'!#REF!</definedName>
    <definedName name="_ADJ16">'Template names'!#REF!</definedName>
    <definedName name="_ADJ17" localSheetId="3">'[1]Template names'!#REF!</definedName>
    <definedName name="_ADJ17" localSheetId="17">'Template names'!#REF!</definedName>
    <definedName name="_ADJ17" localSheetId="18">'Template names'!#REF!</definedName>
    <definedName name="_ADJ17" localSheetId="19">'Template names'!#REF!</definedName>
    <definedName name="_ADJ17" localSheetId="20">'Template names'!#REF!</definedName>
    <definedName name="_ADJ17">'Template names'!#REF!</definedName>
    <definedName name="_ADJ18" localSheetId="3">'[1]Template names'!#REF!</definedName>
    <definedName name="_ADJ18" localSheetId="17">'Template names'!#REF!</definedName>
    <definedName name="_ADJ18" localSheetId="18">'Template names'!#REF!</definedName>
    <definedName name="_ADJ18" localSheetId="19">'Template names'!#REF!</definedName>
    <definedName name="_ADJ18" localSheetId="20">'Template names'!#REF!</definedName>
    <definedName name="_ADJ18">'Template names'!#REF!</definedName>
    <definedName name="_ADJ19" localSheetId="3">'[1]Template names'!#REF!</definedName>
    <definedName name="_ADJ19" localSheetId="17">'Template names'!#REF!</definedName>
    <definedName name="_ADJ19" localSheetId="18">'Template names'!#REF!</definedName>
    <definedName name="_ADJ19" localSheetId="19">'Template names'!#REF!</definedName>
    <definedName name="_ADJ19" localSheetId="20">'Template names'!#REF!</definedName>
    <definedName name="_ADJ19">'Template names'!#REF!</definedName>
    <definedName name="_ADJ2" localSheetId="3">'[1]Template names'!#REF!</definedName>
    <definedName name="_ADJ2" localSheetId="17">'Template names'!#REF!</definedName>
    <definedName name="_ADJ2" localSheetId="18">'Template names'!#REF!</definedName>
    <definedName name="_ADJ2" localSheetId="19">'Template names'!#REF!</definedName>
    <definedName name="_ADJ2" localSheetId="20">'Template names'!#REF!</definedName>
    <definedName name="_ADJ2">'Template names'!#REF!</definedName>
    <definedName name="_ADJ3" localSheetId="3">'[1]Template names'!#REF!</definedName>
    <definedName name="_ADJ3" localSheetId="17">'Template names'!#REF!</definedName>
    <definedName name="_ADJ3" localSheetId="18">'Template names'!#REF!</definedName>
    <definedName name="_ADJ3" localSheetId="19">'Template names'!#REF!</definedName>
    <definedName name="_ADJ3" localSheetId="20">'Template names'!#REF!</definedName>
    <definedName name="_ADJ3">'Template names'!#REF!</definedName>
    <definedName name="_ADJ4" localSheetId="3">'[1]Template names'!#REF!</definedName>
    <definedName name="_ADJ4" localSheetId="17">'Template names'!#REF!</definedName>
    <definedName name="_ADJ4" localSheetId="18">'Template names'!#REF!</definedName>
    <definedName name="_ADJ4" localSheetId="19">'Template names'!#REF!</definedName>
    <definedName name="_ADJ4" localSheetId="20">'Template names'!#REF!</definedName>
    <definedName name="_ADJ4">'Template names'!#REF!</definedName>
    <definedName name="_ADJ5" localSheetId="3">'[1]Template names'!#REF!</definedName>
    <definedName name="_ADJ5" localSheetId="17">'Template names'!#REF!</definedName>
    <definedName name="_ADJ5" localSheetId="18">'Template names'!#REF!</definedName>
    <definedName name="_ADJ5" localSheetId="19">'Template names'!#REF!</definedName>
    <definedName name="_ADJ5" localSheetId="20">'Template names'!#REF!</definedName>
    <definedName name="_ADJ5">'Template names'!#REF!</definedName>
    <definedName name="_ADJ6" localSheetId="3">'[1]Template names'!#REF!</definedName>
    <definedName name="_ADJ6" localSheetId="17">'Template names'!#REF!</definedName>
    <definedName name="_ADJ6" localSheetId="18">'Template names'!#REF!</definedName>
    <definedName name="_ADJ6" localSheetId="19">'Template names'!#REF!</definedName>
    <definedName name="_ADJ6" localSheetId="20">'Template names'!#REF!</definedName>
    <definedName name="_ADJ6">'Template names'!#REF!</definedName>
    <definedName name="_ADJ7" localSheetId="3">'[1]Template names'!#REF!</definedName>
    <definedName name="_ADJ7" localSheetId="17">'Template names'!#REF!</definedName>
    <definedName name="_ADJ7" localSheetId="18">'Template names'!#REF!</definedName>
    <definedName name="_ADJ7" localSheetId="19">'Template names'!#REF!</definedName>
    <definedName name="_ADJ7" localSheetId="20">'Template names'!#REF!</definedName>
    <definedName name="_ADJ7">'Template names'!#REF!</definedName>
    <definedName name="_ADJ8" localSheetId="3">'[1]Template names'!#REF!</definedName>
    <definedName name="_ADJ8" localSheetId="17">'Template names'!#REF!</definedName>
    <definedName name="_ADJ8" localSheetId="18">'Template names'!#REF!</definedName>
    <definedName name="_ADJ8" localSheetId="19">'Template names'!#REF!</definedName>
    <definedName name="_ADJ8" localSheetId="20">'Template names'!#REF!</definedName>
    <definedName name="_ADJ8">'Template names'!#REF!</definedName>
    <definedName name="_ADJ9" localSheetId="3">'[1]Template names'!#REF!</definedName>
    <definedName name="_ADJ9" localSheetId="17">'Template names'!#REF!</definedName>
    <definedName name="_ADJ9" localSheetId="18">'Template names'!#REF!</definedName>
    <definedName name="_ADJ9" localSheetId="19">'Template names'!#REF!</definedName>
    <definedName name="_ADJ9" localSheetId="20">'Template names'!#REF!</definedName>
    <definedName name="_ADJ9">'Template names'!#REF!</definedName>
    <definedName name="_ccf04" localSheetId="3">#REF!</definedName>
    <definedName name="_ccf04" localSheetId="17">#REF!</definedName>
    <definedName name="_ccf04" localSheetId="18">#REF!</definedName>
    <definedName name="_ccf04" localSheetId="19">#REF!</definedName>
    <definedName name="_ccf04" localSheetId="20">#REF!</definedName>
    <definedName name="_ccf04">#REF!</definedName>
    <definedName name="_ccf05" localSheetId="3">#REF!</definedName>
    <definedName name="_ccf05" localSheetId="17">#REF!</definedName>
    <definedName name="_ccf05" localSheetId="18">#REF!</definedName>
    <definedName name="_ccf05" localSheetId="19">#REF!</definedName>
    <definedName name="_ccf05" localSheetId="20">#REF!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 localSheetId="17">'Template names'!#REF!</definedName>
    <definedName name="_DEP1" localSheetId="18">'Template names'!#REF!</definedName>
    <definedName name="_DEP1" localSheetId="19">'Template names'!#REF!</definedName>
    <definedName name="_DEP1" localSheetId="20">'Template names'!#REF!</definedName>
    <definedName name="_DEP1">'Template names'!#REF!</definedName>
    <definedName name="_DEP10" localSheetId="17">'Template names'!#REF!</definedName>
    <definedName name="_DEP10" localSheetId="18">'Template names'!#REF!</definedName>
    <definedName name="_DEP10" localSheetId="19">'Template names'!#REF!</definedName>
    <definedName name="_DEP10" localSheetId="20">'Template names'!#REF!</definedName>
    <definedName name="_DEP10">'Template names'!#REF!</definedName>
    <definedName name="_DEP11" localSheetId="17">'Template names'!#REF!</definedName>
    <definedName name="_DEP11" localSheetId="18">'Template names'!#REF!</definedName>
    <definedName name="_DEP11" localSheetId="19">'Template names'!#REF!</definedName>
    <definedName name="_DEP11" localSheetId="20">'Template names'!#REF!</definedName>
    <definedName name="_DEP11">'Template names'!#REF!</definedName>
    <definedName name="_DEP12" localSheetId="17">'Template names'!#REF!</definedName>
    <definedName name="_DEP12" localSheetId="18">'Template names'!#REF!</definedName>
    <definedName name="_DEP12" localSheetId="19">'Template names'!#REF!</definedName>
    <definedName name="_DEP12" localSheetId="20">'Template names'!#REF!</definedName>
    <definedName name="_DEP12">'Template names'!#REF!</definedName>
    <definedName name="_DEP13" localSheetId="17">'Template names'!#REF!</definedName>
    <definedName name="_DEP13" localSheetId="18">'Template names'!#REF!</definedName>
    <definedName name="_DEP13" localSheetId="19">'Template names'!#REF!</definedName>
    <definedName name="_DEP13" localSheetId="20">'Template names'!#REF!</definedName>
    <definedName name="_DEP13">'Template names'!#REF!</definedName>
    <definedName name="_DEP14" localSheetId="17">'Template names'!#REF!</definedName>
    <definedName name="_DEP14" localSheetId="18">'Template names'!#REF!</definedName>
    <definedName name="_DEP14" localSheetId="19">'Template names'!#REF!</definedName>
    <definedName name="_DEP14" localSheetId="20">'Template names'!#REF!</definedName>
    <definedName name="_DEP14">'Template names'!#REF!</definedName>
    <definedName name="_DEP2" localSheetId="17">'Template names'!#REF!</definedName>
    <definedName name="_DEP2" localSheetId="18">'Template names'!#REF!</definedName>
    <definedName name="_DEP2" localSheetId="19">'Template names'!#REF!</definedName>
    <definedName name="_DEP2" localSheetId="20">'Template names'!#REF!</definedName>
    <definedName name="_DEP2">'Template names'!#REF!</definedName>
    <definedName name="_DEP3" localSheetId="17">'Template names'!#REF!</definedName>
    <definedName name="_DEP3" localSheetId="18">'Template names'!#REF!</definedName>
    <definedName name="_DEP3" localSheetId="19">'Template names'!#REF!</definedName>
    <definedName name="_DEP3" localSheetId="20">'Template names'!#REF!</definedName>
    <definedName name="_DEP3">'Template names'!#REF!</definedName>
    <definedName name="_DEP4" localSheetId="17">'Template names'!#REF!</definedName>
    <definedName name="_DEP4" localSheetId="18">'Template names'!#REF!</definedName>
    <definedName name="_DEP4" localSheetId="19">'Template names'!#REF!</definedName>
    <definedName name="_DEP4" localSheetId="20">'Template names'!#REF!</definedName>
    <definedName name="_DEP4">'Template names'!#REF!</definedName>
    <definedName name="_DEP5" localSheetId="17">'Template names'!#REF!</definedName>
    <definedName name="_DEP5" localSheetId="18">'Template names'!#REF!</definedName>
    <definedName name="_DEP5" localSheetId="19">'Template names'!#REF!</definedName>
    <definedName name="_DEP5" localSheetId="20">'Template names'!#REF!</definedName>
    <definedName name="_DEP5">'Template names'!#REF!</definedName>
    <definedName name="_DEP6" localSheetId="17">'Template names'!#REF!</definedName>
    <definedName name="_DEP6" localSheetId="18">'Template names'!#REF!</definedName>
    <definedName name="_DEP6" localSheetId="19">'Template names'!#REF!</definedName>
    <definedName name="_DEP6" localSheetId="20">'Template names'!#REF!</definedName>
    <definedName name="_DEP6">'Template names'!#REF!</definedName>
    <definedName name="_DEP7" localSheetId="17">'Template names'!#REF!</definedName>
    <definedName name="_DEP7" localSheetId="18">'Template names'!#REF!</definedName>
    <definedName name="_DEP7" localSheetId="19">'Template names'!#REF!</definedName>
    <definedName name="_DEP7" localSheetId="20">'Template names'!#REF!</definedName>
    <definedName name="_DEP7">'Template names'!#REF!</definedName>
    <definedName name="_DEP8" localSheetId="17">'Template names'!#REF!</definedName>
    <definedName name="_DEP8" localSheetId="18">'Template names'!#REF!</definedName>
    <definedName name="_DEP8" localSheetId="19">'Template names'!#REF!</definedName>
    <definedName name="_DEP8" localSheetId="20">'Template names'!#REF!</definedName>
    <definedName name="_DEP8">'Template names'!#REF!</definedName>
    <definedName name="_DEP9" localSheetId="17">'Template names'!#REF!</definedName>
    <definedName name="_DEP9" localSheetId="18">'Template names'!#REF!</definedName>
    <definedName name="_DEP9" localSheetId="19">'Template names'!#REF!</definedName>
    <definedName name="_DEP9" localSheetId="20">'Template names'!#REF!</definedName>
    <definedName name="_DEP9">'Template names'!#REF!</definedName>
    <definedName name="_ecf04" localSheetId="3">#REF!</definedName>
    <definedName name="_ecf04" localSheetId="17">#REF!</definedName>
    <definedName name="_ecf04" localSheetId="18">#REF!</definedName>
    <definedName name="_ecf04" localSheetId="19">#REF!</definedName>
    <definedName name="_ecf04" localSheetId="20">#REF!</definedName>
    <definedName name="_ecf04">#REF!</definedName>
    <definedName name="_ecf05" localSheetId="3">#REF!</definedName>
    <definedName name="_ecf05" localSheetId="17">#REF!</definedName>
    <definedName name="_ecf05" localSheetId="18">#REF!</definedName>
    <definedName name="_ecf05" localSheetId="19">#REF!</definedName>
    <definedName name="_ecf05" localSheetId="20">#REF!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#REF!</definedName>
    <definedName name="_emp04" localSheetId="17">#REF!</definedName>
    <definedName name="_emp04" localSheetId="18">#REF!</definedName>
    <definedName name="_emp04" localSheetId="19">#REF!</definedName>
    <definedName name="_emp04" localSheetId="20">#REF!</definedName>
    <definedName name="_emp04">#REF!</definedName>
    <definedName name="_emp05" localSheetId="3">#REF!</definedName>
    <definedName name="_emp05" localSheetId="17">#REF!</definedName>
    <definedName name="_emp05" localSheetId="18">#REF!</definedName>
    <definedName name="_emp05" localSheetId="19">#REF!</definedName>
    <definedName name="_emp05" localSheetId="20">#REF!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7">'Template names'!#REF!</definedName>
    <definedName name="_Ent1" localSheetId="18">'Template names'!#REF!</definedName>
    <definedName name="_Ent1" localSheetId="19">'Template names'!#REF!</definedName>
    <definedName name="_Ent1" localSheetId="20">'Template names'!#REF!</definedName>
    <definedName name="_Ent1">'Template names'!#REF!</definedName>
    <definedName name="_Ent2" localSheetId="17">'Template names'!#REF!</definedName>
    <definedName name="_Ent2" localSheetId="18">'Template names'!#REF!</definedName>
    <definedName name="_Ent2" localSheetId="19">'Template names'!#REF!</definedName>
    <definedName name="_Ent2" localSheetId="20">'Template names'!#REF!</definedName>
    <definedName name="_Ent2">'Template names'!#REF!</definedName>
    <definedName name="_Ent3" localSheetId="17">'Template names'!#REF!</definedName>
    <definedName name="_Ent3" localSheetId="18">'Template names'!#REF!</definedName>
    <definedName name="_Ent3" localSheetId="19">'Template names'!#REF!</definedName>
    <definedName name="_Ent3" localSheetId="20">'Template names'!#REF!</definedName>
    <definedName name="_Ent3">'Template names'!#REF!</definedName>
    <definedName name="_inf1" localSheetId="3">#REF!</definedName>
    <definedName name="_inf1" localSheetId="17">#REF!</definedName>
    <definedName name="_inf1" localSheetId="18">#REF!</definedName>
    <definedName name="_inf1" localSheetId="19">#REF!</definedName>
    <definedName name="_inf1" localSheetId="20">#REF!</definedName>
    <definedName name="_inf1">#REF!</definedName>
    <definedName name="_inf2" localSheetId="3">#REF!</definedName>
    <definedName name="_inf2" localSheetId="17">#REF!</definedName>
    <definedName name="_inf2" localSheetId="18">#REF!</definedName>
    <definedName name="_inf2" localSheetId="19">#REF!</definedName>
    <definedName name="_inf2" localSheetId="20">#REF!</definedName>
    <definedName name="_inf2">#REF!</definedName>
    <definedName name="_inf3" localSheetId="3">#REF!</definedName>
    <definedName name="_inf3" localSheetId="17">#REF!</definedName>
    <definedName name="_inf3" localSheetId="18">#REF!</definedName>
    <definedName name="_inf3" localSheetId="19">#REF!</definedName>
    <definedName name="_inf3" localSheetId="20">#REF!</definedName>
    <definedName name="_inf3">#REF!</definedName>
    <definedName name="_int04" localSheetId="3">#REF!</definedName>
    <definedName name="_int04" localSheetId="17">#REF!</definedName>
    <definedName name="_int04" localSheetId="18">#REF!</definedName>
    <definedName name="_int04" localSheetId="19">#REF!</definedName>
    <definedName name="_int04" localSheetId="20">#REF!</definedName>
    <definedName name="_int04">#REF!</definedName>
    <definedName name="_int05" localSheetId="3">#REF!</definedName>
    <definedName name="_int05" localSheetId="17">#REF!</definedName>
    <definedName name="_int05" localSheetId="18">#REF!</definedName>
    <definedName name="_int05" localSheetId="19">#REF!</definedName>
    <definedName name="_int05" localSheetId="20">#REF!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#REF!</definedName>
    <definedName name="_inv04" localSheetId="17">#REF!</definedName>
    <definedName name="_inv04" localSheetId="18">#REF!</definedName>
    <definedName name="_inv04" localSheetId="19">#REF!</definedName>
    <definedName name="_inv04" localSheetId="20">#REF!</definedName>
    <definedName name="_inv04">#REF!</definedName>
    <definedName name="_inv05" localSheetId="3">#REF!</definedName>
    <definedName name="_inv05" localSheetId="17">#REF!</definedName>
    <definedName name="_inv05" localSheetId="18">#REF!</definedName>
    <definedName name="_inv05" localSheetId="19">#REF!</definedName>
    <definedName name="_inv05" localSheetId="20">#REF!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'Template names'!$B$81</definedName>
    <definedName name="_MEB10" localSheetId="3">'[1]Template names'!#REF!</definedName>
    <definedName name="_MEB10">'Template names'!$B$99</definedName>
    <definedName name="_MEB11" localSheetId="3">'[1]Template names'!#REF!</definedName>
    <definedName name="_MEB11">'Template names'!$B$100</definedName>
    <definedName name="_MEB12" localSheetId="3">'[1]Template names'!#REF!</definedName>
    <definedName name="_MEB12">'Template names'!$B$97</definedName>
    <definedName name="_MEB13">'Template names'!$B$98</definedName>
    <definedName name="_MEB2" localSheetId="3">'[1]Template names'!#REF!</definedName>
    <definedName name="_MEB2">'Template names'!$B$83</definedName>
    <definedName name="_MEB3" localSheetId="3">'[1]Template names'!#REF!</definedName>
    <definedName name="_MEB3">'Template names'!$B$84</definedName>
    <definedName name="_MEB4" localSheetId="3">'[1]Template names'!#REF!</definedName>
    <definedName name="_MEB4">'Template names'!$B$85</definedName>
    <definedName name="_MEB5" localSheetId="3">'[1]Template names'!#REF!</definedName>
    <definedName name="_MEB5">'Template names'!$B$88</definedName>
    <definedName name="_MEB6" localSheetId="3">'[1]Template names'!#REF!</definedName>
    <definedName name="_MEB6">'Template names'!$B$86</definedName>
    <definedName name="_MEB7" localSheetId="3">'[1]Template names'!#REF!</definedName>
    <definedName name="_MEB7">'Template names'!$B$87</definedName>
    <definedName name="_MEB8" localSheetId="3">'[1]Template names'!#REF!</definedName>
    <definedName name="_MEB8">'Template names'!$B$91</definedName>
    <definedName name="_MEB9" localSheetId="3">'[1]Template names'!#REF!</definedName>
    <definedName name="_MEB9">'Template names'!$B$92</definedName>
    <definedName name="_MER1" localSheetId="3">'[1]Template names'!#REF!</definedName>
    <definedName name="_MER1" localSheetId="17">'Template names'!#REF!</definedName>
    <definedName name="_MER1" localSheetId="18">'Template names'!#REF!</definedName>
    <definedName name="_MER1" localSheetId="19">'Template names'!#REF!</definedName>
    <definedName name="_MER1" localSheetId="20">'Template names'!#REF!</definedName>
    <definedName name="_MER1">'Template names'!#REF!</definedName>
    <definedName name="_MER10" localSheetId="3">'[1]Template names'!#REF!</definedName>
    <definedName name="_MER10" localSheetId="17">'Template names'!#REF!</definedName>
    <definedName name="_MER10" localSheetId="18">'Template names'!#REF!</definedName>
    <definedName name="_MER10" localSheetId="19">'Template names'!#REF!</definedName>
    <definedName name="_MER10" localSheetId="20">'Template names'!#REF!</definedName>
    <definedName name="_MER10">'Template names'!#REF!</definedName>
    <definedName name="_MER11" localSheetId="3">'[1]Template names'!#REF!</definedName>
    <definedName name="_MER11" localSheetId="17">'Template names'!#REF!</definedName>
    <definedName name="_MER11" localSheetId="18">'Template names'!#REF!</definedName>
    <definedName name="_MER11" localSheetId="19">'Template names'!#REF!</definedName>
    <definedName name="_MER11" localSheetId="20">'Template names'!#REF!</definedName>
    <definedName name="_MER11">'Template names'!#REF!</definedName>
    <definedName name="_MER2" localSheetId="3">'[1]Template names'!#REF!</definedName>
    <definedName name="_MER2" localSheetId="17">'Template names'!#REF!</definedName>
    <definedName name="_MER2" localSheetId="18">'Template names'!#REF!</definedName>
    <definedName name="_MER2" localSheetId="19">'Template names'!#REF!</definedName>
    <definedName name="_MER2" localSheetId="20">'Template names'!#REF!</definedName>
    <definedName name="_MER2">'Template names'!#REF!</definedName>
    <definedName name="_MER3" localSheetId="3">'[1]Template names'!#REF!</definedName>
    <definedName name="_MER3" localSheetId="17">'Template names'!#REF!</definedName>
    <definedName name="_MER3" localSheetId="18">'Template names'!#REF!</definedName>
    <definedName name="_MER3" localSheetId="19">'Template names'!#REF!</definedName>
    <definedName name="_MER3" localSheetId="20">'Template names'!#REF!</definedName>
    <definedName name="_MER3">'Template names'!#REF!</definedName>
    <definedName name="_MER4" localSheetId="3">'[1]Template names'!#REF!</definedName>
    <definedName name="_MER4" localSheetId="17">'Template names'!#REF!</definedName>
    <definedName name="_MER4" localSheetId="18">'Template names'!#REF!</definedName>
    <definedName name="_MER4" localSheetId="19">'Template names'!#REF!</definedName>
    <definedName name="_MER4" localSheetId="20">'Template names'!#REF!</definedName>
    <definedName name="_MER4">'Template names'!#REF!</definedName>
    <definedName name="_MER5" localSheetId="3">'[1]Template names'!#REF!</definedName>
    <definedName name="_MER5" localSheetId="17">'Template names'!#REF!</definedName>
    <definedName name="_MER5" localSheetId="18">'Template names'!#REF!</definedName>
    <definedName name="_MER5" localSheetId="19">'Template names'!#REF!</definedName>
    <definedName name="_MER5" localSheetId="20">'Template names'!#REF!</definedName>
    <definedName name="_MER5">'Template names'!#REF!</definedName>
    <definedName name="_MER6" localSheetId="3">'[1]Template names'!#REF!</definedName>
    <definedName name="_MER6" localSheetId="17">'Template names'!#REF!</definedName>
    <definedName name="_MER6" localSheetId="18">'Template names'!#REF!</definedName>
    <definedName name="_MER6" localSheetId="19">'Template names'!#REF!</definedName>
    <definedName name="_MER6" localSheetId="20">'Template names'!#REF!</definedName>
    <definedName name="_MER6">'Template names'!#REF!</definedName>
    <definedName name="_MER7" localSheetId="3">'[1]Template names'!#REF!</definedName>
    <definedName name="_MER7" localSheetId="17">'Template names'!#REF!</definedName>
    <definedName name="_MER7" localSheetId="18">'Template names'!#REF!</definedName>
    <definedName name="_MER7" localSheetId="19">'Template names'!#REF!</definedName>
    <definedName name="_MER7" localSheetId="20">'Template names'!#REF!</definedName>
    <definedName name="_MER7">'Template names'!#REF!</definedName>
    <definedName name="_MER8" localSheetId="3">'[1]Template names'!#REF!</definedName>
    <definedName name="_MER8" localSheetId="17">'Template names'!#REF!</definedName>
    <definedName name="_MER8" localSheetId="18">'Template names'!#REF!</definedName>
    <definedName name="_MER8" localSheetId="19">'Template names'!#REF!</definedName>
    <definedName name="_MER8" localSheetId="20">'Template names'!#REF!</definedName>
    <definedName name="_MER8">'Template names'!#REF!</definedName>
    <definedName name="_MER9" localSheetId="3">'[1]Template names'!#REF!</definedName>
    <definedName name="_MER9" localSheetId="17">'Template names'!#REF!</definedName>
    <definedName name="_MER9" localSheetId="18">'Template names'!#REF!</definedName>
    <definedName name="_MER9" localSheetId="19">'Template names'!#REF!</definedName>
    <definedName name="_MER9" localSheetId="20">'Template names'!#REF!</definedName>
    <definedName name="_MER9">'Template names'!#REF!</definedName>
    <definedName name="_rat03" localSheetId="3">#REF!</definedName>
    <definedName name="_rat03" localSheetId="17">#REF!</definedName>
    <definedName name="_rat03" localSheetId="18">#REF!</definedName>
    <definedName name="_rat03" localSheetId="19">#REF!</definedName>
    <definedName name="_rat03" localSheetId="20">#REF!</definedName>
    <definedName name="_rat03">#REF!</definedName>
    <definedName name="_rat04" localSheetId="3">#REF!</definedName>
    <definedName name="_rat04" localSheetId="17">#REF!</definedName>
    <definedName name="_rat04" localSheetId="18">#REF!</definedName>
    <definedName name="_rat04" localSheetId="19">#REF!</definedName>
    <definedName name="_rat04" localSheetId="20">#REF!</definedName>
    <definedName name="_rat04">#REF!</definedName>
    <definedName name="_rat05" localSheetId="3">#REF!</definedName>
    <definedName name="_rat05" localSheetId="17">#REF!</definedName>
    <definedName name="_rat05" localSheetId="18">#REF!</definedName>
    <definedName name="_rat05" localSheetId="19">#REF!</definedName>
    <definedName name="_rat05" localSheetId="20">#REF!</definedName>
    <definedName name="_rat05">#REF!</definedName>
    <definedName name="_rat06" localSheetId="3">#REF!</definedName>
    <definedName name="_rat06" localSheetId="17">#REF!</definedName>
    <definedName name="_rat06" localSheetId="18">#REF!</definedName>
    <definedName name="_rat06" localSheetId="19">#REF!</definedName>
    <definedName name="_rat06" localSheetId="20">#REF!</definedName>
    <definedName name="_rat06">#REF!</definedName>
    <definedName name="_rat07" localSheetId="3">#REF!</definedName>
    <definedName name="_rat07" localSheetId="17">#REF!</definedName>
    <definedName name="_rat07" localSheetId="18">#REF!</definedName>
    <definedName name="_rat07" localSheetId="19">#REF!</definedName>
    <definedName name="_rat07" localSheetId="20">#REF!</definedName>
    <definedName name="_rat07">#REF!</definedName>
    <definedName name="_rat08" localSheetId="3">#REF!</definedName>
    <definedName name="_rat08" localSheetId="17">#REF!</definedName>
    <definedName name="_rat08" localSheetId="18">#REF!</definedName>
    <definedName name="_rat08" localSheetId="19">#REF!</definedName>
    <definedName name="_rat08" localSheetId="20">#REF!</definedName>
    <definedName name="_rat08">#REF!</definedName>
    <definedName name="_rat09" localSheetId="3">#REF!</definedName>
    <definedName name="_rat09" localSheetId="17">#REF!</definedName>
    <definedName name="_rat09" localSheetId="18">#REF!</definedName>
    <definedName name="_rat09" localSheetId="19">#REF!</definedName>
    <definedName name="_rat09" localSheetId="20">#REF!</definedName>
    <definedName name="_rat09">#REF!</definedName>
    <definedName name="_rat10" localSheetId="3">#REF!</definedName>
    <definedName name="_rat10" localSheetId="17">#REF!</definedName>
    <definedName name="_rat10" localSheetId="18">#REF!</definedName>
    <definedName name="_rat10" localSheetId="19">#REF!</definedName>
    <definedName name="_rat10" localSheetId="20">#REF!</definedName>
    <definedName name="_rat10">#REF!</definedName>
    <definedName name="_rat11" localSheetId="3">#REF!</definedName>
    <definedName name="_rat11" localSheetId="17">#REF!</definedName>
    <definedName name="_rat11" localSheetId="18">#REF!</definedName>
    <definedName name="_rat11" localSheetId="19">#REF!</definedName>
    <definedName name="_rat11" localSheetId="20">#REF!</definedName>
    <definedName name="_rat11">#REF!</definedName>
    <definedName name="_rat12" localSheetId="3">#REF!</definedName>
    <definedName name="_rat12" localSheetId="17">#REF!</definedName>
    <definedName name="_rat12" localSheetId="18">#REF!</definedName>
    <definedName name="_rat12" localSheetId="19">#REF!</definedName>
    <definedName name="_rat12" localSheetId="20">#REF!</definedName>
    <definedName name="_rat12">#REF!</definedName>
    <definedName name="_rat13" localSheetId="3">#REF!</definedName>
    <definedName name="_rat13" localSheetId="17">#REF!</definedName>
    <definedName name="_rat13" localSheetId="18">#REF!</definedName>
    <definedName name="_rat13" localSheetId="19">#REF!</definedName>
    <definedName name="_rat13" localSheetId="20">#REF!</definedName>
    <definedName name="_rat13">#REF!</definedName>
    <definedName name="_rgr05" localSheetId="3">#REF!</definedName>
    <definedName name="_rgr05" localSheetId="17">#REF!</definedName>
    <definedName name="_rgr05" localSheetId="18">#REF!</definedName>
    <definedName name="_rgr05" localSheetId="19">#REF!</definedName>
    <definedName name="_rgr05" localSheetId="20">#REF!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#REF!</definedName>
    <definedName name="_rmc05" localSheetId="17">#REF!</definedName>
    <definedName name="_rmc05" localSheetId="18">#REF!</definedName>
    <definedName name="_rmc05" localSheetId="19">#REF!</definedName>
    <definedName name="_rmc05" localSheetId="20">#REF!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7">'Template names'!#REF!</definedName>
    <definedName name="_Sch1" localSheetId="18">'Template names'!#REF!</definedName>
    <definedName name="_Sch1" localSheetId="19">'Template names'!#REF!</definedName>
    <definedName name="_Sch1" localSheetId="20">'Template names'!#REF!</definedName>
    <definedName name="_Sch1">'Template names'!#REF!</definedName>
    <definedName name="_Sch10" localSheetId="17">'Template names'!#REF!</definedName>
    <definedName name="_Sch10" localSheetId="18">'Template names'!#REF!</definedName>
    <definedName name="_Sch10" localSheetId="19">'Template names'!#REF!</definedName>
    <definedName name="_Sch10" localSheetId="20">'Template names'!#REF!</definedName>
    <definedName name="_Sch10">'Template names'!#REF!</definedName>
    <definedName name="_sch11" localSheetId="17">'Template names'!#REF!</definedName>
    <definedName name="_sch11" localSheetId="18">'Template names'!#REF!</definedName>
    <definedName name="_sch11" localSheetId="19">'Template names'!#REF!</definedName>
    <definedName name="_sch11" localSheetId="20">'Template names'!#REF!</definedName>
    <definedName name="_sch11">'Template names'!#REF!</definedName>
    <definedName name="_Sch2" localSheetId="17">'Template names'!#REF!</definedName>
    <definedName name="_Sch2" localSheetId="18">'Template names'!#REF!</definedName>
    <definedName name="_Sch2" localSheetId="19">'Template names'!#REF!</definedName>
    <definedName name="_Sch2" localSheetId="20">'Template names'!#REF!</definedName>
    <definedName name="_Sch2">'Template names'!#REF!</definedName>
    <definedName name="_Sch3" localSheetId="17">'Template names'!#REF!</definedName>
    <definedName name="_Sch3" localSheetId="18">'Template names'!#REF!</definedName>
    <definedName name="_Sch3" localSheetId="19">'Template names'!#REF!</definedName>
    <definedName name="_Sch3" localSheetId="20">'Template names'!#REF!</definedName>
    <definedName name="_Sch3">'Template names'!#REF!</definedName>
    <definedName name="_Sch4" localSheetId="17">'Template names'!#REF!</definedName>
    <definedName name="_Sch4" localSheetId="18">'Template names'!#REF!</definedName>
    <definedName name="_Sch4" localSheetId="19">'Template names'!#REF!</definedName>
    <definedName name="_Sch4" localSheetId="20">'Template names'!#REF!</definedName>
    <definedName name="_Sch4">'Template names'!#REF!</definedName>
    <definedName name="_Sch5" localSheetId="17">'Template names'!#REF!</definedName>
    <definedName name="_Sch5" localSheetId="18">'Template names'!#REF!</definedName>
    <definedName name="_Sch5" localSheetId="19">'Template names'!#REF!</definedName>
    <definedName name="_Sch5" localSheetId="20">'Template names'!#REF!</definedName>
    <definedName name="_Sch5">'Template names'!#REF!</definedName>
    <definedName name="_Sch6" localSheetId="17">'Template names'!#REF!</definedName>
    <definedName name="_Sch6" localSheetId="18">'Template names'!#REF!</definedName>
    <definedName name="_Sch6" localSheetId="19">'Template names'!#REF!</definedName>
    <definedName name="_Sch6" localSheetId="20">'Template names'!#REF!</definedName>
    <definedName name="_Sch6">'Template names'!#REF!</definedName>
    <definedName name="_Sch7" localSheetId="17">'Template names'!#REF!</definedName>
    <definedName name="_Sch7" localSheetId="18">'Template names'!#REF!</definedName>
    <definedName name="_Sch7" localSheetId="19">'Template names'!#REF!</definedName>
    <definedName name="_Sch7" localSheetId="20">'Template names'!#REF!</definedName>
    <definedName name="_Sch7">'Template names'!#REF!</definedName>
    <definedName name="_Sch8" localSheetId="17">'Template names'!#REF!</definedName>
    <definedName name="_Sch8" localSheetId="18">'Template names'!#REF!</definedName>
    <definedName name="_Sch8" localSheetId="19">'Template names'!#REF!</definedName>
    <definedName name="_Sch8" localSheetId="20">'Template names'!#REF!</definedName>
    <definedName name="_Sch8">'Template names'!#REF!</definedName>
    <definedName name="_Sch9" localSheetId="17">'Template names'!#REF!</definedName>
    <definedName name="_Sch9" localSheetId="18">'Template names'!#REF!</definedName>
    <definedName name="_Sch9" localSheetId="19">'Template names'!#REF!</definedName>
    <definedName name="_Sch9" localSheetId="20">'Template names'!#REF!</definedName>
    <definedName name="_Sch9">'Template names'!#REF!</definedName>
    <definedName name="_sdc05" localSheetId="3">#REF!</definedName>
    <definedName name="_sdc05" localSheetId="17">#REF!</definedName>
    <definedName name="_sdc05" localSheetId="18">#REF!</definedName>
    <definedName name="_sdc05" localSheetId="19">#REF!</definedName>
    <definedName name="_sdc05" localSheetId="20">#REF!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#REF!</definedName>
    <definedName name="_wc05" localSheetId="17">#REF!</definedName>
    <definedName name="_wc05" localSheetId="18">#REF!</definedName>
    <definedName name="_wc05" localSheetId="19">#REF!</definedName>
    <definedName name="_wc05" localSheetId="20">#REF!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17">'Template names'!#REF!</definedName>
    <definedName name="ADJ10plus" localSheetId="18">'Template names'!#REF!</definedName>
    <definedName name="ADJ10plus" localSheetId="19">'Template names'!#REF!</definedName>
    <definedName name="ADJ10plus" localSheetId="20">'Template names'!#REF!</definedName>
    <definedName name="ADJ10plus">'Template names'!#REF!</definedName>
    <definedName name="ADJ18A" localSheetId="3">'[1]Template names'!#REF!</definedName>
    <definedName name="ADJ18A" localSheetId="17">'Template names'!#REF!</definedName>
    <definedName name="ADJ18A" localSheetId="18">'Template names'!#REF!</definedName>
    <definedName name="ADJ18A" localSheetId="19">'Template names'!#REF!</definedName>
    <definedName name="ADJ18A" localSheetId="20">'Template names'!#REF!</definedName>
    <definedName name="ADJ18A">'Template names'!#REF!</definedName>
    <definedName name="ADJ18B" localSheetId="3">'[1]Template names'!#REF!</definedName>
    <definedName name="ADJ18B" localSheetId="17">'Template names'!#REF!</definedName>
    <definedName name="ADJ18B" localSheetId="18">'Template names'!#REF!</definedName>
    <definedName name="ADJ18B" localSheetId="19">'Template names'!#REF!</definedName>
    <definedName name="ADJ18B" localSheetId="20">'Template names'!#REF!</definedName>
    <definedName name="ADJ18B">'Template names'!#REF!</definedName>
    <definedName name="ADJ19B" localSheetId="3">'[1]Template names'!#REF!</definedName>
    <definedName name="ADJ19B" localSheetId="17">'Template names'!#REF!</definedName>
    <definedName name="ADJ19B" localSheetId="18">'Template names'!#REF!</definedName>
    <definedName name="ADJ19B" localSheetId="19">'Template names'!#REF!</definedName>
    <definedName name="ADJ19B" localSheetId="20">'Template names'!#REF!</definedName>
    <definedName name="ADJ19B">'Template names'!#REF!</definedName>
    <definedName name="ADJ8A" localSheetId="3">'[1]Template names'!#REF!</definedName>
    <definedName name="ADJ8A" localSheetId="17">'Template names'!#REF!</definedName>
    <definedName name="ADJ8A" localSheetId="18">'Template names'!#REF!</definedName>
    <definedName name="ADJ8A" localSheetId="19">'Template names'!#REF!</definedName>
    <definedName name="ADJ8A" localSheetId="20">'Template names'!#REF!</definedName>
    <definedName name="ADJ8A">'Template names'!#REF!</definedName>
    <definedName name="ADJ8B" localSheetId="3">'[1]Template names'!#REF!</definedName>
    <definedName name="ADJ8B" localSheetId="17">'Template names'!#REF!</definedName>
    <definedName name="ADJ8B" localSheetId="18">'Template names'!#REF!</definedName>
    <definedName name="ADJ8B" localSheetId="19">'Template names'!#REF!</definedName>
    <definedName name="ADJ8B" localSheetId="20">'Template names'!#REF!</definedName>
    <definedName name="ADJ8B">'Template names'!#REF!</definedName>
    <definedName name="ADJP1" localSheetId="3">'[1]Template names'!#REF!</definedName>
    <definedName name="ADJP1" localSheetId="17">'Template names'!#REF!</definedName>
    <definedName name="ADJP1" localSheetId="18">'Template names'!#REF!</definedName>
    <definedName name="ADJP1" localSheetId="19">'Template names'!#REF!</definedName>
    <definedName name="ADJP1" localSheetId="20">'Template names'!#REF!</definedName>
    <definedName name="ADJP1">'Template names'!#REF!</definedName>
    <definedName name="adjsum" localSheetId="3">'[1]Template names'!#REF!</definedName>
    <definedName name="adjsum" localSheetId="17">'Template names'!#REF!</definedName>
    <definedName name="adjsum" localSheetId="18">'Template names'!#REF!</definedName>
    <definedName name="adjsum" localSheetId="19">'Template names'!#REF!</definedName>
    <definedName name="adjsum" localSheetId="20">'Template names'!#REF!</definedName>
    <definedName name="adjsum">'Template names'!#REF!</definedName>
    <definedName name="ADJTB1" localSheetId="3">'[1]Template names'!#REF!</definedName>
    <definedName name="ADJTB1" localSheetId="17">'Template names'!#REF!</definedName>
    <definedName name="ADJTB1" localSheetId="18">'Template names'!#REF!</definedName>
    <definedName name="ADJTB1" localSheetId="19">'Template names'!#REF!</definedName>
    <definedName name="ADJTB1" localSheetId="20">'Template names'!#REF!</definedName>
    <definedName name="ADJTB1">'Template names'!#REF!</definedName>
    <definedName name="ADJXX" localSheetId="3">'[1]Template names'!#REF!</definedName>
    <definedName name="ADJXX" localSheetId="17">'Template names'!#REF!</definedName>
    <definedName name="ADJXX" localSheetId="18">'Template names'!#REF!</definedName>
    <definedName name="ADJXX" localSheetId="19">'Template names'!#REF!</definedName>
    <definedName name="ADJXX" localSheetId="20">'Template names'!#REF!</definedName>
    <definedName name="ADJXX">'Template names'!#REF!</definedName>
    <definedName name="Approve1">#REF!</definedName>
    <definedName name="Approve10">#REF!</definedName>
    <definedName name="Approve2">#REF!</definedName>
    <definedName name="Approve3">#REF!</definedName>
    <definedName name="Approve4">#REF!</definedName>
    <definedName name="Approve5">#REF!</definedName>
    <definedName name="Approve6">#REF!</definedName>
    <definedName name="Approve7">#REF!</definedName>
    <definedName name="Approve8">#REF!</definedName>
    <definedName name="Approve9">#REF!</definedName>
    <definedName name="Asset_Class">'Lookup and lists (2)'!$Z$15:$Z$29</definedName>
    <definedName name="asset_class1">'Lookup and lists (2)'!$Z$16:$Z$40</definedName>
    <definedName name="Asset_sub_class">'Lookup and lists (2)'!$AA$15:$AA$59</definedName>
    <definedName name="asset_subclass1">'Lookup and lists (2)'!$AB$16:$AB$124</definedName>
    <definedName name="assetsched" localSheetId="17">'Template names'!#REF!</definedName>
    <definedName name="assetsched" localSheetId="18">'Template names'!#REF!</definedName>
    <definedName name="assetsched" localSheetId="19">'Template names'!#REF!</definedName>
    <definedName name="assetsched" localSheetId="20">'Template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#REF!</definedName>
    <definedName name="balloon" localSheetId="17">#REF!</definedName>
    <definedName name="balloon" localSheetId="18">#REF!</definedName>
    <definedName name="balloon" localSheetId="19">#REF!</definedName>
    <definedName name="balloon" localSheetId="20">#REF!</definedName>
    <definedName name="balloon">#REF!</definedName>
    <definedName name="basedesc">'Template names'!$D$40:$D$40</definedName>
    <definedName name="baseindex" localSheetId="17">'Template names'!#REF!</definedName>
    <definedName name="baseindex" localSheetId="18">'Template names'!#REF!</definedName>
    <definedName name="baseindex" localSheetId="19">'Template names'!#REF!</definedName>
    <definedName name="baseindex" localSheetId="20">'Template names'!#REF!</definedName>
    <definedName name="baseindex">'Template names'!#REF!</definedName>
    <definedName name="Bus" localSheetId="3">#REF!</definedName>
    <definedName name="Bus" localSheetId="17">#REF!</definedName>
    <definedName name="Bus" localSheetId="18">#REF!</definedName>
    <definedName name="Bus" localSheetId="19">#REF!</definedName>
    <definedName name="Bus" localSheetId="20">#REF!</definedName>
    <definedName name="Bus">#REF!</definedName>
    <definedName name="Capex" localSheetId="19">'D3-Capex'!#REF!</definedName>
    <definedName name="Capex" localSheetId="20">'D3-Capex'!#REF!</definedName>
    <definedName name="Capex">'D3-Capex'!#REF!</definedName>
    <definedName name="capexfactor" localSheetId="3">#REF!</definedName>
    <definedName name="capexfactor" localSheetId="17">#REF!</definedName>
    <definedName name="capexfactor" localSheetId="18">#REF!</definedName>
    <definedName name="capexfactor" localSheetId="19">#REF!</definedName>
    <definedName name="capexfactor" localSheetId="20">#REF!</definedName>
    <definedName name="capexfactor">#REF!</definedName>
    <definedName name="capexlimit06">#REF!</definedName>
    <definedName name="capexlimit07">#REF!</definedName>
    <definedName name="capexlimit08">#REF!</definedName>
    <definedName name="capexlimit09">#REF!</definedName>
    <definedName name="capexrate04" localSheetId="3">#REF!</definedName>
    <definedName name="capexrate04" localSheetId="17">#REF!</definedName>
    <definedName name="capexrate04" localSheetId="18">#REF!</definedName>
    <definedName name="capexrate04" localSheetId="19">#REF!</definedName>
    <definedName name="capexrate04" localSheetId="20">#REF!</definedName>
    <definedName name="capexrate04">#REF!</definedName>
    <definedName name="capexrate05" localSheetId="3">#REF!</definedName>
    <definedName name="capexrate05" localSheetId="17">#REF!</definedName>
    <definedName name="capexrate05" localSheetId="18">#REF!</definedName>
    <definedName name="capexrate05" localSheetId="19">#REF!</definedName>
    <definedName name="capexrate05" localSheetId="20">#REF!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3">#REF!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7">'Template names'!#REF!</definedName>
    <definedName name="Charges1" localSheetId="18">'Template names'!#REF!</definedName>
    <definedName name="Charges1" localSheetId="19">'Template names'!#REF!</definedName>
    <definedName name="Charges1" localSheetId="20">'Template names'!#REF!</definedName>
    <definedName name="Charges1">'Template names'!#REF!</definedName>
    <definedName name="ChartA1">#REF!</definedName>
    <definedName name="ChartA10">#REF!</definedName>
    <definedName name="ChartA11">#REF!</definedName>
    <definedName name="ChartA12">#REF!</definedName>
    <definedName name="ChartA13">#REF!</definedName>
    <definedName name="ChartA2">#REF!</definedName>
    <definedName name="ChartA3">#REF!</definedName>
    <definedName name="ChartA4">#REF!</definedName>
    <definedName name="ChartA5">#REF!</definedName>
    <definedName name="ChartA6">#REF!</definedName>
    <definedName name="ChartA7">#REF!</definedName>
    <definedName name="ChartA8">#REF!</definedName>
    <definedName name="ChartA9">#REF!</definedName>
    <definedName name="choosebase" localSheetId="17">'Template names'!#REF!</definedName>
    <definedName name="choosebase" localSheetId="18">'Template names'!#REF!</definedName>
    <definedName name="choosebase" localSheetId="19">'Template names'!#REF!</definedName>
    <definedName name="choosebase" localSheetId="20">'Template names'!#REF!</definedName>
    <definedName name="choosebase">'Template names'!#REF!</definedName>
    <definedName name="Consolques" localSheetId="17">'Template names'!#REF!</definedName>
    <definedName name="Consolques" localSheetId="18">'Template names'!#REF!</definedName>
    <definedName name="Consolques" localSheetId="19">'Template names'!#REF!</definedName>
    <definedName name="Consolques" localSheetId="20">'Template names'!#REF!</definedName>
    <definedName name="Consolques">'Template names'!#REF!</definedName>
    <definedName name="cpix04" localSheetId="3">#REF!</definedName>
    <definedName name="cpix04" localSheetId="17">#REF!</definedName>
    <definedName name="cpix04" localSheetId="18">#REF!</definedName>
    <definedName name="cpix04" localSheetId="19">#REF!</definedName>
    <definedName name="cpix04" localSheetId="20">#REF!</definedName>
    <definedName name="cpix04">#REF!</definedName>
    <definedName name="cpix05" localSheetId="3">#REF!</definedName>
    <definedName name="cpix05" localSheetId="17">#REF!</definedName>
    <definedName name="cpix05" localSheetId="18">#REF!</definedName>
    <definedName name="cpix05" localSheetId="19">#REF!</definedName>
    <definedName name="cpix05" localSheetId="20">#REF!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#REF!</definedName>
    <definedName name="credit06" localSheetId="17">#REF!</definedName>
    <definedName name="credit06" localSheetId="18">#REF!</definedName>
    <definedName name="credit06" localSheetId="19">#REF!</definedName>
    <definedName name="credit06" localSheetId="20">#REF!</definedName>
    <definedName name="credit06">#REF!</definedName>
    <definedName name="date">[3]Data!$B$2</definedName>
    <definedName name="debt03" localSheetId="3">#REF!</definedName>
    <definedName name="debt03" localSheetId="17">#REF!</definedName>
    <definedName name="debt03" localSheetId="18">#REF!</definedName>
    <definedName name="debt03" localSheetId="19">#REF!</definedName>
    <definedName name="debt03" localSheetId="20">#REF!</definedName>
    <definedName name="debt03">#REF!</definedName>
    <definedName name="debt04" localSheetId="3">#REF!</definedName>
    <definedName name="debt04" localSheetId="17">#REF!</definedName>
    <definedName name="debt04" localSheetId="18">#REF!</definedName>
    <definedName name="debt04" localSheetId="19">#REF!</definedName>
    <definedName name="debt04" localSheetId="20">#REF!</definedName>
    <definedName name="debt04">#REF!</definedName>
    <definedName name="debt05" localSheetId="3">#REF!</definedName>
    <definedName name="debt05" localSheetId="17">#REF!</definedName>
    <definedName name="debt05" localSheetId="18">#REF!</definedName>
    <definedName name="debt05" localSheetId="19">#REF!</definedName>
    <definedName name="debt05" localSheetId="20">#REF!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#REF!</definedName>
    <definedName name="debtrev04" localSheetId="17">#REF!</definedName>
    <definedName name="debtrev04" localSheetId="18">#REF!</definedName>
    <definedName name="debtrev04" localSheetId="19">#REF!</definedName>
    <definedName name="debtrev04" localSheetId="20">#REF!</definedName>
    <definedName name="debtrev04">#REF!</definedName>
    <definedName name="debtrev05" localSheetId="3">#REF!</definedName>
    <definedName name="debtrev05" localSheetId="17">#REF!</definedName>
    <definedName name="debtrev05" localSheetId="18">#REF!</definedName>
    <definedName name="debtrev05" localSheetId="19">#REF!</definedName>
    <definedName name="debtrev05" localSheetId="20">#REF!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#REF!</definedName>
    <definedName name="ecchoice" localSheetId="17">#REF!</definedName>
    <definedName name="ecchoice" localSheetId="18">#REF!</definedName>
    <definedName name="ecchoice" localSheetId="19">#REF!</definedName>
    <definedName name="ecchoice" localSheetId="20">#REF!</definedName>
    <definedName name="ecchoice">#REF!</definedName>
    <definedName name="elec05" localSheetId="3">#REF!</definedName>
    <definedName name="elec05" localSheetId="17">#REF!</definedName>
    <definedName name="elec05" localSheetId="18">#REF!</definedName>
    <definedName name="elec05" localSheetId="19">#REF!</definedName>
    <definedName name="elec05" localSheetId="20">#REF!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3">#REF!</definedName>
    <definedName name="eskom07" localSheetId="17">#REF!</definedName>
    <definedName name="eskom07" localSheetId="18">#REF!</definedName>
    <definedName name="eskom07" localSheetId="19">#REF!</definedName>
    <definedName name="eskom07" localSheetId="20">#REF!</definedName>
    <definedName name="eskom07">#REF!</definedName>
    <definedName name="fdil">'Template names'!$B$32</definedName>
    <definedName name="FinYear" localSheetId="3">Instructions!$X$36</definedName>
    <definedName name="finyear">[3]Data!$B$4</definedName>
    <definedName name="finyears" localSheetId="3">#REF!</definedName>
    <definedName name="finyears" localSheetId="17">#REF!</definedName>
    <definedName name="finyears" localSheetId="18">#REF!</definedName>
    <definedName name="finyears" localSheetId="19">#REF!</definedName>
    <definedName name="finyears" localSheetId="20">#REF!</definedName>
    <definedName name="finyears">#REF!</definedName>
    <definedName name="Fundnote" localSheetId="17">'Template names'!#REF!</definedName>
    <definedName name="Fundnote" localSheetId="18">'Template names'!#REF!</definedName>
    <definedName name="Fundnote" localSheetId="19">'Template names'!#REF!</definedName>
    <definedName name="Fundnote" localSheetId="20">'Template names'!#REF!</definedName>
    <definedName name="Fundnote">'Template names'!#REF!</definedName>
    <definedName name="GrantNatCapex">'Lookup and lists (2)'!$AB$2:$AB$9</definedName>
    <definedName name="GrantNatOpex">'Lookup and lists (2)'!$Z$2:$Z$13</definedName>
    <definedName name="GrantProvCapex">'Lookup and lists (2)'!$AC$2:$AC$9</definedName>
    <definedName name="GrantProvOpex">'Lookup and lists (2)'!$AA$2:$AA$6</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5">#REF!</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3">#REF!</definedName>
    <definedName name="hhgr05" localSheetId="17">#REF!</definedName>
    <definedName name="hhgr05" localSheetId="18">#REF!</definedName>
    <definedName name="hhgr05" localSheetId="19">#REF!</definedName>
    <definedName name="hhgr05" localSheetId="20">#REF!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#REF!</definedName>
    <definedName name="incentive" localSheetId="17">#REF!</definedName>
    <definedName name="incentive" localSheetId="18">#REF!</definedName>
    <definedName name="incentive" localSheetId="19">#REF!</definedName>
    <definedName name="incentive" localSheetId="20">#REF!</definedName>
    <definedName name="incentive">#REF!</definedName>
    <definedName name="infra">#REF!</definedName>
    <definedName name="Infrarenewal">#REF!</definedName>
    <definedName name="infrastratnum">#REF!</definedName>
    <definedName name="Instructions" localSheetId="3">#REF!</definedName>
    <definedName name="Instructions">#REF!</definedName>
    <definedName name="inventory" localSheetId="3">#REF!</definedName>
    <definedName name="inventory" localSheetId="17">#REF!</definedName>
    <definedName name="inventory" localSheetId="18">#REF!</definedName>
    <definedName name="inventory" localSheetId="19">#REF!</definedName>
    <definedName name="inventory" localSheetId="20">#REF!</definedName>
    <definedName name="inventory">#REF!</definedName>
    <definedName name="IUDF">'Lookup and lists (2)'!$AC$16:$AC$19</definedName>
    <definedName name="List1">'Lookup and lists (2)'!$Q$2:$Q$4</definedName>
    <definedName name="List2">'Lookup and lists (2)'!$R$2:$R$8</definedName>
    <definedName name="List3">'Lookup and lists (2)'!$S$2:$S$7</definedName>
    <definedName name="List4">'Lookup and lists (2)'!$T$2:$T$4</definedName>
    <definedName name="List5">'Lookup and lists (2)'!$U$2:$U$4</definedName>
    <definedName name="List6">'Lookup and lists (2)'!$V$2:$V$3</definedName>
    <definedName name="List7">'Lookup and lists (2)'!$W$2:$W$3</definedName>
    <definedName name="List8">'Lookup and lists (2)'!$X$2:$X$3</definedName>
    <definedName name="longterm" localSheetId="3">#REF!</definedName>
    <definedName name="longterm" localSheetId="17">#REF!</definedName>
    <definedName name="longterm" localSheetId="18">#REF!</definedName>
    <definedName name="longterm" localSheetId="19">#REF!</definedName>
    <definedName name="longterm" localSheetId="20">#REF!</definedName>
    <definedName name="longterm">#REF!</definedName>
    <definedName name="MEAB1" localSheetId="3">'[1]Template names'!#REF!</definedName>
    <definedName name="MEAB1" localSheetId="17">'Template names'!#REF!</definedName>
    <definedName name="MEAB1" localSheetId="18">'Template names'!#REF!</definedName>
    <definedName name="MEAB1" localSheetId="19">'Template names'!#REF!</definedName>
    <definedName name="MEAB1" localSheetId="20">'Template names'!#REF!</definedName>
    <definedName name="MEAB1">'Template names'!#REF!</definedName>
    <definedName name="MEAB10" localSheetId="3">'[1]Template names'!#REF!</definedName>
    <definedName name="MEAB10" localSheetId="17">'Template names'!#REF!</definedName>
    <definedName name="MEAB10" localSheetId="18">'Template names'!#REF!</definedName>
    <definedName name="MEAB10" localSheetId="19">'Template names'!#REF!</definedName>
    <definedName name="MEAB10" localSheetId="20">'Template names'!#REF!</definedName>
    <definedName name="MEAB10">'Template names'!#REF!</definedName>
    <definedName name="MEAB11" localSheetId="3">'[1]Template names'!#REF!</definedName>
    <definedName name="MEAB11" localSheetId="17">'Template names'!#REF!</definedName>
    <definedName name="MEAB11" localSheetId="18">'Template names'!#REF!</definedName>
    <definedName name="MEAB11" localSheetId="19">'Template names'!#REF!</definedName>
    <definedName name="MEAB11" localSheetId="20">'Template names'!#REF!</definedName>
    <definedName name="MEAB11">'Template names'!#REF!</definedName>
    <definedName name="MEAB2" localSheetId="3">'[1]Template names'!#REF!</definedName>
    <definedName name="MEAB2" localSheetId="17">'Template names'!#REF!</definedName>
    <definedName name="MEAB2" localSheetId="18">'Template names'!#REF!</definedName>
    <definedName name="MEAB2" localSheetId="19">'Template names'!#REF!</definedName>
    <definedName name="MEAB2" localSheetId="20">'Template names'!#REF!</definedName>
    <definedName name="MEAB2">'Template names'!#REF!</definedName>
    <definedName name="MEAB3" localSheetId="3">'[1]Template names'!#REF!</definedName>
    <definedName name="MEAB3" localSheetId="17">'Template names'!#REF!</definedName>
    <definedName name="MEAB3" localSheetId="18">'Template names'!#REF!</definedName>
    <definedName name="MEAB3" localSheetId="19">'Template names'!#REF!</definedName>
    <definedName name="MEAB3" localSheetId="20">'Template names'!#REF!</definedName>
    <definedName name="MEAB3">'Template names'!#REF!</definedName>
    <definedName name="MEAB4" localSheetId="3">'[1]Template names'!#REF!</definedName>
    <definedName name="MEAB4" localSheetId="17">'Template names'!#REF!</definedName>
    <definedName name="MEAB4" localSheetId="18">'Template names'!#REF!</definedName>
    <definedName name="MEAB4" localSheetId="19">'Template names'!#REF!</definedName>
    <definedName name="MEAB4" localSheetId="20">'Template names'!#REF!</definedName>
    <definedName name="MEAB4">'Template names'!#REF!</definedName>
    <definedName name="MEAB5" localSheetId="3">'[1]Template names'!#REF!</definedName>
    <definedName name="MEAB5" localSheetId="17">'Template names'!#REF!</definedName>
    <definedName name="MEAB5" localSheetId="18">'Template names'!#REF!</definedName>
    <definedName name="MEAB5" localSheetId="19">'Template names'!#REF!</definedName>
    <definedName name="MEAB5" localSheetId="20">'Template names'!#REF!</definedName>
    <definedName name="MEAB5">'Template names'!#REF!</definedName>
    <definedName name="MEAB6" localSheetId="3">'[1]Template names'!#REF!</definedName>
    <definedName name="MEAB6" localSheetId="17">'Template names'!#REF!</definedName>
    <definedName name="MEAB6" localSheetId="18">'Template names'!#REF!</definedName>
    <definedName name="MEAB6" localSheetId="19">'Template names'!#REF!</definedName>
    <definedName name="MEAB6" localSheetId="20">'Template names'!#REF!</definedName>
    <definedName name="MEAB6">'Template names'!#REF!</definedName>
    <definedName name="MEAB7" localSheetId="3">'[1]Template names'!#REF!</definedName>
    <definedName name="MEAB7" localSheetId="17">'Template names'!#REF!</definedName>
    <definedName name="MEAB7" localSheetId="18">'Template names'!#REF!</definedName>
    <definedName name="MEAB7" localSheetId="19">'Template names'!#REF!</definedName>
    <definedName name="MEAB7" localSheetId="20">'Template names'!#REF!</definedName>
    <definedName name="MEAB7">'Template names'!#REF!</definedName>
    <definedName name="MEAB8" localSheetId="3">'[1]Template names'!#REF!</definedName>
    <definedName name="MEAB8" localSheetId="17">'Template names'!#REF!</definedName>
    <definedName name="MEAB8" localSheetId="18">'Template names'!#REF!</definedName>
    <definedName name="MEAB8" localSheetId="19">'Template names'!#REF!</definedName>
    <definedName name="MEAB8" localSheetId="20">'Template names'!#REF!</definedName>
    <definedName name="MEAB8">'Template names'!#REF!</definedName>
    <definedName name="MEAB9" localSheetId="3">'[1]Template names'!#REF!</definedName>
    <definedName name="MEAB9" localSheetId="17">'Template names'!#REF!</definedName>
    <definedName name="MEAB9" localSheetId="18">'Template names'!#REF!</definedName>
    <definedName name="MEAB9" localSheetId="19">'Template names'!#REF!</definedName>
    <definedName name="MEAB9" localSheetId="20">'Template names'!#REF!</definedName>
    <definedName name="MEAB9">'Template names'!#REF!</definedName>
    <definedName name="MEABsum" localSheetId="3">'[1]Template names'!#REF!</definedName>
    <definedName name="MEABsum" localSheetId="17">'Template names'!#REF!</definedName>
    <definedName name="MEABsum" localSheetId="18">'Template names'!#REF!</definedName>
    <definedName name="MEABsum" localSheetId="19">'Template names'!#REF!</definedName>
    <definedName name="MEABsum" localSheetId="20">'Template names'!#REF!</definedName>
    <definedName name="MEABsum">'Template names'!#REF!</definedName>
    <definedName name="MEB1A" localSheetId="3">'[1]Template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3">'[1]Template names'!#REF!</definedName>
    <definedName name="MEBsum">'Template names'!$B$80</definedName>
    <definedName name="MERsum" localSheetId="3">'[1]Template names'!#REF!</definedName>
    <definedName name="MERsum" localSheetId="17">'Template names'!#REF!</definedName>
    <definedName name="MERsum" localSheetId="18">'Template names'!#REF!</definedName>
    <definedName name="MERsum" localSheetId="19">'Template names'!#REF!</definedName>
    <definedName name="MERsum" localSheetId="20">'Template names'!#REF!</definedName>
    <definedName name="MERsum">'Template names'!#REF!</definedName>
    <definedName name="month">[3]Data!$B$1</definedName>
    <definedName name="MTREF" localSheetId="3">Instructions!$X$34</definedName>
    <definedName name="MTREF">Instructions!$X$34</definedName>
    <definedName name="MTSF">'Lookup and lists (2)'!$AD$16:$AD$29</definedName>
    <definedName name="muni" localSheetId="3">'[1]Template names'!$B$93</definedName>
    <definedName name="muni">'Template names'!$B$97</definedName>
    <definedName name="MuniEntities">'[1]Template names'!$B$94</definedName>
    <definedName name="MuniType">'[1]Template names'!$D$94</definedName>
    <definedName name="nersa07" localSheetId="3">#REF!</definedName>
    <definedName name="nersa07" localSheetId="17">#REF!</definedName>
    <definedName name="nersa07" localSheetId="18">#REF!</definedName>
    <definedName name="nersa07" localSheetId="19">#REF!</definedName>
    <definedName name="nersa07" localSheetId="20">#REF!</definedName>
    <definedName name="nersa07">#REF!</definedName>
    <definedName name="nersa08" localSheetId="3">#REF!</definedName>
    <definedName name="nersa08" localSheetId="17">#REF!</definedName>
    <definedName name="nersa08" localSheetId="18">#REF!</definedName>
    <definedName name="nersa08" localSheetId="19">#REF!</definedName>
    <definedName name="nersa08" localSheetId="20">#REF!</definedName>
    <definedName name="nersa08">#REF!</definedName>
    <definedName name="nethhgr05" localSheetId="3">#REF!</definedName>
    <definedName name="nethhgr05" localSheetId="17">#REF!</definedName>
    <definedName name="nethhgr05" localSheetId="18">#REF!</definedName>
    <definedName name="nethhgr05" localSheetId="19">#REF!</definedName>
    <definedName name="nethhgr05" localSheetId="20">#REF!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7">'Template names'!#REF!</definedName>
    <definedName name="newTable25" localSheetId="18">'Template names'!#REF!</definedName>
    <definedName name="newTable25" localSheetId="19">'Template names'!#REF!</definedName>
    <definedName name="newTable25" localSheetId="20">'Template names'!#REF!</definedName>
    <definedName name="newTable25">'Template names'!#REF!</definedName>
    <definedName name="ninety" localSheetId="3">#REF!</definedName>
    <definedName name="ninety">#REF!</definedName>
    <definedName name="Note20">[4]Names!$B$89</definedName>
    <definedName name="poorgr06">#REF!</definedName>
    <definedName name="_xlnm.Print_Area" localSheetId="5">'D1-Sum'!$A$1:$J$46</definedName>
    <definedName name="_xlnm.Print_Area" localSheetId="6">'D2-FinPerf'!$A$1:$K$49</definedName>
    <definedName name="_xlnm.Print_Area" localSheetId="8">'D4-FinPos'!$A$1:$K$53</definedName>
    <definedName name="_xlnm.Print_Area" localSheetId="9">'D5-CFlow'!$A$1:$K$46</definedName>
    <definedName name="_xlnm.Print_Area" localSheetId="10">'SD1'!$A$1:$K$36</definedName>
    <definedName name="_xlnm.Print_Area" localSheetId="23">'SD10'!$A$1:$F$24</definedName>
    <definedName name="_xlnm.Print_Area" localSheetId="11">'SD2'!$A$1:$L$40</definedName>
    <definedName name="_xlnm.Print_Area" localSheetId="12">'SD3'!$A$1:$I$24</definedName>
    <definedName name="_xlnm.Print_Area" localSheetId="13">'SD4'!$A$1:$K$57</definedName>
    <definedName name="_xlnm.Print_Area" localSheetId="15">'SD6'!$A$1:$P$36</definedName>
    <definedName name="_xlnm.Print_Area" localSheetId="16">SD7a!$A$1:$K$167</definedName>
    <definedName name="_xlnm.Print_Area" localSheetId="17">SD7b!$A$1:$K$167</definedName>
    <definedName name="_xlnm.Print_Area" localSheetId="18">SD7c!$A$1:$K$167</definedName>
    <definedName name="_xlnm.Print_Area" localSheetId="19">SD7d!$A$1:$K$167</definedName>
    <definedName name="_xlnm.Print_Area" localSheetId="20">SD7e!$A$1:$K$167</definedName>
    <definedName name="_xlnm.Print_Area" localSheetId="21">'SD8'!$A$1:$I$25</definedName>
    <definedName name="_xlnm.Print_Area" localSheetId="22">'SD9'!$A$1:$O$1</definedName>
    <definedName name="proptax07">#REF!</definedName>
    <definedName name="Rand000" localSheetId="3">#REF!</definedName>
    <definedName name="Rand000" localSheetId="17">#REF!</definedName>
    <definedName name="Rand000" localSheetId="18">#REF!</definedName>
    <definedName name="Rand000" localSheetId="19">#REF!</definedName>
    <definedName name="Rand000" localSheetId="20">#REF!</definedName>
    <definedName name="Rand000">#REF!</definedName>
    <definedName name="RandM">'Template names'!$B$74</definedName>
    <definedName name="Rates1" localSheetId="17">'Template names'!#REF!</definedName>
    <definedName name="Rates1" localSheetId="18">'Template names'!#REF!</definedName>
    <definedName name="Rates1" localSheetId="19">'Template names'!#REF!</definedName>
    <definedName name="Rates1" localSheetId="20">'Template names'!#REF!</definedName>
    <definedName name="Rates1">'Template names'!#REF!</definedName>
    <definedName name="Rates2" localSheetId="17">'Template names'!#REF!</definedName>
    <definedName name="Rates2" localSheetId="18">'Template names'!#REF!</definedName>
    <definedName name="Rates2" localSheetId="19">'Template names'!#REF!</definedName>
    <definedName name="Rates2" localSheetId="20">'Template names'!#REF!</definedName>
    <definedName name="Rates2">'Template names'!#REF!</definedName>
    <definedName name="Rates3" localSheetId="17">'Template names'!#REF!</definedName>
    <definedName name="Rates3" localSheetId="18">'Template names'!#REF!</definedName>
    <definedName name="Rates3" localSheetId="19">'Template names'!#REF!</definedName>
    <definedName name="Rates3" localSheetId="20">'Template names'!#REF!</definedName>
    <definedName name="Rates3">'Template names'!#REF!</definedName>
    <definedName name="REDHHGR06" localSheetId="3">#REF!</definedName>
    <definedName name="REDHHGR06" localSheetId="17">#REF!</definedName>
    <definedName name="REDHHGR06" localSheetId="18">#REF!</definedName>
    <definedName name="REDHHGR06" localSheetId="19">#REF!</definedName>
    <definedName name="REDHHGR06" localSheetId="20">#REF!</definedName>
    <definedName name="REDHHGR06">#REF!</definedName>
    <definedName name="redhhgr07" localSheetId="3">#REF!</definedName>
    <definedName name="redhhgr07" localSheetId="17">#REF!</definedName>
    <definedName name="redhhgr07" localSheetId="18">#REF!</definedName>
    <definedName name="redhhgr07" localSheetId="19">#REF!</definedName>
    <definedName name="redhhgr07" localSheetId="20">#REF!</definedName>
    <definedName name="redhhgr07">#REF!</definedName>
    <definedName name="redrev06" localSheetId="3">#REF!</definedName>
    <definedName name="redrev06" localSheetId="17">#REF!</definedName>
    <definedName name="redrev06" localSheetId="18">#REF!</definedName>
    <definedName name="redrev06" localSheetId="19">#REF!</definedName>
    <definedName name="redrev06" localSheetId="20">#REF!</definedName>
    <definedName name="redrev06">#REF!</definedName>
    <definedName name="redrev07" localSheetId="3">#REF!</definedName>
    <definedName name="redrev07" localSheetId="17">#REF!</definedName>
    <definedName name="redrev07" localSheetId="18">#REF!</definedName>
    <definedName name="redrev07" localSheetId="19">#REF!</definedName>
    <definedName name="redrev07" localSheetId="20">#REF!</definedName>
    <definedName name="redrev07">#REF!</definedName>
    <definedName name="Reds" localSheetId="3">#REF!</definedName>
    <definedName name="Reds" localSheetId="17">#REF!</definedName>
    <definedName name="Reds" localSheetId="18">#REF!</definedName>
    <definedName name="Reds" localSheetId="19">#REF!</definedName>
    <definedName name="Reds" localSheetId="20">#REF!</definedName>
    <definedName name="Reds">#REF!</definedName>
    <definedName name="renewyears">#REF!</definedName>
    <definedName name="Request0506" localSheetId="3">#REF!</definedName>
    <definedName name="Request0506" localSheetId="17">#REF!</definedName>
    <definedName name="Request0506" localSheetId="18">#REF!</definedName>
    <definedName name="Request0506" localSheetId="19">#REF!</definedName>
    <definedName name="Request0506" localSheetId="20">#REF!</definedName>
    <definedName name="Request0506">#REF!</definedName>
    <definedName name="resiprop">#REF!</definedName>
    <definedName name="result">'Template names'!$B$36</definedName>
    <definedName name="rmcRED06" localSheetId="3">#REF!</definedName>
    <definedName name="rmcRED06" localSheetId="17">#REF!</definedName>
    <definedName name="rmcRED06" localSheetId="18">#REF!</definedName>
    <definedName name="rmcRED06" localSheetId="19">#REF!</definedName>
    <definedName name="rmcRED06" localSheetId="20">#REF!</definedName>
    <definedName name="rmcRED06">#REF!</definedName>
    <definedName name="rmcred07" localSheetId="3">#REF!</definedName>
    <definedName name="rmcred07" localSheetId="17">#REF!</definedName>
    <definedName name="rmcred07" localSheetId="18">#REF!</definedName>
    <definedName name="rmcred07" localSheetId="19">#REF!</definedName>
    <definedName name="rmcred07" localSheetId="20">#REF!</definedName>
    <definedName name="rmcred07">#REF!</definedName>
    <definedName name="roundfactor" localSheetId="3">#REF!</definedName>
    <definedName name="roundfactor" localSheetId="17">#REF!</definedName>
    <definedName name="roundfactor" localSheetId="18">#REF!</definedName>
    <definedName name="roundfactor" localSheetId="19">#REF!</definedName>
    <definedName name="roundfactor" localSheetId="20">#REF!</definedName>
    <definedName name="roundfactor">#REF!</definedName>
    <definedName name="S71A" localSheetId="3">'[1]Template names'!#REF!</definedName>
    <definedName name="S71A" localSheetId="17">'Template names'!#REF!</definedName>
    <definedName name="S71A" localSheetId="18">'Template names'!#REF!</definedName>
    <definedName name="S71A" localSheetId="19">'Template names'!#REF!</definedName>
    <definedName name="S71A" localSheetId="20">'Template names'!#REF!</definedName>
    <definedName name="S71A">'Template names'!#REF!</definedName>
    <definedName name="S71B" localSheetId="3">'[1]Template names'!#REF!</definedName>
    <definedName name="S71B" localSheetId="17">'Template names'!#REF!</definedName>
    <definedName name="S71B" localSheetId="18">'Template names'!#REF!</definedName>
    <definedName name="S71B" localSheetId="19">'Template names'!#REF!</definedName>
    <definedName name="S71B" localSheetId="20">'Template names'!#REF!</definedName>
    <definedName name="S71B">'Template names'!#REF!</definedName>
    <definedName name="s71B8" localSheetId="3">'[1]Template names'!#REF!</definedName>
    <definedName name="s71B8" localSheetId="17">'Template names'!#REF!</definedName>
    <definedName name="s71B8" localSheetId="18">'Template names'!#REF!</definedName>
    <definedName name="s71B8" localSheetId="19">'Template names'!#REF!</definedName>
    <definedName name="s71B8" localSheetId="20">'Template names'!#REF!</definedName>
    <definedName name="s71B8">'Template names'!#REF!</definedName>
    <definedName name="s71B9" localSheetId="3">'[1]Template names'!#REF!</definedName>
    <definedName name="s71B9" localSheetId="17">'Template names'!#REF!</definedName>
    <definedName name="s71B9" localSheetId="18">'Template names'!#REF!</definedName>
    <definedName name="s71B9" localSheetId="19">'Template names'!#REF!</definedName>
    <definedName name="s71B9" localSheetId="20">'Template names'!#REF!</definedName>
    <definedName name="s71B9">'Template names'!#REF!</definedName>
    <definedName name="S71C" localSheetId="3">'[1]Template names'!#REF!</definedName>
    <definedName name="S71C" localSheetId="17">'Template names'!#REF!</definedName>
    <definedName name="S71C" localSheetId="18">'Template names'!#REF!</definedName>
    <definedName name="S71C" localSheetId="19">'Template names'!#REF!</definedName>
    <definedName name="S71C" localSheetId="20">'Template names'!#REF!</definedName>
    <definedName name="S71C">'Template names'!#REF!</definedName>
    <definedName name="S71D" localSheetId="3">'[1]Template names'!#REF!</definedName>
    <definedName name="S71D" localSheetId="17">'Template names'!#REF!</definedName>
    <definedName name="S71D" localSheetId="18">'Template names'!#REF!</definedName>
    <definedName name="S71D" localSheetId="19">'Template names'!#REF!</definedName>
    <definedName name="S71D" localSheetId="20">'Template names'!#REF!</definedName>
    <definedName name="S71D">'Template names'!#REF!</definedName>
    <definedName name="S71E" localSheetId="3">'[1]Template names'!#REF!</definedName>
    <definedName name="S71E" localSheetId="17">'Template names'!#REF!</definedName>
    <definedName name="S71E" localSheetId="18">'Template names'!#REF!</definedName>
    <definedName name="S71E" localSheetId="19">'Template names'!#REF!</definedName>
    <definedName name="S71E" localSheetId="20">'Template names'!#REF!</definedName>
    <definedName name="S71E">'Template names'!#REF!</definedName>
    <definedName name="S71F" localSheetId="3">'[1]Template names'!#REF!</definedName>
    <definedName name="S71F" localSheetId="17">'Template names'!#REF!</definedName>
    <definedName name="S71F" localSheetId="18">'Template names'!#REF!</definedName>
    <definedName name="S71F" localSheetId="19">'Template names'!#REF!</definedName>
    <definedName name="S71F" localSheetId="20">'Template names'!#REF!</definedName>
    <definedName name="S71F">'Template names'!#REF!</definedName>
    <definedName name="S71G" localSheetId="3">'[1]Template names'!#REF!</definedName>
    <definedName name="S71G" localSheetId="17">'Template names'!#REF!</definedName>
    <definedName name="S71G" localSheetId="18">'Template names'!#REF!</definedName>
    <definedName name="S71G" localSheetId="19">'Template names'!#REF!</definedName>
    <definedName name="S71G" localSheetId="20">'Template names'!#REF!</definedName>
    <definedName name="S71G">'Template names'!#REF!</definedName>
    <definedName name="S71H" localSheetId="3">'[1]Template names'!#REF!</definedName>
    <definedName name="S71H" localSheetId="17">'Template names'!#REF!</definedName>
    <definedName name="S71H" localSheetId="18">'Template names'!#REF!</definedName>
    <definedName name="S71H" localSheetId="19">'Template names'!#REF!</definedName>
    <definedName name="S71H" localSheetId="20">'Template names'!#REF!</definedName>
    <definedName name="S71H">'Template names'!#REF!</definedName>
    <definedName name="S71I" localSheetId="3">'[1]Template names'!#REF!</definedName>
    <definedName name="S71I" localSheetId="17">'Template names'!#REF!</definedName>
    <definedName name="S71I" localSheetId="18">'Template names'!#REF!</definedName>
    <definedName name="S71I" localSheetId="19">'Template names'!#REF!</definedName>
    <definedName name="S71I" localSheetId="20">'Template names'!#REF!</definedName>
    <definedName name="S71I">'Template names'!#REF!</definedName>
    <definedName name="S71J" localSheetId="3">'[1]Template names'!#REF!</definedName>
    <definedName name="S71J" localSheetId="17">'Template names'!#REF!</definedName>
    <definedName name="S71J" localSheetId="18">'Template names'!#REF!</definedName>
    <definedName name="S71J" localSheetId="19">'Template names'!#REF!</definedName>
    <definedName name="S71J" localSheetId="20">'Template names'!#REF!</definedName>
    <definedName name="S71J">'Template names'!#REF!</definedName>
    <definedName name="S71K" localSheetId="3">'[1]Template names'!#REF!</definedName>
    <definedName name="S71K" localSheetId="17">'Template names'!#REF!</definedName>
    <definedName name="S71K" localSheetId="18">'Template names'!#REF!</definedName>
    <definedName name="S71K" localSheetId="19">'Template names'!#REF!</definedName>
    <definedName name="S71K" localSheetId="20">'Template names'!#REF!</definedName>
    <definedName name="S71K">'Template names'!#REF!</definedName>
    <definedName name="S71L" localSheetId="3">'[1]Template names'!#REF!</definedName>
    <definedName name="S71L" localSheetId="17">'Template names'!#REF!</definedName>
    <definedName name="S71L" localSheetId="18">'Template names'!#REF!</definedName>
    <definedName name="S71L" localSheetId="19">'Template names'!#REF!</definedName>
    <definedName name="S71L" localSheetId="20">'Template names'!#REF!</definedName>
    <definedName name="S71L">'Template names'!#REF!</definedName>
    <definedName name="S71M" localSheetId="3">'[1]Template names'!#REF!</definedName>
    <definedName name="S71M" localSheetId="17">'Template names'!#REF!</definedName>
    <definedName name="S71M" localSheetId="18">'Template names'!#REF!</definedName>
    <definedName name="S71M" localSheetId="19">'Template names'!#REF!</definedName>
    <definedName name="S71M" localSheetId="20">'Template names'!#REF!</definedName>
    <definedName name="S71M">'Template names'!#REF!</definedName>
    <definedName name="S71N" localSheetId="3">'[1]Template names'!#REF!</definedName>
    <definedName name="S71N" localSheetId="17">'Template names'!#REF!</definedName>
    <definedName name="S71N" localSheetId="18">'Template names'!#REF!</definedName>
    <definedName name="S71N" localSheetId="19">'Template names'!#REF!</definedName>
    <definedName name="S71N" localSheetId="20">'Template names'!#REF!</definedName>
    <definedName name="S71N">'Template names'!#REF!</definedName>
    <definedName name="S71O" localSheetId="3">'[1]Template names'!#REF!</definedName>
    <definedName name="S71O" localSheetId="17">'Template names'!#REF!</definedName>
    <definedName name="S71O" localSheetId="18">'Template names'!#REF!</definedName>
    <definedName name="S71O" localSheetId="19">'Template names'!#REF!</definedName>
    <definedName name="S71O" localSheetId="20">'Template names'!#REF!</definedName>
    <definedName name="S71O">'Template names'!#REF!</definedName>
    <definedName name="S71P" localSheetId="3">'[1]Template names'!#REF!</definedName>
    <definedName name="S71P" localSheetId="17">'Template names'!#REF!</definedName>
    <definedName name="S71P" localSheetId="18">'Template names'!#REF!</definedName>
    <definedName name="S71P" localSheetId="19">'Template names'!#REF!</definedName>
    <definedName name="S71P" localSheetId="20">'Template names'!#REF!</definedName>
    <definedName name="S71P">'Template names'!#REF!</definedName>
    <definedName name="S71Q" localSheetId="3">'[1]Template names'!#REF!</definedName>
    <definedName name="S71Q" localSheetId="17">'Template names'!#REF!</definedName>
    <definedName name="S71Q" localSheetId="18">'Template names'!#REF!</definedName>
    <definedName name="S71Q" localSheetId="19">'Template names'!#REF!</definedName>
    <definedName name="S71Q" localSheetId="20">'Template names'!#REF!</definedName>
    <definedName name="S71Q">'Template names'!#REF!</definedName>
    <definedName name="S71SDBIP" localSheetId="3">'[1]Template names'!#REF!</definedName>
    <definedName name="S71SDBIP" localSheetId="17">'Template names'!#REF!</definedName>
    <definedName name="S71SDBIP" localSheetId="18">'Template names'!#REF!</definedName>
    <definedName name="S71SDBIP" localSheetId="19">'Template names'!#REF!</definedName>
    <definedName name="S71SDBIP" localSheetId="20">'Template names'!#REF!</definedName>
    <definedName name="S71SDBIP">'Template names'!#REF!</definedName>
    <definedName name="s71sum" localSheetId="3">'[1]Template names'!#REF!</definedName>
    <definedName name="s71sum" localSheetId="17">'Template names'!#REF!</definedName>
    <definedName name="s71sum" localSheetId="18">'Template names'!#REF!</definedName>
    <definedName name="s71sum" localSheetId="19">'Template names'!#REF!</definedName>
    <definedName name="s71sum" localSheetId="20">'Template names'!#REF!</definedName>
    <definedName name="s71sum">'Template names'!#REF!</definedName>
    <definedName name="Scale" localSheetId="17">'Template names'!#REF!</definedName>
    <definedName name="Scale" localSheetId="18">'Template names'!#REF!</definedName>
    <definedName name="Scale" localSheetId="19">'Template names'!#REF!</definedName>
    <definedName name="Scale" localSheetId="20">'Template names'!#REF!</definedName>
    <definedName name="Scale">'Template names'!#REF!</definedName>
    <definedName name="scenario" localSheetId="3">#REF!</definedName>
    <definedName name="scenario" localSheetId="17">#REF!</definedName>
    <definedName name="scenario" localSheetId="18">#REF!</definedName>
    <definedName name="scenario" localSheetId="19">#REF!</definedName>
    <definedName name="scenario" localSheetId="20">#REF!</definedName>
    <definedName name="scenario">#REF!</definedName>
    <definedName name="Sch1a" localSheetId="17">'Template names'!#REF!</definedName>
    <definedName name="Sch1a" localSheetId="18">'Template names'!#REF!</definedName>
    <definedName name="Sch1a" localSheetId="19">'Template names'!#REF!</definedName>
    <definedName name="Sch1a" localSheetId="20">'Template names'!#REF!</definedName>
    <definedName name="Sch1a">'Template names'!#REF!</definedName>
    <definedName name="Sch2N" localSheetId="17">'Template names'!#REF!</definedName>
    <definedName name="Sch2N" localSheetId="18">'Template names'!#REF!</definedName>
    <definedName name="Sch2N" localSheetId="19">'Template names'!#REF!</definedName>
    <definedName name="Sch2N" localSheetId="20">'Template names'!#REF!</definedName>
    <definedName name="Sch2N">'Template names'!#REF!</definedName>
    <definedName name="Sch5N" localSheetId="17">'Template names'!#REF!</definedName>
    <definedName name="Sch5N" localSheetId="18">'Template names'!#REF!</definedName>
    <definedName name="Sch5N" localSheetId="19">'Template names'!#REF!</definedName>
    <definedName name="Sch5N" localSheetId="20">'Template names'!#REF!</definedName>
    <definedName name="Sch5N">'Template names'!#REF!</definedName>
    <definedName name="Sch7N" localSheetId="17">'Template names'!#REF!</definedName>
    <definedName name="Sch7N" localSheetId="18">'Template names'!#REF!</definedName>
    <definedName name="Sch7N" localSheetId="19">'Template names'!#REF!</definedName>
    <definedName name="Sch7N" localSheetId="20">'Template names'!#REF!</definedName>
    <definedName name="Sch7N">'Template names'!#REF!</definedName>
    <definedName name="SDBIP1" localSheetId="3">'[1]Template names'!#REF!</definedName>
    <definedName name="SDBIP1" localSheetId="17">'Template names'!#REF!</definedName>
    <definedName name="SDBIP1" localSheetId="18">'Template names'!#REF!</definedName>
    <definedName name="SDBIP1" localSheetId="19">'Template names'!#REF!</definedName>
    <definedName name="SDBIP1" localSheetId="20">'Template names'!#REF!</definedName>
    <definedName name="SDBIP1">'Template names'!#REF!</definedName>
    <definedName name="SDBIP10" localSheetId="3">'[1]Template names'!#REF!</definedName>
    <definedName name="SDBIP10" localSheetId="17">'Template names'!#REF!</definedName>
    <definedName name="SDBIP10" localSheetId="18">'Template names'!#REF!</definedName>
    <definedName name="SDBIP10" localSheetId="19">'Template names'!#REF!</definedName>
    <definedName name="SDBIP10" localSheetId="20">'Template names'!#REF!</definedName>
    <definedName name="SDBIP10">'Template names'!#REF!</definedName>
    <definedName name="SDBIP2" localSheetId="3">'[1]Template names'!#REF!</definedName>
    <definedName name="SDBIP2" localSheetId="17">'Template names'!#REF!</definedName>
    <definedName name="SDBIP2" localSheetId="18">'Template names'!#REF!</definedName>
    <definedName name="SDBIP2" localSheetId="19">'Template names'!#REF!</definedName>
    <definedName name="SDBIP2" localSheetId="20">'Template names'!#REF!</definedName>
    <definedName name="SDBIP2">'Template names'!#REF!</definedName>
    <definedName name="SDBIP3" localSheetId="3">'[1]Template names'!#REF!</definedName>
    <definedName name="SDBIP3" localSheetId="17">'Template names'!#REF!</definedName>
    <definedName name="SDBIP3" localSheetId="18">'Template names'!#REF!</definedName>
    <definedName name="SDBIP3" localSheetId="19">'Template names'!#REF!</definedName>
    <definedName name="SDBIP3" localSheetId="20">'Template names'!#REF!</definedName>
    <definedName name="SDBIP3">'Template names'!#REF!</definedName>
    <definedName name="SDBIP4" localSheetId="3">'[1]Template names'!#REF!</definedName>
    <definedName name="SDBIP4" localSheetId="17">'Template names'!#REF!</definedName>
    <definedName name="SDBIP4" localSheetId="18">'Template names'!#REF!</definedName>
    <definedName name="SDBIP4" localSheetId="19">'Template names'!#REF!</definedName>
    <definedName name="SDBIP4" localSheetId="20">'Template names'!#REF!</definedName>
    <definedName name="SDBIP4">'Template names'!#REF!</definedName>
    <definedName name="SDBIP8" localSheetId="3">'[1]Template names'!#REF!</definedName>
    <definedName name="SDBIP8" localSheetId="17">'Template names'!#REF!</definedName>
    <definedName name="SDBIP8" localSheetId="18">'Template names'!#REF!</definedName>
    <definedName name="SDBIP8" localSheetId="19">'Template names'!#REF!</definedName>
    <definedName name="SDBIP8" localSheetId="20">'Template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7">'Template names'!#REF!</definedName>
    <definedName name="TabC19" localSheetId="18">'Template names'!#REF!</definedName>
    <definedName name="TabC19" localSheetId="19">'Template names'!#REF!</definedName>
    <definedName name="TabC19" localSheetId="20">'Template names'!#REF!</definedName>
    <definedName name="TabC19">'Template names'!#REF!</definedName>
    <definedName name="TabC3" localSheetId="3">'[1]Template names'!#REF!</definedName>
    <definedName name="TabC3" localSheetId="17">'Template names'!#REF!</definedName>
    <definedName name="TabC3" localSheetId="18">'Template names'!#REF!</definedName>
    <definedName name="TabC3" localSheetId="19">'Template names'!#REF!</definedName>
    <definedName name="TabC3" localSheetId="20">'Template names'!#REF!</definedName>
    <definedName name="TabC3">'Template names'!#REF!</definedName>
    <definedName name="TabC4" localSheetId="3">'[1]Template names'!#REF!</definedName>
    <definedName name="TabC4" localSheetId="17">'Template names'!#REF!</definedName>
    <definedName name="TabC4" localSheetId="18">'Template names'!#REF!</definedName>
    <definedName name="TabC4" localSheetId="19">'Template names'!#REF!</definedName>
    <definedName name="TabC4" localSheetId="20">'Template names'!#REF!</definedName>
    <definedName name="TabC4">'Template names'!#REF!</definedName>
    <definedName name="TabC5" localSheetId="3">'[1]Template names'!#REF!</definedName>
    <definedName name="TabC5" localSheetId="17">'Template names'!#REF!</definedName>
    <definedName name="TabC5" localSheetId="18">'Template names'!#REF!</definedName>
    <definedName name="TabC5" localSheetId="19">'Template names'!#REF!</definedName>
    <definedName name="TabC5" localSheetId="20">'Template names'!#REF!</definedName>
    <definedName name="TabC5">'Template names'!#REF!</definedName>
    <definedName name="TabC6" localSheetId="3">'[1]Template names'!#REF!</definedName>
    <definedName name="TabC6" localSheetId="17">'Template names'!#REF!</definedName>
    <definedName name="TabC6" localSheetId="18">'Template names'!#REF!</definedName>
    <definedName name="TabC6" localSheetId="19">'Template names'!#REF!</definedName>
    <definedName name="TabC6" localSheetId="20">'Template names'!#REF!</definedName>
    <definedName name="TabC6">'Template names'!#REF!</definedName>
    <definedName name="Tabc7" localSheetId="3">'[1]Template names'!#REF!</definedName>
    <definedName name="Tabc7" localSheetId="17">'Template names'!#REF!</definedName>
    <definedName name="Tabc7" localSheetId="18">'Template names'!#REF!</definedName>
    <definedName name="Tabc7" localSheetId="19">'Template names'!#REF!</definedName>
    <definedName name="Tabc7" localSheetId="20">'Template names'!#REF!</definedName>
    <definedName name="Tabc7">'Template names'!#REF!</definedName>
    <definedName name="Tabc8" localSheetId="3">'[1]Template names'!#REF!</definedName>
    <definedName name="Tabc8" localSheetId="17">'Template names'!#REF!</definedName>
    <definedName name="Tabc8" localSheetId="18">'Template names'!#REF!</definedName>
    <definedName name="Tabc8" localSheetId="19">'Template names'!#REF!</definedName>
    <definedName name="Tabc8" localSheetId="20">'Template names'!#REF!</definedName>
    <definedName name="Tabc8">'Template names'!#REF!</definedName>
    <definedName name="Tabc9" localSheetId="3">'[1]Template names'!#REF!</definedName>
    <definedName name="Tabc9" localSheetId="17">'Template names'!#REF!</definedName>
    <definedName name="Tabc9" localSheetId="18">'Template names'!#REF!</definedName>
    <definedName name="Tabc9" localSheetId="19">'Template names'!#REF!</definedName>
    <definedName name="Tabc9" localSheetId="20">'Template names'!#REF!</definedName>
    <definedName name="Tabc9">'Template names'!#REF!</definedName>
    <definedName name="Tablc8" localSheetId="3">'[1]Template names'!#REF!</definedName>
    <definedName name="Tablc8" localSheetId="17">'Template names'!#REF!</definedName>
    <definedName name="Tablc8" localSheetId="18">'Template names'!#REF!</definedName>
    <definedName name="Tablc8" localSheetId="19">'Template names'!#REF!</definedName>
    <definedName name="Tablc8" localSheetId="20">'Template names'!#REF!</definedName>
    <definedName name="Tablc8">'Template names'!#REF!</definedName>
    <definedName name="Table1" localSheetId="17">'Template names'!#REF!</definedName>
    <definedName name="Table1" localSheetId="18">'Template names'!#REF!</definedName>
    <definedName name="Table1" localSheetId="19">'Template names'!#REF!</definedName>
    <definedName name="Table1" localSheetId="20">'Template names'!#REF!</definedName>
    <definedName name="Table1">'Template names'!#REF!</definedName>
    <definedName name="Table10" localSheetId="17">'Template names'!#REF!</definedName>
    <definedName name="Table10" localSheetId="18">'Template names'!#REF!</definedName>
    <definedName name="Table10" localSheetId="19">'Template names'!#REF!</definedName>
    <definedName name="Table10" localSheetId="20">'Template names'!#REF!</definedName>
    <definedName name="Table10">'Template names'!#REF!</definedName>
    <definedName name="Table11" localSheetId="17">'Template names'!#REF!</definedName>
    <definedName name="Table11" localSheetId="18">'Template names'!#REF!</definedName>
    <definedName name="Table11" localSheetId="19">'Template names'!#REF!</definedName>
    <definedName name="Table11" localSheetId="20">'Template names'!#REF!</definedName>
    <definedName name="Table11">'Template names'!#REF!</definedName>
    <definedName name="Table12" localSheetId="17">'Template names'!#REF!</definedName>
    <definedName name="Table12" localSheetId="18">'Template names'!#REF!</definedName>
    <definedName name="Table12" localSheetId="19">'Template names'!#REF!</definedName>
    <definedName name="Table12" localSheetId="20">'Template names'!#REF!</definedName>
    <definedName name="Table12">'Template names'!#REF!</definedName>
    <definedName name="Table13" localSheetId="17">'Template names'!#REF!</definedName>
    <definedName name="Table13" localSheetId="18">'Template names'!#REF!</definedName>
    <definedName name="Table13" localSheetId="19">'Template names'!#REF!</definedName>
    <definedName name="Table13" localSheetId="20">'Template names'!#REF!</definedName>
    <definedName name="Table13">'Template names'!#REF!</definedName>
    <definedName name="Table14" localSheetId="17">'Template names'!#REF!</definedName>
    <definedName name="Table14" localSheetId="18">'Template names'!#REF!</definedName>
    <definedName name="Table14" localSheetId="19">'Template names'!#REF!</definedName>
    <definedName name="Table14" localSheetId="20">'Template names'!#REF!</definedName>
    <definedName name="Table14">'Template names'!#REF!</definedName>
    <definedName name="Table14A" localSheetId="17">'Template names'!#REF!</definedName>
    <definedName name="Table14A" localSheetId="18">'Template names'!#REF!</definedName>
    <definedName name="Table14A" localSheetId="19">'Template names'!#REF!</definedName>
    <definedName name="Table14A" localSheetId="20">'Template names'!#REF!</definedName>
    <definedName name="Table14A">'Template names'!#REF!</definedName>
    <definedName name="Table14B" localSheetId="17">'Template names'!#REF!</definedName>
    <definedName name="Table14B" localSheetId="18">'Template names'!#REF!</definedName>
    <definedName name="Table14B" localSheetId="19">'Template names'!#REF!</definedName>
    <definedName name="Table14B" localSheetId="20">'Template names'!#REF!</definedName>
    <definedName name="Table14B">'Template names'!#REF!</definedName>
    <definedName name="Table15" localSheetId="17">'Template names'!#REF!</definedName>
    <definedName name="Table15" localSheetId="18">'Template names'!#REF!</definedName>
    <definedName name="Table15" localSheetId="19">'Template names'!#REF!</definedName>
    <definedName name="Table15" localSheetId="20">'Template names'!#REF!</definedName>
    <definedName name="Table15">'Template names'!#REF!</definedName>
    <definedName name="Table15A" localSheetId="17">'Template names'!#REF!</definedName>
    <definedName name="Table15A" localSheetId="18">'Template names'!#REF!</definedName>
    <definedName name="Table15A" localSheetId="19">'Template names'!#REF!</definedName>
    <definedName name="Table15A" localSheetId="20">'Template names'!#REF!</definedName>
    <definedName name="Table15A">'Template names'!#REF!</definedName>
    <definedName name="Table15New" localSheetId="17">'Template names'!#REF!</definedName>
    <definedName name="Table15New" localSheetId="18">'Template names'!#REF!</definedName>
    <definedName name="Table15New" localSheetId="19">'Template names'!#REF!</definedName>
    <definedName name="Table15New" localSheetId="20">'Template names'!#REF!</definedName>
    <definedName name="Table15New">'Template names'!#REF!</definedName>
    <definedName name="Table16" localSheetId="17">'Template names'!#REF!</definedName>
    <definedName name="Table16" localSheetId="18">'Template names'!#REF!</definedName>
    <definedName name="Table16" localSheetId="19">'Template names'!#REF!</definedName>
    <definedName name="Table16" localSheetId="20">'Template names'!#REF!</definedName>
    <definedName name="Table16">'Template names'!#REF!</definedName>
    <definedName name="Table17" localSheetId="17">'Template names'!#REF!</definedName>
    <definedName name="Table17" localSheetId="18">'Template names'!#REF!</definedName>
    <definedName name="Table17" localSheetId="19">'Template names'!#REF!</definedName>
    <definedName name="Table17" localSheetId="20">'Template names'!#REF!</definedName>
    <definedName name="Table17">'Template names'!#REF!</definedName>
    <definedName name="Table18" localSheetId="17">'Template names'!#REF!</definedName>
    <definedName name="Table18" localSheetId="18">'Template names'!#REF!</definedName>
    <definedName name="Table18" localSheetId="19">'Template names'!#REF!</definedName>
    <definedName name="Table18" localSheetId="20">'Template names'!#REF!</definedName>
    <definedName name="Table18">'Template names'!#REF!</definedName>
    <definedName name="Table19" localSheetId="17">'Template names'!#REF!</definedName>
    <definedName name="Table19" localSheetId="18">'Template names'!#REF!</definedName>
    <definedName name="Table19" localSheetId="19">'Template names'!#REF!</definedName>
    <definedName name="Table19" localSheetId="20">'Template names'!#REF!</definedName>
    <definedName name="Table19">'Template names'!#REF!</definedName>
    <definedName name="Table2" localSheetId="17">'Template names'!#REF!</definedName>
    <definedName name="Table2" localSheetId="18">'Template names'!#REF!</definedName>
    <definedName name="Table2" localSheetId="19">'Template names'!#REF!</definedName>
    <definedName name="Table2" localSheetId="20">'Template names'!#REF!</definedName>
    <definedName name="Table2">'Template names'!#REF!</definedName>
    <definedName name="Table20" localSheetId="17">'Template names'!#REF!</definedName>
    <definedName name="Table20" localSheetId="18">'Template names'!#REF!</definedName>
    <definedName name="Table20" localSheetId="19">'Template names'!#REF!</definedName>
    <definedName name="Table20" localSheetId="20">'Template names'!#REF!</definedName>
    <definedName name="Table20">'Template names'!#REF!</definedName>
    <definedName name="Table21" localSheetId="17">'Template names'!#REF!</definedName>
    <definedName name="Table21" localSheetId="18">'Template names'!#REF!</definedName>
    <definedName name="Table21" localSheetId="19">'Template names'!#REF!</definedName>
    <definedName name="Table21" localSheetId="20">'Template names'!#REF!</definedName>
    <definedName name="Table21">'Template names'!#REF!</definedName>
    <definedName name="Table22" localSheetId="17">'Template names'!#REF!</definedName>
    <definedName name="Table22" localSheetId="18">'Template names'!#REF!</definedName>
    <definedName name="Table22" localSheetId="19">'Template names'!#REF!</definedName>
    <definedName name="Table22" localSheetId="20">'Template names'!#REF!</definedName>
    <definedName name="Table22">'Template names'!#REF!</definedName>
    <definedName name="Table23" localSheetId="17">'Template names'!#REF!</definedName>
    <definedName name="Table23" localSheetId="18">'Template names'!#REF!</definedName>
    <definedName name="Table23" localSheetId="19">'Template names'!#REF!</definedName>
    <definedName name="Table23" localSheetId="20">'Template names'!#REF!</definedName>
    <definedName name="Table23">'Template names'!#REF!</definedName>
    <definedName name="Table24">'Template names'!$B$90</definedName>
    <definedName name="Table24A" localSheetId="17">'Template names'!#REF!</definedName>
    <definedName name="Table24A" localSheetId="18">'Template names'!#REF!</definedName>
    <definedName name="Table24A" localSheetId="19">'Template names'!#REF!</definedName>
    <definedName name="Table24A" localSheetId="20">'Template names'!#REF!</definedName>
    <definedName name="Table24A">'Template names'!#REF!</definedName>
    <definedName name="Table25" localSheetId="17">'Template names'!#REF!</definedName>
    <definedName name="Table25" localSheetId="18">'Template names'!#REF!</definedName>
    <definedName name="Table25" localSheetId="19">'Template names'!#REF!</definedName>
    <definedName name="Table25" localSheetId="20">'Template names'!#REF!</definedName>
    <definedName name="Table25">'Template names'!#REF!</definedName>
    <definedName name="Table26" localSheetId="17">'Template names'!#REF!</definedName>
    <definedName name="Table26" localSheetId="18">'Template names'!#REF!</definedName>
    <definedName name="Table26" localSheetId="19">'Template names'!#REF!</definedName>
    <definedName name="Table26" localSheetId="20">'Template names'!#REF!</definedName>
    <definedName name="Table26">'Template names'!#REF!</definedName>
    <definedName name="Table27" localSheetId="17">'Template names'!#REF!</definedName>
    <definedName name="Table27" localSheetId="18">'Template names'!#REF!</definedName>
    <definedName name="Table27" localSheetId="19">'Template names'!#REF!</definedName>
    <definedName name="Table27" localSheetId="20">'Template names'!#REF!</definedName>
    <definedName name="Table27">'Template names'!#REF!</definedName>
    <definedName name="Table28" localSheetId="17">'Template names'!#REF!</definedName>
    <definedName name="Table28" localSheetId="18">'Template names'!#REF!</definedName>
    <definedName name="Table28" localSheetId="19">'Template names'!#REF!</definedName>
    <definedName name="Table28" localSheetId="20">'Template names'!#REF!</definedName>
    <definedName name="Table28">'Template names'!#REF!</definedName>
    <definedName name="Table29" localSheetId="17">'Template names'!#REF!</definedName>
    <definedName name="Table29" localSheetId="18">'Template names'!#REF!</definedName>
    <definedName name="Table29" localSheetId="19">'Template names'!#REF!</definedName>
    <definedName name="Table29" localSheetId="20">'Template names'!#REF!</definedName>
    <definedName name="Table29">'Template names'!#REF!</definedName>
    <definedName name="Table3" localSheetId="17">'Template names'!#REF!</definedName>
    <definedName name="Table3" localSheetId="18">'Template names'!#REF!</definedName>
    <definedName name="Table3" localSheetId="19">'Template names'!#REF!</definedName>
    <definedName name="Table3" localSheetId="20">'Template names'!#REF!</definedName>
    <definedName name="Table3">'Template names'!#REF!</definedName>
    <definedName name="Table30" localSheetId="17">'Template names'!#REF!</definedName>
    <definedName name="Table30" localSheetId="18">'Template names'!#REF!</definedName>
    <definedName name="Table30" localSheetId="19">'Template names'!#REF!</definedName>
    <definedName name="Table30" localSheetId="20">'Template names'!#REF!</definedName>
    <definedName name="Table30">'Template names'!#REF!</definedName>
    <definedName name="Table31" localSheetId="17">'Template names'!#REF!</definedName>
    <definedName name="Table31" localSheetId="18">'Template names'!#REF!</definedName>
    <definedName name="Table31" localSheetId="19">'Template names'!#REF!</definedName>
    <definedName name="Table31" localSheetId="20">'Template names'!#REF!</definedName>
    <definedName name="Table31">'Template names'!#REF!</definedName>
    <definedName name="Table32" localSheetId="17">'Template names'!#REF!</definedName>
    <definedName name="Table32" localSheetId="18">'Template names'!#REF!</definedName>
    <definedName name="Table32" localSheetId="19">'Template names'!#REF!</definedName>
    <definedName name="Table32" localSheetId="20">'Template names'!#REF!</definedName>
    <definedName name="Table32">'Template names'!#REF!</definedName>
    <definedName name="Table33" localSheetId="17">'Template names'!#REF!</definedName>
    <definedName name="Table33" localSheetId="18">'Template names'!#REF!</definedName>
    <definedName name="Table33" localSheetId="19">'Template names'!#REF!</definedName>
    <definedName name="Table33" localSheetId="20">'Template names'!#REF!</definedName>
    <definedName name="Table33">'Template names'!#REF!</definedName>
    <definedName name="Table4" localSheetId="17">'Template names'!#REF!</definedName>
    <definedName name="Table4" localSheetId="18">'Template names'!#REF!</definedName>
    <definedName name="Table4" localSheetId="19">'Template names'!#REF!</definedName>
    <definedName name="Table4" localSheetId="20">'Template names'!#REF!</definedName>
    <definedName name="Table4">'Template names'!#REF!</definedName>
    <definedName name="Table5" localSheetId="17">'Template names'!#REF!</definedName>
    <definedName name="Table5" localSheetId="18">'Template names'!#REF!</definedName>
    <definedName name="Table5" localSheetId="19">'Template names'!#REF!</definedName>
    <definedName name="Table5" localSheetId="20">'Template names'!#REF!</definedName>
    <definedName name="Table5">'Template names'!#REF!</definedName>
    <definedName name="Table6" localSheetId="17">'Template names'!#REF!</definedName>
    <definedName name="Table6" localSheetId="18">'Template names'!#REF!</definedName>
    <definedName name="Table6" localSheetId="19">'Template names'!#REF!</definedName>
    <definedName name="Table6" localSheetId="20">'Template names'!#REF!</definedName>
    <definedName name="Table6">'Template names'!#REF!</definedName>
    <definedName name="Table7" localSheetId="17">'Template names'!#REF!</definedName>
    <definedName name="Table7" localSheetId="18">'Template names'!#REF!</definedName>
    <definedName name="Table7" localSheetId="19">'Template names'!#REF!</definedName>
    <definedName name="Table7" localSheetId="20">'Template names'!#REF!</definedName>
    <definedName name="Table7">'Template names'!#REF!</definedName>
    <definedName name="Table8" localSheetId="17">'Template names'!#REF!</definedName>
    <definedName name="Table8" localSheetId="18">'Template names'!#REF!</definedName>
    <definedName name="Table8" localSheetId="19">'Template names'!#REF!</definedName>
    <definedName name="Table8" localSheetId="20">'Template names'!#REF!</definedName>
    <definedName name="Table8">'Template names'!#REF!</definedName>
    <definedName name="Table9" localSheetId="17">'Template names'!#REF!</definedName>
    <definedName name="Table9" localSheetId="18">'Template names'!#REF!</definedName>
    <definedName name="Table9" localSheetId="19">'Template names'!#REF!</definedName>
    <definedName name="Table9" localSheetId="20">'Template names'!#REF!</definedName>
    <definedName name="Table9">'Template names'!#REF!</definedName>
    <definedName name="TableA1">#REF!</definedName>
    <definedName name="TableA10">#REF!</definedName>
    <definedName name="TableA11">#REF!</definedName>
    <definedName name="TableA12a">#REF!</definedName>
    <definedName name="TableA12b">#REF!</definedName>
    <definedName name="TableA13a">#REF!</definedName>
    <definedName name="TableA13b">#REF!</definedName>
    <definedName name="TableA14">#REF!</definedName>
    <definedName name="TableA15">#REF!</definedName>
    <definedName name="TableA16">#REF!</definedName>
    <definedName name="TableA17">#REF!</definedName>
    <definedName name="TableA18">#REF!</definedName>
    <definedName name="TableA19">#REF!</definedName>
    <definedName name="TableA2">#REF!</definedName>
    <definedName name="TableA20">#REF!</definedName>
    <definedName name="TableA21">#REF!</definedName>
    <definedName name="TableA22">#REF!</definedName>
    <definedName name="TableA23">#REF!</definedName>
    <definedName name="TableA24">'Template names'!$B$139</definedName>
    <definedName name="TableA25">#REF!</definedName>
    <definedName name="TableA26">#REF!</definedName>
    <definedName name="TableA27">#REF!</definedName>
    <definedName name="TableA28">#REF!</definedName>
    <definedName name="TableA29">#REF!</definedName>
    <definedName name="TableA3">#REF!</definedName>
    <definedName name="TableA30">#REF!</definedName>
    <definedName name="TableA31">#REF!</definedName>
    <definedName name="TableA32">#REF!</definedName>
    <definedName name="TableA33">#REF!</definedName>
    <definedName name="TableA34a">#REF!</definedName>
    <definedName name="TableA34b">#REF!</definedName>
    <definedName name="TableA34c">#REF!</definedName>
    <definedName name="TableA34d">#REF!</definedName>
    <definedName name="TableA34e">#REF!</definedName>
    <definedName name="TableA35">#REF!</definedName>
    <definedName name="TableA36">#REF!</definedName>
    <definedName name="TableA37">#REF!</definedName>
    <definedName name="TableA38">#REF!</definedName>
    <definedName name="TableA4">#REF!</definedName>
    <definedName name="TableA5">#REF!</definedName>
    <definedName name="TableA6">#REF!</definedName>
    <definedName name="TableA7">#REF!</definedName>
    <definedName name="TableA8">#REF!</definedName>
    <definedName name="TableA9">#REF!</definedName>
    <definedName name="TableD7" localSheetId="3">'[1]Template names'!#REF!</definedName>
    <definedName name="TableD7">'Template names'!$B$97</definedName>
    <definedName name="TableD8" localSheetId="3">'[1]Template names'!#REF!</definedName>
    <definedName name="TableD8">'Template names'!$B$98</definedName>
    <definedName name="TableE4" localSheetId="3">'[1]Template names'!#REF!</definedName>
    <definedName name="TableE4" localSheetId="17">'Template names'!#REF!</definedName>
    <definedName name="TableE4" localSheetId="18">'Template names'!#REF!</definedName>
    <definedName name="TableE4" localSheetId="19">'Template names'!#REF!</definedName>
    <definedName name="TableE4" localSheetId="20">'Template names'!#REF!</definedName>
    <definedName name="TableE4">'Template names'!#REF!</definedName>
    <definedName name="TableE7" localSheetId="3">'[1]Template names'!#REF!</definedName>
    <definedName name="TableE7" localSheetId="17">'Template names'!#REF!</definedName>
    <definedName name="TableE7" localSheetId="18">'Template names'!#REF!</definedName>
    <definedName name="TableE7" localSheetId="19">'Template names'!#REF!</definedName>
    <definedName name="TableE7" localSheetId="20">'Template names'!#REF!</definedName>
    <definedName name="TableE7">'Template names'!#REF!</definedName>
    <definedName name="TableE9" localSheetId="3">'[1]Template names'!#REF!</definedName>
    <definedName name="TableE9" localSheetId="17">'Template names'!#REF!</definedName>
    <definedName name="TableE9" localSheetId="18">'Template names'!#REF!</definedName>
    <definedName name="TableE9" localSheetId="19">'Template names'!#REF!</definedName>
    <definedName name="TableE9" localSheetId="20">'Template names'!#REF!</definedName>
    <definedName name="TableE9">'Template names'!#REF!</definedName>
    <definedName name="TableF6" localSheetId="3">'[1]Template names'!#REF!</definedName>
    <definedName name="TableF6" localSheetId="17">'Template names'!#REF!</definedName>
    <definedName name="TableF6" localSheetId="18">'Template names'!#REF!</definedName>
    <definedName name="TableF6" localSheetId="19">'Template names'!#REF!</definedName>
    <definedName name="TableF6" localSheetId="20">'Template names'!#REF!</definedName>
    <definedName name="TableF6">'Template names'!#REF!</definedName>
    <definedName name="tariffdisc05" localSheetId="3">#REF!</definedName>
    <definedName name="tariffdisc05" localSheetId="17">#REF!</definedName>
    <definedName name="tariffdisc05" localSheetId="18">#REF!</definedName>
    <definedName name="tariffdisc05" localSheetId="19">#REF!</definedName>
    <definedName name="tariffdisc05" localSheetId="20">#REF!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 name="Vote">'[5]Org structure'!$A$2:$A$16</definedName>
    <definedName name="Vote1">'[5]Org structure'!$D$3:$D$12</definedName>
    <definedName name="Vote10">'[5]Org structure'!$D$102:$D$111</definedName>
    <definedName name="Vote11">'[5]Org structure'!$D$113:$D$122</definedName>
    <definedName name="Vote12">'[5]Org structure'!$D$124:$D$133</definedName>
    <definedName name="Vote13">'[5]Org structure'!$D$135:$D$144</definedName>
    <definedName name="Vote14">'[5]Org structure'!$D$146:$D$155</definedName>
    <definedName name="Vote15">'[5]Org structure'!$D$157:$D$166</definedName>
    <definedName name="Vote2">'[5]Org structure'!$D$14:$D$23</definedName>
    <definedName name="Vote3">'[5]Org structure'!$D$25:$D$34</definedName>
    <definedName name="Vote4">'[5]Org structure'!$D$36:$D$45</definedName>
    <definedName name="Vote5">'[5]Org structure'!$D$47:$D$56</definedName>
    <definedName name="Vote6">'[5]Org structure'!$D$58:$D$67</definedName>
    <definedName name="Vote7">'[5]Org structure'!$D$69:$D$78</definedName>
    <definedName name="Vote8">'[5]Org structure'!$D$80:$D$89</definedName>
    <definedName name="Vote9">'[5]Org structure'!$D$91:$D$100</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65" l="1"/>
  <c r="N213" i="204" l="1"/>
  <c r="J56" i="201"/>
  <c r="K56" i="201"/>
  <c r="I56" i="201"/>
  <c r="N221" i="204"/>
  <c r="O19" i="204" l="1"/>
  <c r="P19" i="204"/>
  <c r="N19" i="204"/>
  <c r="N16" i="204"/>
  <c r="N7" i="204"/>
  <c r="M10" i="204"/>
  <c r="O59" i="329" l="1"/>
  <c r="P59" i="329"/>
  <c r="Q59" i="329"/>
  <c r="N59" i="329"/>
  <c r="I24" i="333" l="1"/>
  <c r="H24" i="333"/>
  <c r="G24" i="333"/>
  <c r="F24" i="333"/>
  <c r="E24" i="333"/>
  <c r="D24" i="333"/>
  <c r="C24" i="333"/>
  <c r="B24" i="333"/>
  <c r="I23" i="333"/>
  <c r="H23" i="333"/>
  <c r="G23" i="333"/>
  <c r="F23" i="333"/>
  <c r="E23" i="333"/>
  <c r="D23" i="333"/>
  <c r="C23" i="333"/>
  <c r="B23" i="333"/>
  <c r="I22" i="333"/>
  <c r="H22" i="333"/>
  <c r="G22" i="333"/>
  <c r="F22" i="333"/>
  <c r="E22" i="333"/>
  <c r="D22" i="333"/>
  <c r="C22" i="333"/>
  <c r="B22" i="333"/>
  <c r="I21" i="333"/>
  <c r="H21" i="333"/>
  <c r="G21" i="333"/>
  <c r="F21" i="333"/>
  <c r="E21" i="333"/>
  <c r="D21" i="333"/>
  <c r="C21" i="333"/>
  <c r="B21" i="333"/>
  <c r="I20" i="333"/>
  <c r="H20" i="333"/>
  <c r="G20" i="333"/>
  <c r="F20" i="333"/>
  <c r="E20" i="333"/>
  <c r="D20" i="333"/>
  <c r="C20" i="333"/>
  <c r="B20" i="333"/>
  <c r="I19" i="333"/>
  <c r="H19" i="333"/>
  <c r="G19" i="333"/>
  <c r="F19" i="333"/>
  <c r="E19" i="333"/>
  <c r="D19" i="333"/>
  <c r="C19" i="333"/>
  <c r="B19" i="333"/>
  <c r="I18" i="333"/>
  <c r="H18" i="333"/>
  <c r="G18" i="333"/>
  <c r="F18" i="333"/>
  <c r="E18" i="333"/>
  <c r="D18" i="333"/>
  <c r="C18" i="333"/>
  <c r="B18" i="333"/>
  <c r="I17" i="333"/>
  <c r="H17" i="333"/>
  <c r="G17" i="333"/>
  <c r="F17" i="333"/>
  <c r="E17" i="333"/>
  <c r="D17" i="333"/>
  <c r="C17" i="333"/>
  <c r="B17" i="333"/>
  <c r="I16" i="333"/>
  <c r="H16" i="333"/>
  <c r="G16" i="333"/>
  <c r="F16" i="333"/>
  <c r="E16" i="333"/>
  <c r="D16" i="333"/>
  <c r="C16" i="333"/>
  <c r="B16" i="333"/>
  <c r="I15" i="333"/>
  <c r="H15" i="333"/>
  <c r="G15" i="333"/>
  <c r="F15" i="333"/>
  <c r="E15" i="333"/>
  <c r="D15" i="333"/>
  <c r="C15" i="333"/>
  <c r="B15" i="333"/>
  <c r="I14" i="333"/>
  <c r="H14" i="333"/>
  <c r="G14" i="333"/>
  <c r="F14" i="333"/>
  <c r="E14" i="333"/>
  <c r="D14" i="333"/>
  <c r="C14" i="333"/>
  <c r="B14" i="333"/>
  <c r="I13" i="333"/>
  <c r="H13" i="333"/>
  <c r="G13" i="333"/>
  <c r="F13" i="333"/>
  <c r="E13" i="333"/>
  <c r="D13" i="333"/>
  <c r="C13" i="333"/>
  <c r="B13" i="333"/>
  <c r="I12" i="333"/>
  <c r="H12" i="333"/>
  <c r="G12" i="333"/>
  <c r="F12" i="333"/>
  <c r="E12" i="333"/>
  <c r="D12" i="333"/>
  <c r="C12" i="333"/>
  <c r="B12" i="333"/>
  <c r="I11" i="333"/>
  <c r="H11" i="333"/>
  <c r="G11" i="333"/>
  <c r="F11" i="333"/>
  <c r="E11" i="333"/>
  <c r="D11" i="333"/>
  <c r="C11" i="333"/>
  <c r="B11" i="333"/>
  <c r="I10" i="333"/>
  <c r="H10" i="333"/>
  <c r="G10" i="333"/>
  <c r="F10" i="333"/>
  <c r="E10" i="333"/>
  <c r="D10" i="333"/>
  <c r="C10" i="333"/>
  <c r="B10" i="333"/>
  <c r="I9" i="333"/>
  <c r="H9" i="333"/>
  <c r="G9" i="333"/>
  <c r="F9" i="333"/>
  <c r="E9" i="333"/>
  <c r="D9" i="333"/>
  <c r="C9" i="333"/>
  <c r="B9" i="333"/>
  <c r="I8" i="333"/>
  <c r="H8" i="333"/>
  <c r="G8" i="333"/>
  <c r="F8" i="333"/>
  <c r="E8" i="333"/>
  <c r="D8" i="333"/>
  <c r="C8" i="333"/>
  <c r="B8" i="333"/>
  <c r="I7" i="333"/>
  <c r="H7" i="333"/>
  <c r="G7" i="333"/>
  <c r="F7" i="333"/>
  <c r="E7" i="333"/>
  <c r="D7" i="333"/>
  <c r="C7" i="333"/>
  <c r="B7" i="333"/>
  <c r="I6" i="333"/>
  <c r="H6" i="333"/>
  <c r="G6" i="333"/>
  <c r="F6" i="333"/>
  <c r="E6" i="333"/>
  <c r="D6" i="333"/>
  <c r="C6" i="333"/>
  <c r="B6" i="333"/>
  <c r="I5" i="333"/>
  <c r="H5" i="333"/>
  <c r="G5" i="333"/>
  <c r="F5" i="333"/>
  <c r="E5" i="333"/>
  <c r="D5" i="333"/>
  <c r="C5" i="333"/>
  <c r="B5" i="333"/>
  <c r="I4" i="333"/>
  <c r="H4" i="333"/>
  <c r="G4" i="333"/>
  <c r="F4" i="333"/>
  <c r="E4" i="333"/>
  <c r="D4" i="333"/>
  <c r="C4" i="333"/>
  <c r="B4" i="333"/>
  <c r="I3" i="333"/>
  <c r="H3" i="333"/>
  <c r="G3" i="333"/>
  <c r="F3" i="333"/>
  <c r="E3" i="333"/>
  <c r="D3" i="333"/>
  <c r="C3" i="333"/>
  <c r="B3" i="333"/>
  <c r="I2" i="333"/>
  <c r="H2" i="333"/>
  <c r="G2" i="333"/>
  <c r="F2" i="333"/>
  <c r="E2" i="333"/>
  <c r="D2" i="333"/>
  <c r="C2" i="333"/>
  <c r="B2" i="333"/>
  <c r="K28" i="200" l="1"/>
  <c r="J28" i="200"/>
  <c r="I28" i="200"/>
  <c r="H28" i="200"/>
  <c r="G28" i="200"/>
  <c r="F28" i="200"/>
  <c r="E28" i="200"/>
  <c r="D28" i="200"/>
  <c r="C28" i="200"/>
  <c r="A21" i="279"/>
  <c r="J21" i="279"/>
  <c r="I21" i="279"/>
  <c r="H21" i="279"/>
  <c r="G21" i="279"/>
  <c r="F21" i="279"/>
  <c r="E21" i="279"/>
  <c r="D21" i="279"/>
  <c r="C21" i="279"/>
  <c r="J20" i="279"/>
  <c r="I20" i="279"/>
  <c r="H20" i="279"/>
  <c r="G20" i="279"/>
  <c r="F20" i="279"/>
  <c r="E20" i="279"/>
  <c r="D20" i="279"/>
  <c r="C20" i="279"/>
  <c r="B20" i="279"/>
  <c r="A20" i="279"/>
  <c r="J6" i="279" l="1"/>
  <c r="I6" i="279"/>
  <c r="H6" i="279"/>
  <c r="G6" i="279"/>
  <c r="F6" i="279"/>
  <c r="E6" i="279"/>
  <c r="D6" i="279"/>
  <c r="C6" i="279"/>
  <c r="B6" i="279"/>
  <c r="L22" i="204" l="1"/>
  <c r="K22" i="204"/>
  <c r="J22" i="204"/>
  <c r="I22" i="204"/>
  <c r="H22" i="204"/>
  <c r="G22" i="204"/>
  <c r="F22" i="204"/>
  <c r="E22" i="204"/>
  <c r="D22" i="204"/>
  <c r="C22" i="204"/>
  <c r="B22" i="204"/>
  <c r="K48" i="201"/>
  <c r="J48" i="201"/>
  <c r="I48" i="201"/>
  <c r="H48" i="201"/>
  <c r="G48" i="201"/>
  <c r="F48" i="201"/>
  <c r="E48" i="201"/>
  <c r="D48" i="201"/>
  <c r="C48" i="201"/>
  <c r="K24" i="201"/>
  <c r="J24" i="201"/>
  <c r="I24" i="201"/>
  <c r="H24" i="201"/>
  <c r="G24" i="201"/>
  <c r="F24" i="201"/>
  <c r="E24" i="201"/>
  <c r="D24" i="201"/>
  <c r="C24" i="201"/>
  <c r="K21" i="65"/>
  <c r="J21" i="65"/>
  <c r="I21" i="65"/>
  <c r="H21" i="65"/>
  <c r="G21" i="65"/>
  <c r="F21" i="65"/>
  <c r="E21" i="65"/>
  <c r="D21" i="65"/>
  <c r="C21" i="65"/>
  <c r="J13" i="279" l="1"/>
  <c r="I13" i="279"/>
  <c r="H13" i="279"/>
  <c r="G13" i="279"/>
  <c r="F13" i="279"/>
  <c r="E13" i="279"/>
  <c r="D13" i="279"/>
  <c r="C13" i="279"/>
  <c r="B13" i="279"/>
  <c r="B308" i="346" l="1"/>
  <c r="B28" i="346"/>
  <c r="O24" i="346"/>
  <c r="N24" i="346"/>
  <c r="M24" i="346"/>
  <c r="L24" i="346"/>
  <c r="K24" i="346"/>
  <c r="J24" i="346"/>
  <c r="I24" i="346"/>
  <c r="H24" i="346"/>
  <c r="G24" i="346"/>
  <c r="F24" i="346"/>
  <c r="E24" i="346"/>
  <c r="A24" i="346"/>
  <c r="O23" i="346"/>
  <c r="N23" i="346"/>
  <c r="M23" i="346"/>
  <c r="L23" i="346"/>
  <c r="K23" i="346"/>
  <c r="J23" i="346"/>
  <c r="I23" i="346"/>
  <c r="H23" i="346"/>
  <c r="G23" i="346"/>
  <c r="F23" i="346"/>
  <c r="E23" i="346"/>
  <c r="O22" i="346"/>
  <c r="N22" i="346"/>
  <c r="M22" i="346"/>
  <c r="L22" i="346"/>
  <c r="K22" i="346"/>
  <c r="J22" i="346"/>
  <c r="I22" i="346"/>
  <c r="H22" i="346"/>
  <c r="G22" i="346"/>
  <c r="F22" i="346"/>
  <c r="E22" i="346"/>
  <c r="A22" i="346"/>
  <c r="O21" i="346"/>
  <c r="N21" i="346"/>
  <c r="M21" i="346"/>
  <c r="L21" i="346"/>
  <c r="K21" i="346"/>
  <c r="J21" i="346"/>
  <c r="I21" i="346"/>
  <c r="H21" i="346"/>
  <c r="G21" i="346"/>
  <c r="F21" i="346"/>
  <c r="E21" i="346"/>
  <c r="A21" i="346"/>
  <c r="O20" i="346"/>
  <c r="N20" i="346"/>
  <c r="M20" i="346"/>
  <c r="L20" i="346"/>
  <c r="K20" i="346"/>
  <c r="J20" i="346"/>
  <c r="I20" i="346"/>
  <c r="H20" i="346"/>
  <c r="G20" i="346"/>
  <c r="F20" i="346"/>
  <c r="E20" i="346"/>
  <c r="A20" i="346"/>
  <c r="O19" i="346"/>
  <c r="N19" i="346"/>
  <c r="M19" i="346"/>
  <c r="L19" i="346"/>
  <c r="K19" i="346"/>
  <c r="J19" i="346"/>
  <c r="I19" i="346"/>
  <c r="H19" i="346"/>
  <c r="G19" i="346"/>
  <c r="F19" i="346"/>
  <c r="E19" i="346"/>
  <c r="A19" i="346"/>
  <c r="O18" i="346"/>
  <c r="N18" i="346"/>
  <c r="M18" i="346"/>
  <c r="L18" i="346"/>
  <c r="K18" i="346"/>
  <c r="J18" i="346"/>
  <c r="I18" i="346"/>
  <c r="H18" i="346"/>
  <c r="G18" i="346"/>
  <c r="F18" i="346"/>
  <c r="E18" i="346"/>
  <c r="A18" i="346"/>
  <c r="O17" i="346"/>
  <c r="N17" i="346"/>
  <c r="M17" i="346"/>
  <c r="L17" i="346"/>
  <c r="K17" i="346"/>
  <c r="J17" i="346"/>
  <c r="I17" i="346"/>
  <c r="H17" i="346"/>
  <c r="G17" i="346"/>
  <c r="F17" i="346"/>
  <c r="E17" i="346"/>
  <c r="A17" i="346"/>
  <c r="O16" i="346"/>
  <c r="N16" i="346"/>
  <c r="M16" i="346"/>
  <c r="L16" i="346"/>
  <c r="K16" i="346"/>
  <c r="J16" i="346"/>
  <c r="I16" i="346"/>
  <c r="H16" i="346"/>
  <c r="G16" i="346"/>
  <c r="F16" i="346"/>
  <c r="E16" i="346"/>
  <c r="A16" i="346"/>
  <c r="O15" i="346"/>
  <c r="N15" i="346"/>
  <c r="M15" i="346"/>
  <c r="L15" i="346"/>
  <c r="K15" i="346"/>
  <c r="J15" i="346"/>
  <c r="I15" i="346"/>
  <c r="H15" i="346"/>
  <c r="G15" i="346"/>
  <c r="F15" i="346"/>
  <c r="E15" i="346"/>
  <c r="A15" i="346"/>
  <c r="O14" i="346"/>
  <c r="N14" i="346"/>
  <c r="M14" i="346"/>
  <c r="L14" i="346"/>
  <c r="K14" i="346"/>
  <c r="J14" i="346"/>
  <c r="I14" i="346"/>
  <c r="H14" i="346"/>
  <c r="G14" i="346"/>
  <c r="F14" i="346"/>
  <c r="E14" i="346"/>
  <c r="A14" i="346"/>
  <c r="O13" i="346"/>
  <c r="N13" i="346"/>
  <c r="M13" i="346"/>
  <c r="L13" i="346"/>
  <c r="K13" i="346"/>
  <c r="J13" i="346"/>
  <c r="I13" i="346"/>
  <c r="H13" i="346"/>
  <c r="G13" i="346"/>
  <c r="F13" i="346"/>
  <c r="E13" i="346"/>
  <c r="A13" i="346"/>
  <c r="O12" i="346"/>
  <c r="N12" i="346"/>
  <c r="M12" i="346"/>
  <c r="L12" i="346"/>
  <c r="K12" i="346"/>
  <c r="J12" i="346"/>
  <c r="I12" i="346"/>
  <c r="H12" i="346"/>
  <c r="G12" i="346"/>
  <c r="F12" i="346"/>
  <c r="E12" i="346"/>
  <c r="A12" i="346"/>
  <c r="O11" i="346"/>
  <c r="N11" i="346"/>
  <c r="M11" i="346"/>
  <c r="L11" i="346"/>
  <c r="K11" i="346"/>
  <c r="J11" i="346"/>
  <c r="I11" i="346"/>
  <c r="H11" i="346"/>
  <c r="G11" i="346"/>
  <c r="F11" i="346"/>
  <c r="E11" i="346"/>
  <c r="A11" i="346"/>
  <c r="O10" i="346"/>
  <c r="N10" i="346"/>
  <c r="M10" i="346"/>
  <c r="L10" i="346"/>
  <c r="K10" i="346"/>
  <c r="J10" i="346"/>
  <c r="I10" i="346"/>
  <c r="H10" i="346"/>
  <c r="G10" i="346"/>
  <c r="F10" i="346"/>
  <c r="E10" i="346"/>
  <c r="A10" i="346"/>
  <c r="O9" i="346"/>
  <c r="N9" i="346"/>
  <c r="M9" i="346"/>
  <c r="L9" i="346"/>
  <c r="K9" i="346"/>
  <c r="J9" i="346"/>
  <c r="I9" i="346"/>
  <c r="H9" i="346"/>
  <c r="G9" i="346"/>
  <c r="F9" i="346"/>
  <c r="E9" i="346"/>
  <c r="A9" i="346"/>
  <c r="O8" i="346"/>
  <c r="N8" i="346"/>
  <c r="M8" i="346"/>
  <c r="L8" i="346"/>
  <c r="K8" i="346"/>
  <c r="J8" i="346"/>
  <c r="I8" i="346"/>
  <c r="H8" i="346"/>
  <c r="G8" i="346"/>
  <c r="F8" i="346"/>
  <c r="E8" i="346"/>
  <c r="A8" i="346"/>
  <c r="O7" i="346"/>
  <c r="N7" i="346"/>
  <c r="M7" i="346"/>
  <c r="L7" i="346"/>
  <c r="K7" i="346"/>
  <c r="J7" i="346"/>
  <c r="I7" i="346"/>
  <c r="H7" i="346"/>
  <c r="G7" i="346"/>
  <c r="F7" i="346"/>
  <c r="E7" i="346"/>
  <c r="A7" i="346"/>
  <c r="O6" i="346"/>
  <c r="N6" i="346"/>
  <c r="M6" i="346"/>
  <c r="L6" i="346"/>
  <c r="K6" i="346"/>
  <c r="J6" i="346"/>
  <c r="I6" i="346"/>
  <c r="H6" i="346"/>
  <c r="G6" i="346"/>
  <c r="F6" i="346"/>
  <c r="E6" i="346"/>
  <c r="A6" i="346"/>
  <c r="O5" i="346"/>
  <c r="N5" i="346"/>
  <c r="M5" i="346"/>
  <c r="L5" i="346"/>
  <c r="K5" i="346"/>
  <c r="J5" i="346"/>
  <c r="I5" i="346"/>
  <c r="H5" i="346"/>
  <c r="G5" i="346"/>
  <c r="F5" i="346"/>
  <c r="E5" i="346"/>
  <c r="A5" i="346"/>
  <c r="O4" i="346"/>
  <c r="N4" i="346"/>
  <c r="M4" i="346"/>
  <c r="L4" i="346"/>
  <c r="K4" i="346"/>
  <c r="J4" i="346"/>
  <c r="I4" i="346"/>
  <c r="H4" i="346"/>
  <c r="G4" i="346"/>
  <c r="F4" i="346"/>
  <c r="E4" i="346"/>
  <c r="A4" i="346"/>
  <c r="O3" i="346"/>
  <c r="N3" i="346"/>
  <c r="M3" i="346"/>
  <c r="L3" i="346"/>
  <c r="K3" i="346"/>
  <c r="J3" i="346"/>
  <c r="I3" i="346"/>
  <c r="H3" i="346"/>
  <c r="G3" i="346"/>
  <c r="F3" i="346"/>
  <c r="E3" i="346"/>
  <c r="A3" i="346"/>
  <c r="O2" i="346"/>
  <c r="N2" i="346"/>
  <c r="M2" i="346"/>
  <c r="L2" i="346"/>
  <c r="K2" i="346"/>
  <c r="J2" i="346"/>
  <c r="I2" i="346"/>
  <c r="H2" i="346"/>
  <c r="G2" i="346"/>
  <c r="F2" i="346"/>
  <c r="E2" i="346"/>
  <c r="A2" i="346"/>
  <c r="L17" i="198" l="1"/>
  <c r="K17" i="198"/>
  <c r="J17" i="198"/>
  <c r="E17" i="198"/>
  <c r="F17" i="198"/>
  <c r="G17" i="198"/>
  <c r="H17" i="198"/>
  <c r="I17" i="198"/>
  <c r="D17" i="198"/>
  <c r="N23" i="243" l="1"/>
  <c r="M23" i="243"/>
  <c r="K23" i="243"/>
  <c r="O22" i="243"/>
  <c r="O21" i="243"/>
  <c r="O20" i="243"/>
  <c r="O19" i="243"/>
  <c r="O18" i="243"/>
  <c r="O17" i="243"/>
  <c r="O16" i="243"/>
  <c r="O15" i="243"/>
  <c r="O14" i="243"/>
  <c r="O13" i="243"/>
  <c r="O12" i="243"/>
  <c r="O11" i="243"/>
  <c r="O10" i="243"/>
  <c r="O9" i="243"/>
  <c r="O8" i="243"/>
  <c r="O7" i="243"/>
  <c r="O6" i="243"/>
  <c r="O5" i="243"/>
  <c r="A24" i="243"/>
  <c r="B2" i="243"/>
  <c r="O23" i="243" l="1"/>
  <c r="M208" i="204"/>
  <c r="M209" i="204"/>
  <c r="N211" i="204"/>
  <c r="M211" i="204" s="1"/>
  <c r="O211" i="204"/>
  <c r="P211" i="204"/>
  <c r="O213" i="204"/>
  <c r="P213" i="204"/>
  <c r="N216" i="204"/>
  <c r="M216" i="204" s="1"/>
  <c r="O216" i="204"/>
  <c r="P216" i="204"/>
  <c r="O221" i="204"/>
  <c r="P221" i="204"/>
  <c r="N223" i="204"/>
  <c r="M223" i="204" s="1"/>
  <c r="O223" i="204"/>
  <c r="P223" i="204"/>
  <c r="N224" i="204"/>
  <c r="M224" i="204" s="1"/>
  <c r="O224" i="204"/>
  <c r="P224" i="204"/>
  <c r="N231" i="204"/>
  <c r="M231" i="204" s="1"/>
  <c r="O231" i="204"/>
  <c r="P231" i="204"/>
  <c r="N232" i="204"/>
  <c r="M232" i="204" s="1"/>
  <c r="O232" i="204"/>
  <c r="P232" i="204"/>
  <c r="N233" i="204"/>
  <c r="M233" i="204" s="1"/>
  <c r="O233" i="204"/>
  <c r="P233" i="204"/>
  <c r="N235" i="204"/>
  <c r="M235" i="204" s="1"/>
  <c r="O235" i="204"/>
  <c r="P235" i="204"/>
  <c r="O205" i="204"/>
  <c r="P205" i="204"/>
  <c r="N205" i="204"/>
  <c r="M205" i="204" s="1"/>
  <c r="L236" i="204"/>
  <c r="K236" i="204"/>
  <c r="J236" i="204"/>
  <c r="I236" i="204"/>
  <c r="H236" i="204"/>
  <c r="G236" i="204"/>
  <c r="F236" i="204"/>
  <c r="E236" i="204"/>
  <c r="D236" i="204"/>
  <c r="C236" i="204"/>
  <c r="L227" i="204"/>
  <c r="K227" i="204"/>
  <c r="J227" i="204"/>
  <c r="I227" i="204"/>
  <c r="H227" i="204"/>
  <c r="G227" i="204"/>
  <c r="F227" i="204"/>
  <c r="E227" i="204"/>
  <c r="D227" i="204"/>
  <c r="C227" i="204"/>
  <c r="L217" i="204"/>
  <c r="K217" i="204"/>
  <c r="J217" i="204"/>
  <c r="I217" i="204"/>
  <c r="H217" i="204"/>
  <c r="G217" i="204"/>
  <c r="F217" i="204"/>
  <c r="E217" i="204"/>
  <c r="D217" i="204"/>
  <c r="C217" i="204"/>
  <c r="B236" i="204"/>
  <c r="B227" i="204"/>
  <c r="B217" i="204"/>
  <c r="L198" i="204"/>
  <c r="L195" i="204"/>
  <c r="L192" i="204"/>
  <c r="L189" i="204"/>
  <c r="L186" i="204"/>
  <c r="L183" i="204"/>
  <c r="L175" i="204"/>
  <c r="L173" i="204" s="1"/>
  <c r="L170" i="204"/>
  <c r="L165" i="204"/>
  <c r="L153" i="204"/>
  <c r="L152" i="204" s="1"/>
  <c r="L148" i="204"/>
  <c r="L145" i="204"/>
  <c r="L137" i="204"/>
  <c r="L132" i="204"/>
  <c r="L109" i="204"/>
  <c r="L102" i="204"/>
  <c r="L96" i="204"/>
  <c r="L86" i="204"/>
  <c r="L78" i="204"/>
  <c r="L71" i="204"/>
  <c r="L60" i="204"/>
  <c r="L50" i="204"/>
  <c r="L46" i="204"/>
  <c r="L41" i="204"/>
  <c r="K198" i="204"/>
  <c r="J198" i="204"/>
  <c r="K195" i="204"/>
  <c r="J195" i="204"/>
  <c r="K192" i="204"/>
  <c r="J192" i="204"/>
  <c r="K189" i="204"/>
  <c r="J189" i="204"/>
  <c r="K186" i="204"/>
  <c r="J186" i="204"/>
  <c r="K183" i="204"/>
  <c r="J183" i="204"/>
  <c r="K175" i="204"/>
  <c r="K173" i="204" s="1"/>
  <c r="J175" i="204"/>
  <c r="J173" i="204" s="1"/>
  <c r="K170" i="204"/>
  <c r="J170" i="204"/>
  <c r="K165" i="204"/>
  <c r="J165" i="204"/>
  <c r="K153" i="204"/>
  <c r="J153" i="204"/>
  <c r="K148" i="204"/>
  <c r="J148" i="204"/>
  <c r="K145" i="204"/>
  <c r="K144" i="204" s="1"/>
  <c r="J145" i="204"/>
  <c r="K137" i="204"/>
  <c r="J137" i="204"/>
  <c r="K132" i="204"/>
  <c r="J132" i="204"/>
  <c r="K109" i="204"/>
  <c r="J109" i="204"/>
  <c r="J108" i="204" s="1"/>
  <c r="K102" i="204"/>
  <c r="J102" i="204"/>
  <c r="K96" i="204"/>
  <c r="J96" i="204"/>
  <c r="K86" i="204"/>
  <c r="J86" i="204"/>
  <c r="K78" i="204"/>
  <c r="J78" i="204"/>
  <c r="K71" i="204"/>
  <c r="J71" i="204"/>
  <c r="K60" i="204"/>
  <c r="J60" i="204"/>
  <c r="K50" i="204"/>
  <c r="J50" i="204"/>
  <c r="K46" i="204"/>
  <c r="J46" i="204"/>
  <c r="K41" i="204"/>
  <c r="J41" i="204"/>
  <c r="I198" i="204"/>
  <c r="H198" i="204"/>
  <c r="I195" i="204"/>
  <c r="H195" i="204"/>
  <c r="I192" i="204"/>
  <c r="H192" i="204"/>
  <c r="I189" i="204"/>
  <c r="H189" i="204"/>
  <c r="I186" i="204"/>
  <c r="H186" i="204"/>
  <c r="I183" i="204"/>
  <c r="H183" i="204"/>
  <c r="I175" i="204"/>
  <c r="I173" i="204" s="1"/>
  <c r="H175" i="204"/>
  <c r="H173" i="204" s="1"/>
  <c r="I170" i="204"/>
  <c r="H170" i="204"/>
  <c r="I165" i="204"/>
  <c r="H165" i="204"/>
  <c r="I153" i="204"/>
  <c r="H153" i="204"/>
  <c r="I148" i="204"/>
  <c r="H148" i="204"/>
  <c r="I145" i="204"/>
  <c r="H145" i="204"/>
  <c r="I137" i="204"/>
  <c r="H137" i="204"/>
  <c r="I132" i="204"/>
  <c r="H132" i="204"/>
  <c r="I109" i="204"/>
  <c r="H109" i="204"/>
  <c r="I102" i="204"/>
  <c r="H102" i="204"/>
  <c r="I96" i="204"/>
  <c r="H96" i="204"/>
  <c r="I86" i="204"/>
  <c r="H86" i="204"/>
  <c r="I78" i="204"/>
  <c r="H78" i="204"/>
  <c r="I71" i="204"/>
  <c r="H71" i="204"/>
  <c r="I60" i="204"/>
  <c r="H60" i="204"/>
  <c r="I50" i="204"/>
  <c r="H50" i="204"/>
  <c r="I46" i="204"/>
  <c r="H46" i="204"/>
  <c r="I41" i="204"/>
  <c r="H41" i="204"/>
  <c r="G198" i="204"/>
  <c r="F198" i="204"/>
  <c r="G195" i="204"/>
  <c r="F195" i="204"/>
  <c r="G192" i="204"/>
  <c r="F192" i="204"/>
  <c r="G189" i="204"/>
  <c r="F189" i="204"/>
  <c r="G186" i="204"/>
  <c r="F186" i="204"/>
  <c r="G183" i="204"/>
  <c r="F183" i="204"/>
  <c r="G175" i="204"/>
  <c r="G173" i="204" s="1"/>
  <c r="F175" i="204"/>
  <c r="F173" i="204" s="1"/>
  <c r="G170" i="204"/>
  <c r="F170" i="204"/>
  <c r="G165" i="204"/>
  <c r="F165" i="204"/>
  <c r="G153" i="204"/>
  <c r="F153" i="204"/>
  <c r="G148" i="204"/>
  <c r="F148" i="204"/>
  <c r="G145" i="204"/>
  <c r="F145" i="204"/>
  <c r="G137" i="204"/>
  <c r="F137" i="204"/>
  <c r="G132" i="204"/>
  <c r="F132" i="204"/>
  <c r="G109" i="204"/>
  <c r="F109" i="204"/>
  <c r="G102" i="204"/>
  <c r="F102" i="204"/>
  <c r="G96" i="204"/>
  <c r="F96" i="204"/>
  <c r="G86" i="204"/>
  <c r="F86" i="204"/>
  <c r="G78" i="204"/>
  <c r="F78" i="204"/>
  <c r="G71" i="204"/>
  <c r="F71" i="204"/>
  <c r="G60" i="204"/>
  <c r="F60" i="204"/>
  <c r="G50" i="204"/>
  <c r="F50" i="204"/>
  <c r="G46" i="204"/>
  <c r="F46" i="204"/>
  <c r="G41" i="204"/>
  <c r="F41" i="204"/>
  <c r="E198" i="204"/>
  <c r="D198" i="204"/>
  <c r="E195" i="204"/>
  <c r="D195" i="204"/>
  <c r="E192" i="204"/>
  <c r="D192" i="204"/>
  <c r="E189" i="204"/>
  <c r="D189" i="204"/>
  <c r="E186" i="204"/>
  <c r="D186" i="204"/>
  <c r="E183" i="204"/>
  <c r="D183" i="204"/>
  <c r="E175" i="204"/>
  <c r="E173" i="204" s="1"/>
  <c r="D175" i="204"/>
  <c r="D173" i="204" s="1"/>
  <c r="E170" i="204"/>
  <c r="D170" i="204"/>
  <c r="E165" i="204"/>
  <c r="D165" i="204"/>
  <c r="E153" i="204"/>
  <c r="D153" i="204"/>
  <c r="E148" i="204"/>
  <c r="D148" i="204"/>
  <c r="E145" i="204"/>
  <c r="D145" i="204"/>
  <c r="E137" i="204"/>
  <c r="D137" i="204"/>
  <c r="E132" i="204"/>
  <c r="D132" i="204"/>
  <c r="E109" i="204"/>
  <c r="D109" i="204"/>
  <c r="E102" i="204"/>
  <c r="D102" i="204"/>
  <c r="E96" i="204"/>
  <c r="D96" i="204"/>
  <c r="E86" i="204"/>
  <c r="D86" i="204"/>
  <c r="E78" i="204"/>
  <c r="D78" i="204"/>
  <c r="E71" i="204"/>
  <c r="D71" i="204"/>
  <c r="E60" i="204"/>
  <c r="D60" i="204"/>
  <c r="E50" i="204"/>
  <c r="D50" i="204"/>
  <c r="E46" i="204"/>
  <c r="D46" i="204"/>
  <c r="E41" i="204"/>
  <c r="D41" i="204"/>
  <c r="C198" i="204"/>
  <c r="B198" i="204"/>
  <c r="C195" i="204"/>
  <c r="B195" i="204"/>
  <c r="C192" i="204"/>
  <c r="B192" i="204"/>
  <c r="C189" i="204"/>
  <c r="B189" i="204"/>
  <c r="C186" i="204"/>
  <c r="B186" i="204"/>
  <c r="C183" i="204"/>
  <c r="B183" i="204"/>
  <c r="C175" i="204"/>
  <c r="C173" i="204" s="1"/>
  <c r="B175" i="204"/>
  <c r="B173" i="204" s="1"/>
  <c r="C170" i="204"/>
  <c r="B170" i="204"/>
  <c r="C165" i="204"/>
  <c r="B165" i="204"/>
  <c r="C153" i="204"/>
  <c r="B153" i="204"/>
  <c r="B152" i="204" s="1"/>
  <c r="C148" i="204"/>
  <c r="B148" i="204"/>
  <c r="C145" i="204"/>
  <c r="B145" i="204"/>
  <c r="C137" i="204"/>
  <c r="B137" i="204"/>
  <c r="C132" i="204"/>
  <c r="B132" i="204"/>
  <c r="C109" i="204"/>
  <c r="B109" i="204"/>
  <c r="C102" i="204"/>
  <c r="B102" i="204"/>
  <c r="C96" i="204"/>
  <c r="B96" i="204"/>
  <c r="C86" i="204"/>
  <c r="B86" i="204"/>
  <c r="C78" i="204"/>
  <c r="B78" i="204"/>
  <c r="C71" i="204"/>
  <c r="B71" i="204"/>
  <c r="C60" i="204"/>
  <c r="B60" i="204"/>
  <c r="C50" i="204"/>
  <c r="B50" i="204"/>
  <c r="C46" i="204"/>
  <c r="B46" i="204"/>
  <c r="C41" i="204"/>
  <c r="B41" i="204"/>
  <c r="I238" i="204" l="1"/>
  <c r="E144" i="204"/>
  <c r="C144" i="204"/>
  <c r="D144" i="204"/>
  <c r="F144" i="204"/>
  <c r="J144" i="204"/>
  <c r="F40" i="204"/>
  <c r="I40" i="204"/>
  <c r="I144" i="204"/>
  <c r="C152" i="204"/>
  <c r="H40" i="204"/>
  <c r="H152" i="204"/>
  <c r="G40" i="204"/>
  <c r="G152" i="204"/>
  <c r="I108" i="204"/>
  <c r="L108" i="204"/>
  <c r="D108" i="204"/>
  <c r="L144" i="204"/>
  <c r="E40" i="204"/>
  <c r="C238" i="204"/>
  <c r="K238" i="204"/>
  <c r="D40" i="204"/>
  <c r="F108" i="204"/>
  <c r="G144" i="204"/>
  <c r="H144" i="204"/>
  <c r="E108" i="204"/>
  <c r="D152" i="204"/>
  <c r="G108" i="204"/>
  <c r="H108" i="204"/>
  <c r="K152" i="204"/>
  <c r="J40" i="204"/>
  <c r="C108" i="204"/>
  <c r="K108" i="204"/>
  <c r="F152" i="204"/>
  <c r="J238" i="204"/>
  <c r="L238" i="204"/>
  <c r="K40" i="204"/>
  <c r="B40" i="204"/>
  <c r="B144" i="204"/>
  <c r="C40" i="204"/>
  <c r="E152" i="204"/>
  <c r="I152" i="204"/>
  <c r="L40" i="204"/>
  <c r="B238" i="204"/>
  <c r="B240" i="204" s="1"/>
  <c r="C239" i="204" s="1"/>
  <c r="D238" i="204"/>
  <c r="B108" i="204"/>
  <c r="J152" i="204"/>
  <c r="E238" i="204"/>
  <c r="G238" i="204"/>
  <c r="F238" i="204"/>
  <c r="H238" i="204"/>
  <c r="N23" i="330"/>
  <c r="M23" i="330"/>
  <c r="L23" i="330"/>
  <c r="K23" i="330"/>
  <c r="J23" i="330"/>
  <c r="I23" i="330"/>
  <c r="H23" i="330"/>
  <c r="G23" i="330"/>
  <c r="F23" i="330"/>
  <c r="E23" i="330"/>
  <c r="D23" i="330"/>
  <c r="C23" i="330"/>
  <c r="O22" i="330"/>
  <c r="O21" i="330"/>
  <c r="O19" i="330"/>
  <c r="N16" i="330"/>
  <c r="M16" i="330"/>
  <c r="L16" i="330"/>
  <c r="K16" i="330"/>
  <c r="J16" i="330"/>
  <c r="I16" i="330"/>
  <c r="H16" i="330"/>
  <c r="G16" i="330"/>
  <c r="G25" i="330" s="1"/>
  <c r="F16" i="330"/>
  <c r="E16" i="330"/>
  <c r="D16" i="330"/>
  <c r="C16" i="330"/>
  <c r="O15" i="330"/>
  <c r="O14" i="330"/>
  <c r="O13" i="330"/>
  <c r="N10" i="330"/>
  <c r="M10" i="330"/>
  <c r="L10" i="330"/>
  <c r="K10" i="330"/>
  <c r="J10" i="330"/>
  <c r="I10" i="330"/>
  <c r="H10" i="330"/>
  <c r="G10" i="330"/>
  <c r="F10" i="330"/>
  <c r="E10" i="330"/>
  <c r="D10" i="330"/>
  <c r="C10" i="330"/>
  <c r="O9" i="330"/>
  <c r="O8" i="330"/>
  <c r="O7" i="330"/>
  <c r="B2" i="330"/>
  <c r="A2" i="330"/>
  <c r="M59" i="329"/>
  <c r="D25" i="330" l="1"/>
  <c r="E201" i="204"/>
  <c r="K25" i="330"/>
  <c r="D201" i="204"/>
  <c r="F201" i="204"/>
  <c r="H201" i="204"/>
  <c r="G201" i="204"/>
  <c r="C201" i="204"/>
  <c r="L201" i="204"/>
  <c r="I201" i="204"/>
  <c r="C240" i="204"/>
  <c r="D239" i="204" s="1"/>
  <c r="D240" i="204" s="1"/>
  <c r="E239" i="204" s="1"/>
  <c r="E240" i="204" s="1"/>
  <c r="F239" i="204" s="1"/>
  <c r="F240" i="204" s="1"/>
  <c r="G239" i="204" s="1"/>
  <c r="G240" i="204" s="1"/>
  <c r="H239" i="204" s="1"/>
  <c r="H240" i="204" s="1"/>
  <c r="I239" i="204" s="1"/>
  <c r="I240" i="204" s="1"/>
  <c r="J239" i="204" s="1"/>
  <c r="J240" i="204" s="1"/>
  <c r="K239" i="204" s="1"/>
  <c r="K240" i="204" s="1"/>
  <c r="L239" i="204" s="1"/>
  <c r="L240" i="204" s="1"/>
  <c r="K201" i="204"/>
  <c r="H25" i="330"/>
  <c r="J201" i="204"/>
  <c r="B201" i="204"/>
  <c r="L25" i="330"/>
  <c r="O10" i="330"/>
  <c r="E25" i="330"/>
  <c r="I25" i="330"/>
  <c r="M25" i="330"/>
  <c r="F25" i="330"/>
  <c r="J25" i="330"/>
  <c r="N25" i="330"/>
  <c r="O23" i="330"/>
  <c r="C25" i="330"/>
  <c r="O16" i="330"/>
  <c r="C149" i="284"/>
  <c r="O25" i="330" l="1"/>
  <c r="B83" i="100"/>
  <c r="A1" i="202" s="1"/>
  <c r="J31" i="279"/>
  <c r="I31" i="279"/>
  <c r="H31" i="279"/>
  <c r="G31" i="279"/>
  <c r="F31" i="279"/>
  <c r="E31" i="279"/>
  <c r="D31" i="279"/>
  <c r="C31" i="279"/>
  <c r="B31" i="279"/>
  <c r="J30" i="279"/>
  <c r="I30" i="279"/>
  <c r="H30" i="279"/>
  <c r="G30" i="279"/>
  <c r="F30" i="279"/>
  <c r="E30" i="279"/>
  <c r="D30" i="279"/>
  <c r="B30" i="279"/>
  <c r="I54" i="198"/>
  <c r="G54" i="198"/>
  <c r="F54" i="198"/>
  <c r="E54" i="198"/>
  <c r="D54" i="198"/>
  <c r="I174" i="202"/>
  <c r="H174" i="202"/>
  <c r="H178" i="202" s="1"/>
  <c r="G174" i="202"/>
  <c r="G178" i="202" s="1"/>
  <c r="C174" i="202"/>
  <c r="K165" i="202"/>
  <c r="J165" i="202"/>
  <c r="I165" i="202"/>
  <c r="H165" i="202"/>
  <c r="H164" i="202" s="1"/>
  <c r="G165" i="202"/>
  <c r="G164" i="202" s="1"/>
  <c r="F165" i="202"/>
  <c r="F164" i="202" s="1"/>
  <c r="E165" i="202"/>
  <c r="E164" i="202" s="1"/>
  <c r="D165" i="202"/>
  <c r="D164" i="202" s="1"/>
  <c r="C165" i="202"/>
  <c r="C164" i="202" s="1"/>
  <c r="K162" i="202"/>
  <c r="J162" i="202"/>
  <c r="O196" i="204" s="1"/>
  <c r="I162" i="202"/>
  <c r="H162" i="202"/>
  <c r="H161" i="202" s="1"/>
  <c r="G162" i="202"/>
  <c r="G161" i="202" s="1"/>
  <c r="F162" i="202"/>
  <c r="F161" i="202" s="1"/>
  <c r="E162" i="202"/>
  <c r="E161" i="202" s="1"/>
  <c r="D162" i="202"/>
  <c r="D161" i="202" s="1"/>
  <c r="C162" i="202"/>
  <c r="C161" i="202" s="1"/>
  <c r="K159" i="202"/>
  <c r="P193" i="204" s="1"/>
  <c r="J159" i="202"/>
  <c r="I159" i="202"/>
  <c r="N193" i="204" s="1"/>
  <c r="H159" i="202"/>
  <c r="H158" i="202" s="1"/>
  <c r="G159" i="202"/>
  <c r="G158" i="202" s="1"/>
  <c r="F159" i="202"/>
  <c r="F158" i="202" s="1"/>
  <c r="E159" i="202"/>
  <c r="E158" i="202" s="1"/>
  <c r="D159" i="202"/>
  <c r="D158" i="202" s="1"/>
  <c r="C159" i="202"/>
  <c r="C158" i="202" s="1"/>
  <c r="K156" i="202"/>
  <c r="J156" i="202"/>
  <c r="O190" i="204" s="1"/>
  <c r="I156" i="202"/>
  <c r="N190" i="204" s="1"/>
  <c r="M190" i="204" s="1"/>
  <c r="H156" i="202"/>
  <c r="H155" i="202" s="1"/>
  <c r="G156" i="202"/>
  <c r="G155" i="202" s="1"/>
  <c r="F156" i="202"/>
  <c r="F155" i="202" s="1"/>
  <c r="E156" i="202"/>
  <c r="E155" i="202" s="1"/>
  <c r="D156" i="202"/>
  <c r="D155" i="202" s="1"/>
  <c r="C156" i="202"/>
  <c r="C155" i="202" s="1"/>
  <c r="K153" i="202"/>
  <c r="J153" i="202"/>
  <c r="I153" i="202"/>
  <c r="N187" i="204" s="1"/>
  <c r="H153" i="202"/>
  <c r="H152" i="202" s="1"/>
  <c r="G153" i="202"/>
  <c r="F153" i="202"/>
  <c r="F152" i="202" s="1"/>
  <c r="E153" i="202"/>
  <c r="E152" i="202" s="1"/>
  <c r="D153" i="202"/>
  <c r="D152" i="202" s="1"/>
  <c r="C153" i="202"/>
  <c r="C152" i="202" s="1"/>
  <c r="K150" i="202"/>
  <c r="P184" i="204" s="1"/>
  <c r="J150" i="202"/>
  <c r="O184" i="204" s="1"/>
  <c r="I150" i="202"/>
  <c r="H150" i="202"/>
  <c r="H149" i="202" s="1"/>
  <c r="G150" i="202"/>
  <c r="G149" i="202" s="1"/>
  <c r="F150" i="202"/>
  <c r="F149" i="202" s="1"/>
  <c r="E150" i="202"/>
  <c r="E149" i="202" s="1"/>
  <c r="D150" i="202"/>
  <c r="D149" i="202" s="1"/>
  <c r="C150" i="202"/>
  <c r="C149" i="202" s="1"/>
  <c r="K147" i="202"/>
  <c r="P181" i="204" s="1"/>
  <c r="J147" i="202"/>
  <c r="O181" i="204" s="1"/>
  <c r="I147" i="202"/>
  <c r="N181" i="204" s="1"/>
  <c r="M181" i="204" s="1"/>
  <c r="H147" i="202"/>
  <c r="H141" i="202" s="1"/>
  <c r="H139" i="202" s="1"/>
  <c r="G147" i="202"/>
  <c r="F147" i="202"/>
  <c r="E147" i="202"/>
  <c r="D147" i="202"/>
  <c r="C147" i="202"/>
  <c r="K146" i="202"/>
  <c r="P180" i="204" s="1"/>
  <c r="J146" i="202"/>
  <c r="O180" i="204" s="1"/>
  <c r="I146" i="202"/>
  <c r="N180" i="204" s="1"/>
  <c r="M180" i="204" s="1"/>
  <c r="H146" i="202"/>
  <c r="G146" i="202"/>
  <c r="F146" i="202"/>
  <c r="F141" i="202" s="1"/>
  <c r="F139" i="202" s="1"/>
  <c r="E146" i="202"/>
  <c r="D146" i="202"/>
  <c r="C146" i="202"/>
  <c r="K145" i="202"/>
  <c r="P179" i="204" s="1"/>
  <c r="J145" i="202"/>
  <c r="I145" i="202"/>
  <c r="N179" i="204" s="1"/>
  <c r="M179" i="204" s="1"/>
  <c r="H145" i="202"/>
  <c r="G145" i="202"/>
  <c r="G141" i="202" s="1"/>
  <c r="G139" i="202" s="1"/>
  <c r="F145" i="202"/>
  <c r="E145" i="202"/>
  <c r="D145" i="202"/>
  <c r="C145" i="202"/>
  <c r="K144" i="202"/>
  <c r="J144" i="202"/>
  <c r="O178" i="204" s="1"/>
  <c r="I144" i="202"/>
  <c r="N178" i="204" s="1"/>
  <c r="M178" i="204" s="1"/>
  <c r="H144" i="202"/>
  <c r="G144" i="202"/>
  <c r="F144" i="202"/>
  <c r="E144" i="202"/>
  <c r="D144" i="202"/>
  <c r="C144" i="202"/>
  <c r="K143" i="202"/>
  <c r="P177" i="204" s="1"/>
  <c r="J143" i="202"/>
  <c r="O177" i="204" s="1"/>
  <c r="I143" i="202"/>
  <c r="N177" i="204" s="1"/>
  <c r="M177" i="204" s="1"/>
  <c r="H143" i="202"/>
  <c r="G143" i="202"/>
  <c r="F143" i="202"/>
  <c r="E143" i="202"/>
  <c r="D143" i="202"/>
  <c r="C143" i="202"/>
  <c r="K142" i="202"/>
  <c r="P176" i="204" s="1"/>
  <c r="J142" i="202"/>
  <c r="O176" i="204" s="1"/>
  <c r="I142" i="202"/>
  <c r="N176" i="204" s="1"/>
  <c r="M176" i="204" s="1"/>
  <c r="H142" i="202"/>
  <c r="G142" i="202"/>
  <c r="F142" i="202"/>
  <c r="E142" i="202"/>
  <c r="D142" i="202"/>
  <c r="C142" i="202"/>
  <c r="C141" i="202" s="1"/>
  <c r="C139" i="202" s="1"/>
  <c r="K140" i="202"/>
  <c r="P174" i="204" s="1"/>
  <c r="J140" i="202"/>
  <c r="O174" i="204" s="1"/>
  <c r="I140" i="202"/>
  <c r="N174" i="204" s="1"/>
  <c r="M174" i="204" s="1"/>
  <c r="H140" i="202"/>
  <c r="G140" i="202"/>
  <c r="F140" i="202"/>
  <c r="E140" i="202"/>
  <c r="D140" i="202"/>
  <c r="C140" i="202"/>
  <c r="K137" i="202"/>
  <c r="J137" i="202"/>
  <c r="I137" i="202"/>
  <c r="H137" i="202"/>
  <c r="H136" i="202" s="1"/>
  <c r="G137" i="202"/>
  <c r="G136" i="202" s="1"/>
  <c r="F137" i="202"/>
  <c r="F136" i="202" s="1"/>
  <c r="E137" i="202"/>
  <c r="E136" i="202" s="1"/>
  <c r="D137" i="202"/>
  <c r="D136" i="202" s="1"/>
  <c r="C137" i="202"/>
  <c r="C136" i="202" s="1"/>
  <c r="K134" i="202"/>
  <c r="P168" i="204" s="1"/>
  <c r="J134" i="202"/>
  <c r="O168" i="204" s="1"/>
  <c r="I134" i="202"/>
  <c r="N168" i="204" s="1"/>
  <c r="M168" i="204" s="1"/>
  <c r="H134" i="202"/>
  <c r="G134" i="202"/>
  <c r="F134" i="202"/>
  <c r="E134" i="202"/>
  <c r="D134" i="202"/>
  <c r="C134" i="202"/>
  <c r="K133" i="202"/>
  <c r="P167" i="204" s="1"/>
  <c r="J133" i="202"/>
  <c r="O167" i="204" s="1"/>
  <c r="I133" i="202"/>
  <c r="N167" i="204" s="1"/>
  <c r="M167" i="204" s="1"/>
  <c r="H133" i="202"/>
  <c r="G133" i="202"/>
  <c r="F133" i="202"/>
  <c r="F131" i="202" s="1"/>
  <c r="E133" i="202"/>
  <c r="D133" i="202"/>
  <c r="C133" i="202"/>
  <c r="K132" i="202"/>
  <c r="P166" i="204" s="1"/>
  <c r="J132" i="202"/>
  <c r="O166" i="204" s="1"/>
  <c r="I132" i="202"/>
  <c r="N166" i="204" s="1"/>
  <c r="M166" i="204" s="1"/>
  <c r="H132" i="202"/>
  <c r="H131" i="202" s="1"/>
  <c r="G132" i="202"/>
  <c r="G131" i="202" s="1"/>
  <c r="F132" i="202"/>
  <c r="E132" i="202"/>
  <c r="D132" i="202"/>
  <c r="C132" i="202"/>
  <c r="K130" i="202"/>
  <c r="P164" i="204" s="1"/>
  <c r="J130" i="202"/>
  <c r="O164" i="204" s="1"/>
  <c r="I130" i="202"/>
  <c r="N164" i="204" s="1"/>
  <c r="M164" i="204" s="1"/>
  <c r="H130" i="202"/>
  <c r="G130" i="202"/>
  <c r="F130" i="202"/>
  <c r="E130" i="202"/>
  <c r="D130" i="202"/>
  <c r="C130" i="202"/>
  <c r="K129" i="202"/>
  <c r="P163" i="204" s="1"/>
  <c r="J129" i="202"/>
  <c r="O163" i="204" s="1"/>
  <c r="I129" i="202"/>
  <c r="N163" i="204" s="1"/>
  <c r="M163" i="204" s="1"/>
  <c r="H129" i="202"/>
  <c r="G129" i="202"/>
  <c r="F129" i="202"/>
  <c r="E129" i="202"/>
  <c r="D129" i="202"/>
  <c r="C129" i="202"/>
  <c r="K128" i="202"/>
  <c r="P162" i="204" s="1"/>
  <c r="J128" i="202"/>
  <c r="O162" i="204" s="1"/>
  <c r="I128" i="202"/>
  <c r="N162" i="204" s="1"/>
  <c r="M162" i="204" s="1"/>
  <c r="H128" i="202"/>
  <c r="G128" i="202"/>
  <c r="F128" i="202"/>
  <c r="E128" i="202"/>
  <c r="D128" i="202"/>
  <c r="C128" i="202"/>
  <c r="K127" i="202"/>
  <c r="P161" i="204" s="1"/>
  <c r="J127" i="202"/>
  <c r="O161" i="204" s="1"/>
  <c r="I127" i="202"/>
  <c r="N161" i="204" s="1"/>
  <c r="H127" i="202"/>
  <c r="G127" i="202"/>
  <c r="F127" i="202"/>
  <c r="E127" i="202"/>
  <c r="D127" i="202"/>
  <c r="C127" i="202"/>
  <c r="K126" i="202"/>
  <c r="P160" i="204" s="1"/>
  <c r="J126" i="202"/>
  <c r="O160" i="204" s="1"/>
  <c r="I126" i="202"/>
  <c r="N160" i="204" s="1"/>
  <c r="M160" i="204" s="1"/>
  <c r="H126" i="202"/>
  <c r="G126" i="202"/>
  <c r="F126" i="202"/>
  <c r="E126" i="202"/>
  <c r="D126" i="202"/>
  <c r="C126" i="202"/>
  <c r="K125" i="202"/>
  <c r="P159" i="204" s="1"/>
  <c r="J125" i="202"/>
  <c r="O159" i="204" s="1"/>
  <c r="I125" i="202"/>
  <c r="N159" i="204" s="1"/>
  <c r="M159" i="204" s="1"/>
  <c r="H125" i="202"/>
  <c r="G125" i="202"/>
  <c r="F125" i="202"/>
  <c r="E125" i="202"/>
  <c r="D125" i="202"/>
  <c r="C125" i="202"/>
  <c r="K124" i="202"/>
  <c r="P158" i="204" s="1"/>
  <c r="J124" i="202"/>
  <c r="O158" i="204" s="1"/>
  <c r="I124" i="202"/>
  <c r="N158" i="204" s="1"/>
  <c r="M158" i="204" s="1"/>
  <c r="H124" i="202"/>
  <c r="G124" i="202"/>
  <c r="F124" i="202"/>
  <c r="E124" i="202"/>
  <c r="D124" i="202"/>
  <c r="C124" i="202"/>
  <c r="K123" i="202"/>
  <c r="P157" i="204" s="1"/>
  <c r="J123" i="202"/>
  <c r="O157" i="204" s="1"/>
  <c r="I123" i="202"/>
  <c r="N157" i="204" s="1"/>
  <c r="M157" i="204" s="1"/>
  <c r="H123" i="202"/>
  <c r="G123" i="202"/>
  <c r="F123" i="202"/>
  <c r="E123" i="202"/>
  <c r="D123" i="202"/>
  <c r="C123" i="202"/>
  <c r="K122" i="202"/>
  <c r="P156" i="204" s="1"/>
  <c r="J122" i="202"/>
  <c r="O156" i="204" s="1"/>
  <c r="I122" i="202"/>
  <c r="N156" i="204" s="1"/>
  <c r="M156" i="204" s="1"/>
  <c r="H122" i="202"/>
  <c r="G122" i="202"/>
  <c r="F122" i="202"/>
  <c r="E122" i="202"/>
  <c r="D122" i="202"/>
  <c r="C122" i="202"/>
  <c r="K121" i="202"/>
  <c r="P155" i="204" s="1"/>
  <c r="J121" i="202"/>
  <c r="O155" i="204" s="1"/>
  <c r="I121" i="202"/>
  <c r="N155" i="204" s="1"/>
  <c r="M155" i="204" s="1"/>
  <c r="H121" i="202"/>
  <c r="G121" i="202"/>
  <c r="F121" i="202"/>
  <c r="E121" i="202"/>
  <c r="D121" i="202"/>
  <c r="C121" i="202"/>
  <c r="K120" i="202"/>
  <c r="P154" i="204" s="1"/>
  <c r="J120" i="202"/>
  <c r="O154" i="204" s="1"/>
  <c r="I120" i="202"/>
  <c r="N154" i="204" s="1"/>
  <c r="M154" i="204" s="1"/>
  <c r="H120" i="202"/>
  <c r="G120" i="202"/>
  <c r="F120" i="202"/>
  <c r="E120" i="202"/>
  <c r="D120" i="202"/>
  <c r="C120" i="202"/>
  <c r="K116" i="202"/>
  <c r="P150" i="204" s="1"/>
  <c r="J116" i="202"/>
  <c r="O150" i="204" s="1"/>
  <c r="I116" i="202"/>
  <c r="N150" i="204" s="1"/>
  <c r="M150" i="204" s="1"/>
  <c r="H116" i="202"/>
  <c r="G116" i="202"/>
  <c r="F116" i="202"/>
  <c r="E116" i="202"/>
  <c r="D116" i="202"/>
  <c r="C116" i="202"/>
  <c r="C114" i="202" s="1"/>
  <c r="K115" i="202"/>
  <c r="P149" i="204" s="1"/>
  <c r="J115" i="202"/>
  <c r="O149" i="204" s="1"/>
  <c r="I115" i="202"/>
  <c r="N149" i="204" s="1"/>
  <c r="M149" i="204" s="1"/>
  <c r="H115" i="202"/>
  <c r="G115" i="202"/>
  <c r="F115" i="202"/>
  <c r="E115" i="202"/>
  <c r="D115" i="202"/>
  <c r="D114" i="202" s="1"/>
  <c r="D110" i="202" s="1"/>
  <c r="C115" i="202"/>
  <c r="K113" i="202"/>
  <c r="P147" i="204" s="1"/>
  <c r="J113" i="202"/>
  <c r="O147" i="204" s="1"/>
  <c r="I113" i="202"/>
  <c r="N147" i="204" s="1"/>
  <c r="M147" i="204" s="1"/>
  <c r="H113" i="202"/>
  <c r="G113" i="202"/>
  <c r="F113" i="202"/>
  <c r="E113" i="202"/>
  <c r="D113" i="202"/>
  <c r="C113" i="202"/>
  <c r="K112" i="202"/>
  <c r="P146" i="204" s="1"/>
  <c r="J112" i="202"/>
  <c r="O146" i="204" s="1"/>
  <c r="I112" i="202"/>
  <c r="N146" i="204" s="1"/>
  <c r="M146" i="204" s="1"/>
  <c r="H112" i="202"/>
  <c r="G112" i="202"/>
  <c r="F112" i="202"/>
  <c r="F111" i="202" s="1"/>
  <c r="E112" i="202"/>
  <c r="D112" i="202"/>
  <c r="C112" i="202"/>
  <c r="K108" i="202"/>
  <c r="P142" i="204" s="1"/>
  <c r="J108" i="202"/>
  <c r="O142" i="204" s="1"/>
  <c r="I108" i="202"/>
  <c r="N142" i="204" s="1"/>
  <c r="M142" i="204" s="1"/>
  <c r="H108" i="202"/>
  <c r="G108" i="202"/>
  <c r="G103" i="202" s="1"/>
  <c r="F108" i="202"/>
  <c r="E108" i="202"/>
  <c r="D108" i="202"/>
  <c r="C108" i="202"/>
  <c r="K107" i="202"/>
  <c r="P141" i="204" s="1"/>
  <c r="J107" i="202"/>
  <c r="O141" i="204" s="1"/>
  <c r="I107" i="202"/>
  <c r="N141" i="204" s="1"/>
  <c r="M141" i="204" s="1"/>
  <c r="H107" i="202"/>
  <c r="G107" i="202"/>
  <c r="F107" i="202"/>
  <c r="E107" i="202"/>
  <c r="D107" i="202"/>
  <c r="C107" i="202"/>
  <c r="K106" i="202"/>
  <c r="P140" i="204" s="1"/>
  <c r="J106" i="202"/>
  <c r="O140" i="204" s="1"/>
  <c r="I106" i="202"/>
  <c r="N140" i="204" s="1"/>
  <c r="M140" i="204" s="1"/>
  <c r="H106" i="202"/>
  <c r="G106" i="202"/>
  <c r="F106" i="202"/>
  <c r="E106" i="202"/>
  <c r="D106" i="202"/>
  <c r="C106" i="202"/>
  <c r="K105" i="202"/>
  <c r="P139" i="204" s="1"/>
  <c r="J105" i="202"/>
  <c r="O139" i="204" s="1"/>
  <c r="I105" i="202"/>
  <c r="N139" i="204" s="1"/>
  <c r="M139" i="204" s="1"/>
  <c r="H105" i="202"/>
  <c r="G105" i="202"/>
  <c r="F105" i="202"/>
  <c r="F103" i="202" s="1"/>
  <c r="E105" i="202"/>
  <c r="D105" i="202"/>
  <c r="C105" i="202"/>
  <c r="K104" i="202"/>
  <c r="P138" i="204" s="1"/>
  <c r="J104" i="202"/>
  <c r="O138" i="204" s="1"/>
  <c r="I104" i="202"/>
  <c r="N138" i="204" s="1"/>
  <c r="M138" i="204" s="1"/>
  <c r="H104" i="202"/>
  <c r="G104" i="202"/>
  <c r="F104" i="202"/>
  <c r="E104" i="202"/>
  <c r="D104" i="202"/>
  <c r="C104" i="202"/>
  <c r="C103" i="202" s="1"/>
  <c r="K101" i="202"/>
  <c r="P135" i="204" s="1"/>
  <c r="J101" i="202"/>
  <c r="O135" i="204" s="1"/>
  <c r="I101" i="202"/>
  <c r="N135" i="204" s="1"/>
  <c r="M135" i="204" s="1"/>
  <c r="H101" i="202"/>
  <c r="G101" i="202"/>
  <c r="F101" i="202"/>
  <c r="E101" i="202"/>
  <c r="D101" i="202"/>
  <c r="C101" i="202"/>
  <c r="K100" i="202"/>
  <c r="P134" i="204" s="1"/>
  <c r="J100" i="202"/>
  <c r="O134" i="204" s="1"/>
  <c r="I100" i="202"/>
  <c r="N134" i="204" s="1"/>
  <c r="M134" i="204" s="1"/>
  <c r="H100" i="202"/>
  <c r="H98" i="202" s="1"/>
  <c r="G100" i="202"/>
  <c r="F100" i="202"/>
  <c r="E100" i="202"/>
  <c r="E98" i="202" s="1"/>
  <c r="D100" i="202"/>
  <c r="C100" i="202"/>
  <c r="K99" i="202"/>
  <c r="P133" i="204" s="1"/>
  <c r="J99" i="202"/>
  <c r="O133" i="204" s="1"/>
  <c r="I99" i="202"/>
  <c r="N133" i="204" s="1"/>
  <c r="M133" i="204" s="1"/>
  <c r="H99" i="202"/>
  <c r="G99" i="202"/>
  <c r="F99" i="202"/>
  <c r="E99" i="202"/>
  <c r="D99" i="202"/>
  <c r="C99" i="202"/>
  <c r="K97" i="202"/>
  <c r="P131" i="204" s="1"/>
  <c r="J97" i="202"/>
  <c r="O131" i="204" s="1"/>
  <c r="I97" i="202"/>
  <c r="N131" i="204" s="1"/>
  <c r="M131" i="204" s="1"/>
  <c r="H97" i="202"/>
  <c r="G97" i="202"/>
  <c r="F97" i="202"/>
  <c r="E97" i="202"/>
  <c r="D97" i="202"/>
  <c r="C97" i="202"/>
  <c r="K96" i="202"/>
  <c r="P130" i="204" s="1"/>
  <c r="J96" i="202"/>
  <c r="O130" i="204" s="1"/>
  <c r="I96" i="202"/>
  <c r="N130" i="204" s="1"/>
  <c r="M130" i="204" s="1"/>
  <c r="H96" i="202"/>
  <c r="G96" i="202"/>
  <c r="F96" i="202"/>
  <c r="E96" i="202"/>
  <c r="D96" i="202"/>
  <c r="C96" i="202"/>
  <c r="K95" i="202"/>
  <c r="P129" i="204" s="1"/>
  <c r="J95" i="202"/>
  <c r="O129" i="204" s="1"/>
  <c r="I95" i="202"/>
  <c r="N129" i="204" s="1"/>
  <c r="M129" i="204" s="1"/>
  <c r="H95" i="202"/>
  <c r="G95" i="202"/>
  <c r="F95" i="202"/>
  <c r="E95" i="202"/>
  <c r="D95" i="202"/>
  <c r="C95" i="202"/>
  <c r="K94" i="202"/>
  <c r="P128" i="204" s="1"/>
  <c r="J94" i="202"/>
  <c r="O128" i="204" s="1"/>
  <c r="I94" i="202"/>
  <c r="N128" i="204" s="1"/>
  <c r="M128" i="204" s="1"/>
  <c r="H94" i="202"/>
  <c r="G94" i="202"/>
  <c r="F94" i="202"/>
  <c r="E94" i="202"/>
  <c r="D94" i="202"/>
  <c r="C94" i="202"/>
  <c r="K93" i="202"/>
  <c r="P127" i="204" s="1"/>
  <c r="J93" i="202"/>
  <c r="O127" i="204" s="1"/>
  <c r="I93" i="202"/>
  <c r="N127" i="204" s="1"/>
  <c r="M127" i="204" s="1"/>
  <c r="H93" i="202"/>
  <c r="G93" i="202"/>
  <c r="F93" i="202"/>
  <c r="E93" i="202"/>
  <c r="D93" i="202"/>
  <c r="C93" i="202"/>
  <c r="K92" i="202"/>
  <c r="P126" i="204" s="1"/>
  <c r="J92" i="202"/>
  <c r="O126" i="204" s="1"/>
  <c r="I92" i="202"/>
  <c r="N126" i="204" s="1"/>
  <c r="M126" i="204" s="1"/>
  <c r="H92" i="202"/>
  <c r="G92" i="202"/>
  <c r="F92" i="202"/>
  <c r="E92" i="202"/>
  <c r="D92" i="202"/>
  <c r="C92" i="202"/>
  <c r="K91" i="202"/>
  <c r="P125" i="204" s="1"/>
  <c r="J91" i="202"/>
  <c r="O125" i="204" s="1"/>
  <c r="I91" i="202"/>
  <c r="N125" i="204" s="1"/>
  <c r="M125" i="204" s="1"/>
  <c r="H91" i="202"/>
  <c r="G91" i="202"/>
  <c r="F91" i="202"/>
  <c r="E91" i="202"/>
  <c r="D91" i="202"/>
  <c r="C91" i="202"/>
  <c r="K90" i="202"/>
  <c r="P124" i="204" s="1"/>
  <c r="J90" i="202"/>
  <c r="O124" i="204" s="1"/>
  <c r="I90" i="202"/>
  <c r="N124" i="204" s="1"/>
  <c r="M124" i="204" s="1"/>
  <c r="H90" i="202"/>
  <c r="G90" i="202"/>
  <c r="F90" i="202"/>
  <c r="E90" i="202"/>
  <c r="D90" i="202"/>
  <c r="C90" i="202"/>
  <c r="K89" i="202"/>
  <c r="P123" i="204" s="1"/>
  <c r="J89" i="202"/>
  <c r="O123" i="204" s="1"/>
  <c r="I89" i="202"/>
  <c r="N123" i="204" s="1"/>
  <c r="M123" i="204" s="1"/>
  <c r="H89" i="202"/>
  <c r="G89" i="202"/>
  <c r="F89" i="202"/>
  <c r="E89" i="202"/>
  <c r="D89" i="202"/>
  <c r="C89" i="202"/>
  <c r="K88" i="202"/>
  <c r="P122" i="204" s="1"/>
  <c r="J88" i="202"/>
  <c r="O122" i="204" s="1"/>
  <c r="I88" i="202"/>
  <c r="N122" i="204" s="1"/>
  <c r="M122" i="204" s="1"/>
  <c r="H88" i="202"/>
  <c r="G88" i="202"/>
  <c r="F88" i="202"/>
  <c r="E88" i="202"/>
  <c r="D88" i="202"/>
  <c r="C88" i="202"/>
  <c r="K87" i="202"/>
  <c r="P121" i="204" s="1"/>
  <c r="J87" i="202"/>
  <c r="O121" i="204" s="1"/>
  <c r="I87" i="202"/>
  <c r="N121" i="204" s="1"/>
  <c r="M121" i="204" s="1"/>
  <c r="H87" i="202"/>
  <c r="G87" i="202"/>
  <c r="F87" i="202"/>
  <c r="E87" i="202"/>
  <c r="D87" i="202"/>
  <c r="C87" i="202"/>
  <c r="K86" i="202"/>
  <c r="P120" i="204" s="1"/>
  <c r="J86" i="202"/>
  <c r="O120" i="204" s="1"/>
  <c r="I86" i="202"/>
  <c r="N120" i="204" s="1"/>
  <c r="M120" i="204" s="1"/>
  <c r="H86" i="202"/>
  <c r="G86" i="202"/>
  <c r="F86" i="202"/>
  <c r="E86" i="202"/>
  <c r="D86" i="202"/>
  <c r="C86" i="202"/>
  <c r="K85" i="202"/>
  <c r="P119" i="204" s="1"/>
  <c r="J85" i="202"/>
  <c r="O119" i="204" s="1"/>
  <c r="I85" i="202"/>
  <c r="N119" i="204" s="1"/>
  <c r="M119" i="204" s="1"/>
  <c r="H85" i="202"/>
  <c r="G85" i="202"/>
  <c r="F85" i="202"/>
  <c r="E85" i="202"/>
  <c r="D85" i="202"/>
  <c r="C85" i="202"/>
  <c r="K84" i="202"/>
  <c r="P118" i="204" s="1"/>
  <c r="J84" i="202"/>
  <c r="O118" i="204" s="1"/>
  <c r="I84" i="202"/>
  <c r="N118" i="204" s="1"/>
  <c r="M118" i="204" s="1"/>
  <c r="H84" i="202"/>
  <c r="G84" i="202"/>
  <c r="F84" i="202"/>
  <c r="E84" i="202"/>
  <c r="D84" i="202"/>
  <c r="C84" i="202"/>
  <c r="K83" i="202"/>
  <c r="P117" i="204" s="1"/>
  <c r="J83" i="202"/>
  <c r="O117" i="204" s="1"/>
  <c r="I83" i="202"/>
  <c r="N117" i="204" s="1"/>
  <c r="M117" i="204" s="1"/>
  <c r="H83" i="202"/>
  <c r="G83" i="202"/>
  <c r="F83" i="202"/>
  <c r="E83" i="202"/>
  <c r="D83" i="202"/>
  <c r="C83" i="202"/>
  <c r="K82" i="202"/>
  <c r="P116" i="204" s="1"/>
  <c r="J82" i="202"/>
  <c r="O116" i="204" s="1"/>
  <c r="I82" i="202"/>
  <c r="N116" i="204" s="1"/>
  <c r="M116" i="204" s="1"/>
  <c r="H82" i="202"/>
  <c r="G82" i="202"/>
  <c r="F82" i="202"/>
  <c r="E82" i="202"/>
  <c r="D82" i="202"/>
  <c r="C82" i="202"/>
  <c r="K81" i="202"/>
  <c r="P115" i="204" s="1"/>
  <c r="J81" i="202"/>
  <c r="O115" i="204" s="1"/>
  <c r="I81" i="202"/>
  <c r="N115" i="204" s="1"/>
  <c r="M115" i="204" s="1"/>
  <c r="H81" i="202"/>
  <c r="G81" i="202"/>
  <c r="F81" i="202"/>
  <c r="E81" i="202"/>
  <c r="D81" i="202"/>
  <c r="C81" i="202"/>
  <c r="K80" i="202"/>
  <c r="P114" i="204" s="1"/>
  <c r="J80" i="202"/>
  <c r="O114" i="204" s="1"/>
  <c r="I80" i="202"/>
  <c r="N114" i="204" s="1"/>
  <c r="M114" i="204" s="1"/>
  <c r="H80" i="202"/>
  <c r="G80" i="202"/>
  <c r="F80" i="202"/>
  <c r="E80" i="202"/>
  <c r="D80" i="202"/>
  <c r="C80" i="202"/>
  <c r="K79" i="202"/>
  <c r="P113" i="204" s="1"/>
  <c r="J79" i="202"/>
  <c r="O113" i="204" s="1"/>
  <c r="I79" i="202"/>
  <c r="N113" i="204" s="1"/>
  <c r="M113" i="204" s="1"/>
  <c r="H79" i="202"/>
  <c r="G79" i="202"/>
  <c r="F79" i="202"/>
  <c r="E79" i="202"/>
  <c r="D79" i="202"/>
  <c r="C79" i="202"/>
  <c r="K78" i="202"/>
  <c r="P112" i="204" s="1"/>
  <c r="J78" i="202"/>
  <c r="O112" i="204" s="1"/>
  <c r="I78" i="202"/>
  <c r="N112" i="204" s="1"/>
  <c r="M112" i="204" s="1"/>
  <c r="H78" i="202"/>
  <c r="G78" i="202"/>
  <c r="F78" i="202"/>
  <c r="E78" i="202"/>
  <c r="D78" i="202"/>
  <c r="C78" i="202"/>
  <c r="K77" i="202"/>
  <c r="P111" i="204" s="1"/>
  <c r="J77" i="202"/>
  <c r="O111" i="204" s="1"/>
  <c r="I77" i="202"/>
  <c r="N111" i="204" s="1"/>
  <c r="H77" i="202"/>
  <c r="G77" i="202"/>
  <c r="F77" i="202"/>
  <c r="E77" i="202"/>
  <c r="D77" i="202"/>
  <c r="C77" i="202"/>
  <c r="K76" i="202"/>
  <c r="P110" i="204" s="1"/>
  <c r="J76" i="202"/>
  <c r="O110" i="204" s="1"/>
  <c r="I76" i="202"/>
  <c r="N110" i="204" s="1"/>
  <c r="M110" i="204" s="1"/>
  <c r="H76" i="202"/>
  <c r="G76" i="202"/>
  <c r="F76" i="202"/>
  <c r="E76" i="202"/>
  <c r="D76" i="202"/>
  <c r="C76" i="202"/>
  <c r="K72" i="202"/>
  <c r="P106" i="204" s="1"/>
  <c r="J72" i="202"/>
  <c r="O106" i="204" s="1"/>
  <c r="I72" i="202"/>
  <c r="N106" i="204" s="1"/>
  <c r="M106" i="204" s="1"/>
  <c r="H72" i="202"/>
  <c r="G72" i="202"/>
  <c r="F72" i="202"/>
  <c r="E72" i="202"/>
  <c r="E68" i="202" s="1"/>
  <c r="D72" i="202"/>
  <c r="C72" i="202"/>
  <c r="K71" i="202"/>
  <c r="P105" i="204" s="1"/>
  <c r="J71" i="202"/>
  <c r="O105" i="204" s="1"/>
  <c r="I71" i="202"/>
  <c r="N105" i="204" s="1"/>
  <c r="M105" i="204" s="1"/>
  <c r="H71" i="202"/>
  <c r="G71" i="202"/>
  <c r="F71" i="202"/>
  <c r="E71" i="202"/>
  <c r="D71" i="202"/>
  <c r="C71" i="202"/>
  <c r="K70" i="202"/>
  <c r="P104" i="204" s="1"/>
  <c r="J70" i="202"/>
  <c r="O104" i="204" s="1"/>
  <c r="I70" i="202"/>
  <c r="N104" i="204" s="1"/>
  <c r="M104" i="204" s="1"/>
  <c r="H70" i="202"/>
  <c r="G70" i="202"/>
  <c r="G68" i="202" s="1"/>
  <c r="F70" i="202"/>
  <c r="E70" i="202"/>
  <c r="D70" i="202"/>
  <c r="C70" i="202"/>
  <c r="K69" i="202"/>
  <c r="P103" i="204" s="1"/>
  <c r="J69" i="202"/>
  <c r="O103" i="204" s="1"/>
  <c r="I69" i="202"/>
  <c r="N103" i="204" s="1"/>
  <c r="M103" i="204" s="1"/>
  <c r="H69" i="202"/>
  <c r="G69" i="202"/>
  <c r="F69" i="202"/>
  <c r="E69" i="202"/>
  <c r="D69" i="202"/>
  <c r="C69" i="202"/>
  <c r="K67" i="202"/>
  <c r="P101" i="204" s="1"/>
  <c r="J67" i="202"/>
  <c r="O101" i="204" s="1"/>
  <c r="I67" i="202"/>
  <c r="N101" i="204" s="1"/>
  <c r="M101" i="204" s="1"/>
  <c r="H67" i="202"/>
  <c r="G67" i="202"/>
  <c r="F67" i="202"/>
  <c r="E67" i="202"/>
  <c r="D67" i="202"/>
  <c r="C67" i="202"/>
  <c r="K66" i="202"/>
  <c r="P100" i="204" s="1"/>
  <c r="J66" i="202"/>
  <c r="O100" i="204" s="1"/>
  <c r="I66" i="202"/>
  <c r="N100" i="204" s="1"/>
  <c r="M100" i="204" s="1"/>
  <c r="H66" i="202"/>
  <c r="G66" i="202"/>
  <c r="F66" i="202"/>
  <c r="E66" i="202"/>
  <c r="D66" i="202"/>
  <c r="C66" i="202"/>
  <c r="K65" i="202"/>
  <c r="P99" i="204" s="1"/>
  <c r="J65" i="202"/>
  <c r="O99" i="204" s="1"/>
  <c r="I65" i="202"/>
  <c r="N99" i="204" s="1"/>
  <c r="M99" i="204" s="1"/>
  <c r="H65" i="202"/>
  <c r="G65" i="202"/>
  <c r="F65" i="202"/>
  <c r="E65" i="202"/>
  <c r="D65" i="202"/>
  <c r="C65" i="202"/>
  <c r="K64" i="202"/>
  <c r="P98" i="204" s="1"/>
  <c r="J64" i="202"/>
  <c r="O98" i="204" s="1"/>
  <c r="I64" i="202"/>
  <c r="N98" i="204" s="1"/>
  <c r="M98" i="204" s="1"/>
  <c r="H64" i="202"/>
  <c r="G64" i="202"/>
  <c r="F64" i="202"/>
  <c r="E64" i="202"/>
  <c r="D64" i="202"/>
  <c r="D62" i="202" s="1"/>
  <c r="C64" i="202"/>
  <c r="K63" i="202"/>
  <c r="P97" i="204" s="1"/>
  <c r="J63" i="202"/>
  <c r="O97" i="204" s="1"/>
  <c r="I63" i="202"/>
  <c r="N97" i="204" s="1"/>
  <c r="M97" i="204" s="1"/>
  <c r="H63" i="202"/>
  <c r="G63" i="202"/>
  <c r="F63" i="202"/>
  <c r="E63" i="202"/>
  <c r="E62" i="202" s="1"/>
  <c r="D63" i="202"/>
  <c r="C63" i="202"/>
  <c r="K61" i="202"/>
  <c r="P95" i="204" s="1"/>
  <c r="J61" i="202"/>
  <c r="O95" i="204" s="1"/>
  <c r="I61" i="202"/>
  <c r="N95" i="204" s="1"/>
  <c r="M95" i="204" s="1"/>
  <c r="H61" i="202"/>
  <c r="G61" i="202"/>
  <c r="F61" i="202"/>
  <c r="E61" i="202"/>
  <c r="D61" i="202"/>
  <c r="C61" i="202"/>
  <c r="K60" i="202"/>
  <c r="P94" i="204" s="1"/>
  <c r="J60" i="202"/>
  <c r="O94" i="204" s="1"/>
  <c r="I60" i="202"/>
  <c r="N94" i="204" s="1"/>
  <c r="M94" i="204" s="1"/>
  <c r="H60" i="202"/>
  <c r="G60" i="202"/>
  <c r="F60" i="202"/>
  <c r="E60" i="202"/>
  <c r="D60" i="202"/>
  <c r="C60" i="202"/>
  <c r="K59" i="202"/>
  <c r="P93" i="204" s="1"/>
  <c r="J59" i="202"/>
  <c r="O93" i="204" s="1"/>
  <c r="I59" i="202"/>
  <c r="N93" i="204" s="1"/>
  <c r="M93" i="204" s="1"/>
  <c r="H59" i="202"/>
  <c r="G59" i="202"/>
  <c r="F59" i="202"/>
  <c r="E59" i="202"/>
  <c r="D59" i="202"/>
  <c r="C59" i="202"/>
  <c r="K58" i="202"/>
  <c r="P92" i="204" s="1"/>
  <c r="J58" i="202"/>
  <c r="O92" i="204" s="1"/>
  <c r="I58" i="202"/>
  <c r="N92" i="204" s="1"/>
  <c r="M92" i="204" s="1"/>
  <c r="H58" i="202"/>
  <c r="G58" i="202"/>
  <c r="F58" i="202"/>
  <c r="E58" i="202"/>
  <c r="D58" i="202"/>
  <c r="C58" i="202"/>
  <c r="K57" i="202"/>
  <c r="P91" i="204" s="1"/>
  <c r="J57" i="202"/>
  <c r="O91" i="204" s="1"/>
  <c r="I57" i="202"/>
  <c r="N91" i="204" s="1"/>
  <c r="M91" i="204" s="1"/>
  <c r="H57" i="202"/>
  <c r="G57" i="202"/>
  <c r="F57" i="202"/>
  <c r="E57" i="202"/>
  <c r="D57" i="202"/>
  <c r="C57" i="202"/>
  <c r="K56" i="202"/>
  <c r="P90" i="204" s="1"/>
  <c r="J56" i="202"/>
  <c r="O90" i="204" s="1"/>
  <c r="I56" i="202"/>
  <c r="N90" i="204" s="1"/>
  <c r="M90" i="204" s="1"/>
  <c r="H56" i="202"/>
  <c r="G56" i="202"/>
  <c r="F56" i="202"/>
  <c r="E56" i="202"/>
  <c r="D56" i="202"/>
  <c r="C56" i="202"/>
  <c r="K55" i="202"/>
  <c r="P89" i="204" s="1"/>
  <c r="J55" i="202"/>
  <c r="O89" i="204" s="1"/>
  <c r="I55" i="202"/>
  <c r="N89" i="204" s="1"/>
  <c r="M89" i="204" s="1"/>
  <c r="H55" i="202"/>
  <c r="G55" i="202"/>
  <c r="F55" i="202"/>
  <c r="E55" i="202"/>
  <c r="D55" i="202"/>
  <c r="D52" i="202" s="1"/>
  <c r="C55" i="202"/>
  <c r="K54" i="202"/>
  <c r="P88" i="204" s="1"/>
  <c r="J54" i="202"/>
  <c r="O88" i="204" s="1"/>
  <c r="I54" i="202"/>
  <c r="N88" i="204" s="1"/>
  <c r="M88" i="204" s="1"/>
  <c r="H54" i="202"/>
  <c r="G54" i="202"/>
  <c r="F54" i="202"/>
  <c r="E54" i="202"/>
  <c r="E52" i="202" s="1"/>
  <c r="D54" i="202"/>
  <c r="C54" i="202"/>
  <c r="K53" i="202"/>
  <c r="P87" i="204" s="1"/>
  <c r="J53" i="202"/>
  <c r="O87" i="204" s="1"/>
  <c r="I53" i="202"/>
  <c r="N87" i="204" s="1"/>
  <c r="M87" i="204" s="1"/>
  <c r="H53" i="202"/>
  <c r="G53" i="202"/>
  <c r="G52" i="202" s="1"/>
  <c r="F53" i="202"/>
  <c r="E53" i="202"/>
  <c r="D53" i="202"/>
  <c r="C53" i="202"/>
  <c r="K51" i="202"/>
  <c r="P85" i="204" s="1"/>
  <c r="J51" i="202"/>
  <c r="O85" i="204" s="1"/>
  <c r="I51" i="202"/>
  <c r="N85" i="204" s="1"/>
  <c r="M85" i="204" s="1"/>
  <c r="H51" i="202"/>
  <c r="G51" i="202"/>
  <c r="F51" i="202"/>
  <c r="E51" i="202"/>
  <c r="D51" i="202"/>
  <c r="C51" i="202"/>
  <c r="K50" i="202"/>
  <c r="P84" i="204" s="1"/>
  <c r="J50" i="202"/>
  <c r="O84" i="204" s="1"/>
  <c r="I50" i="202"/>
  <c r="N84" i="204" s="1"/>
  <c r="M84" i="204" s="1"/>
  <c r="H50" i="202"/>
  <c r="G50" i="202"/>
  <c r="F50" i="202"/>
  <c r="E50" i="202"/>
  <c r="D50" i="202"/>
  <c r="C50" i="202"/>
  <c r="K49" i="202"/>
  <c r="P83" i="204" s="1"/>
  <c r="J49" i="202"/>
  <c r="O83" i="204" s="1"/>
  <c r="I49" i="202"/>
  <c r="N83" i="204" s="1"/>
  <c r="M83" i="204" s="1"/>
  <c r="H49" i="202"/>
  <c r="G49" i="202"/>
  <c r="G44" i="202" s="1"/>
  <c r="F49" i="202"/>
  <c r="E49" i="202"/>
  <c r="D49" i="202"/>
  <c r="C49" i="202"/>
  <c r="K48" i="202"/>
  <c r="P82" i="204" s="1"/>
  <c r="J48" i="202"/>
  <c r="O82" i="204" s="1"/>
  <c r="I48" i="202"/>
  <c r="N82" i="204" s="1"/>
  <c r="M82" i="204" s="1"/>
  <c r="H48" i="202"/>
  <c r="H44" i="202" s="1"/>
  <c r="G48" i="202"/>
  <c r="F48" i="202"/>
  <c r="E48" i="202"/>
  <c r="D48" i="202"/>
  <c r="C48" i="202"/>
  <c r="K47" i="202"/>
  <c r="P81" i="204" s="1"/>
  <c r="J47" i="202"/>
  <c r="O81" i="204" s="1"/>
  <c r="I47" i="202"/>
  <c r="N81" i="204" s="1"/>
  <c r="M81" i="204" s="1"/>
  <c r="H47" i="202"/>
  <c r="G47" i="202"/>
  <c r="F47" i="202"/>
  <c r="E47" i="202"/>
  <c r="D47" i="202"/>
  <c r="C47" i="202"/>
  <c r="K46" i="202"/>
  <c r="P80" i="204" s="1"/>
  <c r="J46" i="202"/>
  <c r="O80" i="204" s="1"/>
  <c r="I46" i="202"/>
  <c r="N80" i="204" s="1"/>
  <c r="M80" i="204" s="1"/>
  <c r="H46" i="202"/>
  <c r="G46" i="202"/>
  <c r="F46" i="202"/>
  <c r="E46" i="202"/>
  <c r="D46" i="202"/>
  <c r="C46" i="202"/>
  <c r="K45" i="202"/>
  <c r="P79" i="204" s="1"/>
  <c r="J45" i="202"/>
  <c r="O79" i="204" s="1"/>
  <c r="I45" i="202"/>
  <c r="N79" i="204" s="1"/>
  <c r="M79" i="204" s="1"/>
  <c r="H45" i="202"/>
  <c r="G45" i="202"/>
  <c r="F45" i="202"/>
  <c r="E45" i="202"/>
  <c r="E44" i="202" s="1"/>
  <c r="D45" i="202"/>
  <c r="C45" i="202"/>
  <c r="K43" i="202"/>
  <c r="P77" i="204" s="1"/>
  <c r="J43" i="202"/>
  <c r="O77" i="204" s="1"/>
  <c r="I43" i="202"/>
  <c r="N77" i="204" s="1"/>
  <c r="M77" i="204" s="1"/>
  <c r="H43" i="202"/>
  <c r="G43" i="202"/>
  <c r="F43" i="202"/>
  <c r="E43" i="202"/>
  <c r="D43" i="202"/>
  <c r="C43" i="202"/>
  <c r="K42" i="202"/>
  <c r="P76" i="204" s="1"/>
  <c r="J42" i="202"/>
  <c r="O76" i="204" s="1"/>
  <c r="I42" i="202"/>
  <c r="N76" i="204" s="1"/>
  <c r="M76" i="204" s="1"/>
  <c r="H42" i="202"/>
  <c r="G42" i="202"/>
  <c r="G37" i="202" s="1"/>
  <c r="F42" i="202"/>
  <c r="E42" i="202"/>
  <c r="E37" i="202" s="1"/>
  <c r="D42" i="202"/>
  <c r="C42" i="202"/>
  <c r="K41" i="202"/>
  <c r="P75" i="204" s="1"/>
  <c r="J41" i="202"/>
  <c r="O75" i="204" s="1"/>
  <c r="I41" i="202"/>
  <c r="N75" i="204" s="1"/>
  <c r="M75" i="204" s="1"/>
  <c r="H41" i="202"/>
  <c r="G41" i="202"/>
  <c r="F41" i="202"/>
  <c r="E41" i="202"/>
  <c r="D41" i="202"/>
  <c r="C41" i="202"/>
  <c r="K40" i="202"/>
  <c r="P74" i="204" s="1"/>
  <c r="J40" i="202"/>
  <c r="O74" i="204" s="1"/>
  <c r="I40" i="202"/>
  <c r="N74" i="204" s="1"/>
  <c r="M74" i="204" s="1"/>
  <c r="H40" i="202"/>
  <c r="G40" i="202"/>
  <c r="F40" i="202"/>
  <c r="E40" i="202"/>
  <c r="D40" i="202"/>
  <c r="C40" i="202"/>
  <c r="K39" i="202"/>
  <c r="P73" i="204" s="1"/>
  <c r="J39" i="202"/>
  <c r="O73" i="204" s="1"/>
  <c r="I39" i="202"/>
  <c r="N73" i="204" s="1"/>
  <c r="M73" i="204" s="1"/>
  <c r="H39" i="202"/>
  <c r="H37" i="202" s="1"/>
  <c r="G39" i="202"/>
  <c r="F39" i="202"/>
  <c r="E39" i="202"/>
  <c r="D39" i="202"/>
  <c r="C39" i="202"/>
  <c r="K38" i="202"/>
  <c r="P72" i="204" s="1"/>
  <c r="J38" i="202"/>
  <c r="O72" i="204" s="1"/>
  <c r="I38" i="202"/>
  <c r="N72" i="204" s="1"/>
  <c r="M72" i="204" s="1"/>
  <c r="H38" i="202"/>
  <c r="G38" i="202"/>
  <c r="F38" i="202"/>
  <c r="E38" i="202"/>
  <c r="D38" i="202"/>
  <c r="D37" i="202" s="1"/>
  <c r="C38" i="202"/>
  <c r="K36" i="202"/>
  <c r="P70" i="204" s="1"/>
  <c r="J36" i="202"/>
  <c r="O70" i="204" s="1"/>
  <c r="I36" i="202"/>
  <c r="N70" i="204" s="1"/>
  <c r="M70" i="204" s="1"/>
  <c r="H36" i="202"/>
  <c r="G36" i="202"/>
  <c r="F36" i="202"/>
  <c r="E36" i="202"/>
  <c r="D36" i="202"/>
  <c r="C36" i="202"/>
  <c r="K35" i="202"/>
  <c r="P69" i="204" s="1"/>
  <c r="J35" i="202"/>
  <c r="O69" i="204" s="1"/>
  <c r="I35" i="202"/>
  <c r="N69" i="204" s="1"/>
  <c r="M69" i="204" s="1"/>
  <c r="H35" i="202"/>
  <c r="G35" i="202"/>
  <c r="F35" i="202"/>
  <c r="E35" i="202"/>
  <c r="D35" i="202"/>
  <c r="C35" i="202"/>
  <c r="K34" i="202"/>
  <c r="P68" i="204" s="1"/>
  <c r="J34" i="202"/>
  <c r="O68" i="204" s="1"/>
  <c r="I34" i="202"/>
  <c r="N68" i="204" s="1"/>
  <c r="M68" i="204" s="1"/>
  <c r="H34" i="202"/>
  <c r="G34" i="202"/>
  <c r="F34" i="202"/>
  <c r="E34" i="202"/>
  <c r="D34" i="202"/>
  <c r="C34" i="202"/>
  <c r="K33" i="202"/>
  <c r="P67" i="204" s="1"/>
  <c r="J33" i="202"/>
  <c r="O67" i="204" s="1"/>
  <c r="I33" i="202"/>
  <c r="N67" i="204" s="1"/>
  <c r="M67" i="204" s="1"/>
  <c r="H33" i="202"/>
  <c r="G33" i="202"/>
  <c r="F33" i="202"/>
  <c r="E33" i="202"/>
  <c r="D33" i="202"/>
  <c r="C33" i="202"/>
  <c r="K32" i="202"/>
  <c r="P66" i="204" s="1"/>
  <c r="J32" i="202"/>
  <c r="O66" i="204" s="1"/>
  <c r="I32" i="202"/>
  <c r="N66" i="204" s="1"/>
  <c r="M66" i="204" s="1"/>
  <c r="H32" i="202"/>
  <c r="G32" i="202"/>
  <c r="F32" i="202"/>
  <c r="E32" i="202"/>
  <c r="D32" i="202"/>
  <c r="C32" i="202"/>
  <c r="K31" i="202"/>
  <c r="P65" i="204" s="1"/>
  <c r="J31" i="202"/>
  <c r="O65" i="204" s="1"/>
  <c r="I31" i="202"/>
  <c r="N65" i="204" s="1"/>
  <c r="M65" i="204" s="1"/>
  <c r="H31" i="202"/>
  <c r="G31" i="202"/>
  <c r="G26" i="202" s="1"/>
  <c r="F31" i="202"/>
  <c r="E31" i="202"/>
  <c r="D31" i="202"/>
  <c r="C31" i="202"/>
  <c r="K30" i="202"/>
  <c r="P64" i="204" s="1"/>
  <c r="J30" i="202"/>
  <c r="O64" i="204" s="1"/>
  <c r="I30" i="202"/>
  <c r="N64" i="204" s="1"/>
  <c r="M64" i="204" s="1"/>
  <c r="H30" i="202"/>
  <c r="G30" i="202"/>
  <c r="F30" i="202"/>
  <c r="E30" i="202"/>
  <c r="D30" i="202"/>
  <c r="C30" i="202"/>
  <c r="K29" i="202"/>
  <c r="P63" i="204" s="1"/>
  <c r="J29" i="202"/>
  <c r="O63" i="204" s="1"/>
  <c r="I29" i="202"/>
  <c r="N63" i="204" s="1"/>
  <c r="M63" i="204" s="1"/>
  <c r="H29" i="202"/>
  <c r="G29" i="202"/>
  <c r="F29" i="202"/>
  <c r="E29" i="202"/>
  <c r="D29" i="202"/>
  <c r="C29" i="202"/>
  <c r="K28" i="202"/>
  <c r="P62" i="204" s="1"/>
  <c r="J28" i="202"/>
  <c r="O62" i="204" s="1"/>
  <c r="I28" i="202"/>
  <c r="N62" i="204" s="1"/>
  <c r="M62" i="204" s="1"/>
  <c r="H28" i="202"/>
  <c r="G28" i="202"/>
  <c r="F28" i="202"/>
  <c r="E28" i="202"/>
  <c r="D28" i="202"/>
  <c r="C28" i="202"/>
  <c r="K27" i="202"/>
  <c r="P61" i="204" s="1"/>
  <c r="J27" i="202"/>
  <c r="O61" i="204" s="1"/>
  <c r="I27" i="202"/>
  <c r="N61" i="204" s="1"/>
  <c r="M61" i="204" s="1"/>
  <c r="H27" i="202"/>
  <c r="G27" i="202"/>
  <c r="F27" i="202"/>
  <c r="E27" i="202"/>
  <c r="D27" i="202"/>
  <c r="C27" i="202"/>
  <c r="K25" i="202"/>
  <c r="P59" i="204" s="1"/>
  <c r="J25" i="202"/>
  <c r="O59" i="204" s="1"/>
  <c r="I25" i="202"/>
  <c r="N59" i="204" s="1"/>
  <c r="M59" i="204" s="1"/>
  <c r="H25" i="202"/>
  <c r="G25" i="202"/>
  <c r="F25" i="202"/>
  <c r="E25" i="202"/>
  <c r="D25" i="202"/>
  <c r="C25" i="202"/>
  <c r="K24" i="202"/>
  <c r="P58" i="204" s="1"/>
  <c r="J24" i="202"/>
  <c r="O58" i="204" s="1"/>
  <c r="I24" i="202"/>
  <c r="N58" i="204" s="1"/>
  <c r="M58" i="204" s="1"/>
  <c r="H24" i="202"/>
  <c r="G24" i="202"/>
  <c r="F24" i="202"/>
  <c r="E24" i="202"/>
  <c r="D24" i="202"/>
  <c r="C24" i="202"/>
  <c r="K23" i="202"/>
  <c r="P57" i="204" s="1"/>
  <c r="J23" i="202"/>
  <c r="O57" i="204" s="1"/>
  <c r="I23" i="202"/>
  <c r="N57" i="204" s="1"/>
  <c r="M57" i="204" s="1"/>
  <c r="H23" i="202"/>
  <c r="G23" i="202"/>
  <c r="F23" i="202"/>
  <c r="E23" i="202"/>
  <c r="D23" i="202"/>
  <c r="C23" i="202"/>
  <c r="K22" i="202"/>
  <c r="P56" i="204" s="1"/>
  <c r="J22" i="202"/>
  <c r="O56" i="204" s="1"/>
  <c r="I22" i="202"/>
  <c r="N56" i="204" s="1"/>
  <c r="M56" i="204" s="1"/>
  <c r="H22" i="202"/>
  <c r="G22" i="202"/>
  <c r="F22" i="202"/>
  <c r="E22" i="202"/>
  <c r="D22" i="202"/>
  <c r="C22" i="202"/>
  <c r="K21" i="202"/>
  <c r="P55" i="204" s="1"/>
  <c r="J21" i="202"/>
  <c r="O55" i="204" s="1"/>
  <c r="I21" i="202"/>
  <c r="N55" i="204" s="1"/>
  <c r="M55" i="204" s="1"/>
  <c r="H21" i="202"/>
  <c r="G21" i="202"/>
  <c r="F21" i="202"/>
  <c r="E21" i="202"/>
  <c r="D21" i="202"/>
  <c r="C21" i="202"/>
  <c r="K20" i="202"/>
  <c r="P54" i="204" s="1"/>
  <c r="J20" i="202"/>
  <c r="O54" i="204" s="1"/>
  <c r="I20" i="202"/>
  <c r="N54" i="204" s="1"/>
  <c r="M54" i="204" s="1"/>
  <c r="H20" i="202"/>
  <c r="G20" i="202"/>
  <c r="F20" i="202"/>
  <c r="E20" i="202"/>
  <c r="D20" i="202"/>
  <c r="C20" i="202"/>
  <c r="K19" i="202"/>
  <c r="P53" i="204" s="1"/>
  <c r="J19" i="202"/>
  <c r="O53" i="204" s="1"/>
  <c r="I19" i="202"/>
  <c r="N53" i="204" s="1"/>
  <c r="M53" i="204" s="1"/>
  <c r="H19" i="202"/>
  <c r="G19" i="202"/>
  <c r="F19" i="202"/>
  <c r="E19" i="202"/>
  <c r="D19" i="202"/>
  <c r="C19" i="202"/>
  <c r="K18" i="202"/>
  <c r="P52" i="204" s="1"/>
  <c r="J18" i="202"/>
  <c r="O52" i="204" s="1"/>
  <c r="I18" i="202"/>
  <c r="N52" i="204" s="1"/>
  <c r="H18" i="202"/>
  <c r="G18" i="202"/>
  <c r="F18" i="202"/>
  <c r="E18" i="202"/>
  <c r="D18" i="202"/>
  <c r="C18" i="202"/>
  <c r="K17" i="202"/>
  <c r="P51" i="204" s="1"/>
  <c r="J17" i="202"/>
  <c r="O51" i="204" s="1"/>
  <c r="I17" i="202"/>
  <c r="N51" i="204" s="1"/>
  <c r="H17" i="202"/>
  <c r="G17" i="202"/>
  <c r="F17" i="202"/>
  <c r="E17" i="202"/>
  <c r="D17" i="202"/>
  <c r="C17" i="202"/>
  <c r="K15" i="202"/>
  <c r="P49" i="204" s="1"/>
  <c r="J15" i="202"/>
  <c r="O49" i="204" s="1"/>
  <c r="I15" i="202"/>
  <c r="N49" i="204" s="1"/>
  <c r="M49" i="204" s="1"/>
  <c r="H15" i="202"/>
  <c r="G15" i="202"/>
  <c r="F15" i="202"/>
  <c r="E15" i="202"/>
  <c r="E12" i="202" s="1"/>
  <c r="D15" i="202"/>
  <c r="C15" i="202"/>
  <c r="K14" i="202"/>
  <c r="P48" i="204" s="1"/>
  <c r="J14" i="202"/>
  <c r="O48" i="204" s="1"/>
  <c r="I14" i="202"/>
  <c r="N48" i="204" s="1"/>
  <c r="M48" i="204" s="1"/>
  <c r="H14" i="202"/>
  <c r="H12" i="202" s="1"/>
  <c r="G14" i="202"/>
  <c r="F14" i="202"/>
  <c r="F12" i="202" s="1"/>
  <c r="E14" i="202"/>
  <c r="D14" i="202"/>
  <c r="C14" i="202"/>
  <c r="K13" i="202"/>
  <c r="P47" i="204" s="1"/>
  <c r="J13" i="202"/>
  <c r="O47" i="204" s="1"/>
  <c r="I13" i="202"/>
  <c r="N47" i="204" s="1"/>
  <c r="M47" i="204" s="1"/>
  <c r="H13" i="202"/>
  <c r="G13" i="202"/>
  <c r="G12" i="202" s="1"/>
  <c r="F13" i="202"/>
  <c r="E13" i="202"/>
  <c r="D13" i="202"/>
  <c r="C13" i="202"/>
  <c r="K11" i="202"/>
  <c r="P45" i="204" s="1"/>
  <c r="J11" i="202"/>
  <c r="O45" i="204" s="1"/>
  <c r="I11" i="202"/>
  <c r="N45" i="204" s="1"/>
  <c r="M45" i="204" s="1"/>
  <c r="H11" i="202"/>
  <c r="G11" i="202"/>
  <c r="F11" i="202"/>
  <c r="E11" i="202"/>
  <c r="D11" i="202"/>
  <c r="C11" i="202"/>
  <c r="K10" i="202"/>
  <c r="P44" i="204" s="1"/>
  <c r="J10" i="202"/>
  <c r="O44" i="204" s="1"/>
  <c r="I10" i="202"/>
  <c r="N44" i="204" s="1"/>
  <c r="M44" i="204" s="1"/>
  <c r="H10" i="202"/>
  <c r="G10" i="202"/>
  <c r="F10" i="202"/>
  <c r="E10" i="202"/>
  <c r="D10" i="202"/>
  <c r="C10" i="202"/>
  <c r="K9" i="202"/>
  <c r="P43" i="204" s="1"/>
  <c r="J9" i="202"/>
  <c r="O43" i="204" s="1"/>
  <c r="I9" i="202"/>
  <c r="N43" i="204" s="1"/>
  <c r="M43" i="204" s="1"/>
  <c r="H9" i="202"/>
  <c r="G9" i="202"/>
  <c r="F9" i="202"/>
  <c r="E9" i="202"/>
  <c r="D9" i="202"/>
  <c r="C9" i="202"/>
  <c r="K8" i="202"/>
  <c r="P42" i="204" s="1"/>
  <c r="J8" i="202"/>
  <c r="O42" i="204" s="1"/>
  <c r="I8" i="202"/>
  <c r="N42" i="204" s="1"/>
  <c r="M42" i="204" s="1"/>
  <c r="H8" i="202"/>
  <c r="G8" i="202"/>
  <c r="F8" i="202"/>
  <c r="F7" i="202" s="1"/>
  <c r="E8" i="202"/>
  <c r="D8" i="202"/>
  <c r="C8" i="202"/>
  <c r="C7" i="202" s="1"/>
  <c r="B95" i="100"/>
  <c r="A1" i="344" s="1"/>
  <c r="B96" i="100"/>
  <c r="A1" i="343" s="1"/>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J152" i="344"/>
  <c r="I152" i="344"/>
  <c r="H152" i="344"/>
  <c r="G152" i="344"/>
  <c r="F152" i="344"/>
  <c r="E152" i="344"/>
  <c r="D152" i="344"/>
  <c r="C152" i="344"/>
  <c r="K149" i="344"/>
  <c r="J149" i="344"/>
  <c r="I149" i="344"/>
  <c r="H149" i="344"/>
  <c r="G149" i="344"/>
  <c r="F149" i="344"/>
  <c r="E149" i="344"/>
  <c r="D149" i="344"/>
  <c r="C149" i="344"/>
  <c r="K141" i="344"/>
  <c r="K139" i="344" s="1"/>
  <c r="J141" i="344"/>
  <c r="J139" i="344" s="1"/>
  <c r="I141" i="344"/>
  <c r="I139" i="344" s="1"/>
  <c r="H141" i="344"/>
  <c r="H139" i="344" s="1"/>
  <c r="G141" i="344"/>
  <c r="G139" i="344" s="1"/>
  <c r="F141" i="344"/>
  <c r="F139" i="344" s="1"/>
  <c r="E141" i="344"/>
  <c r="E139" i="344" s="1"/>
  <c r="D141" i="344"/>
  <c r="D139" i="344" s="1"/>
  <c r="C141" i="344"/>
  <c r="C139" i="344" s="1"/>
  <c r="K136" i="344"/>
  <c r="J136" i="344"/>
  <c r="I136" i="344"/>
  <c r="H136" i="344"/>
  <c r="G136" i="344"/>
  <c r="F136" i="344"/>
  <c r="E136" i="344"/>
  <c r="D136" i="344"/>
  <c r="C136" i="344"/>
  <c r="K131" i="344"/>
  <c r="J131" i="344"/>
  <c r="I131" i="344"/>
  <c r="H131" i="344"/>
  <c r="H118" i="344" s="1"/>
  <c r="G131" i="344"/>
  <c r="F131" i="344"/>
  <c r="E131" i="344"/>
  <c r="D131" i="344"/>
  <c r="C131" i="344"/>
  <c r="K119" i="344"/>
  <c r="J119" i="344"/>
  <c r="J118" i="344" s="1"/>
  <c r="I119" i="344"/>
  <c r="I118" i="344" s="1"/>
  <c r="H119" i="344"/>
  <c r="G119" i="344"/>
  <c r="G118" i="344" s="1"/>
  <c r="F119" i="344"/>
  <c r="E119" i="344"/>
  <c r="D119" i="344"/>
  <c r="C119" i="344"/>
  <c r="C118" i="344"/>
  <c r="K114" i="344"/>
  <c r="J114" i="344"/>
  <c r="I114" i="344"/>
  <c r="I110" i="344" s="1"/>
  <c r="H114" i="344"/>
  <c r="G114" i="344"/>
  <c r="F114" i="344"/>
  <c r="E114" i="344"/>
  <c r="D114" i="344"/>
  <c r="C114" i="344"/>
  <c r="K111" i="344"/>
  <c r="J111" i="344"/>
  <c r="J110" i="344" s="1"/>
  <c r="I111" i="344"/>
  <c r="H111" i="344"/>
  <c r="G111" i="344"/>
  <c r="F111" i="344"/>
  <c r="E111" i="344"/>
  <c r="E110" i="344" s="1"/>
  <c r="D111" i="344"/>
  <c r="C111" i="344"/>
  <c r="K103" i="344"/>
  <c r="J103" i="344"/>
  <c r="I103" i="344"/>
  <c r="H103" i="344"/>
  <c r="G103" i="344"/>
  <c r="F103" i="344"/>
  <c r="E103" i="344"/>
  <c r="D103" i="344"/>
  <c r="C103" i="344"/>
  <c r="K98" i="344"/>
  <c r="J98" i="344"/>
  <c r="I98" i="344"/>
  <c r="H98" i="344"/>
  <c r="G98" i="344"/>
  <c r="F98" i="344"/>
  <c r="E98" i="344"/>
  <c r="D98" i="344"/>
  <c r="D74" i="344" s="1"/>
  <c r="C98" i="344"/>
  <c r="K75" i="344"/>
  <c r="J75" i="344"/>
  <c r="I75" i="344"/>
  <c r="H75" i="344"/>
  <c r="G75" i="344"/>
  <c r="F75" i="344"/>
  <c r="E75" i="344"/>
  <c r="D75" i="344"/>
  <c r="C75" i="344"/>
  <c r="K68" i="344"/>
  <c r="J68" i="344"/>
  <c r="I68" i="344"/>
  <c r="H68" i="344"/>
  <c r="G68" i="344"/>
  <c r="F68" i="344"/>
  <c r="E68" i="344"/>
  <c r="D68" i="344"/>
  <c r="C68" i="344"/>
  <c r="K62" i="344"/>
  <c r="J62" i="344"/>
  <c r="I62" i="344"/>
  <c r="H62" i="344"/>
  <c r="G62" i="344"/>
  <c r="F62" i="344"/>
  <c r="E62" i="344"/>
  <c r="D62"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K26" i="344"/>
  <c r="J26" i="344"/>
  <c r="I26" i="344"/>
  <c r="H26" i="344"/>
  <c r="G26" i="344"/>
  <c r="F26" i="344"/>
  <c r="E26" i="344"/>
  <c r="D26" i="344"/>
  <c r="C26" i="344"/>
  <c r="K16" i="344"/>
  <c r="J16" i="344"/>
  <c r="I16" i="344"/>
  <c r="H16" i="344"/>
  <c r="G16" i="344"/>
  <c r="F16" i="344"/>
  <c r="E16" i="344"/>
  <c r="D16" i="344"/>
  <c r="C16" i="344"/>
  <c r="K12" i="344"/>
  <c r="J12" i="344"/>
  <c r="I12" i="344"/>
  <c r="H12" i="344"/>
  <c r="G12" i="344"/>
  <c r="F12" i="344"/>
  <c r="E12" i="344"/>
  <c r="D12" i="344"/>
  <c r="C12" i="344"/>
  <c r="K7" i="344"/>
  <c r="J7" i="344"/>
  <c r="I7" i="344"/>
  <c r="H7" i="344"/>
  <c r="G7" i="344"/>
  <c r="F7" i="344"/>
  <c r="E7" i="344"/>
  <c r="D7" i="344"/>
  <c r="C7" i="344"/>
  <c r="H3" i="344"/>
  <c r="G3" i="344"/>
  <c r="F3" i="344"/>
  <c r="E3" i="344"/>
  <c r="D3" i="344"/>
  <c r="C3" i="344"/>
  <c r="I2" i="344"/>
  <c r="B2" i="344"/>
  <c r="A2" i="344"/>
  <c r="A16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s="1"/>
  <c r="J141" i="343"/>
  <c r="J139" i="343" s="1"/>
  <c r="I141" i="343"/>
  <c r="I139" i="343" s="1"/>
  <c r="H141" i="343"/>
  <c r="H139" i="343" s="1"/>
  <c r="G141" i="343"/>
  <c r="G139" i="343" s="1"/>
  <c r="F141" i="343"/>
  <c r="F139" i="343" s="1"/>
  <c r="E141" i="343"/>
  <c r="E139" i="343" s="1"/>
  <c r="D141" i="343"/>
  <c r="D139" i="343" s="1"/>
  <c r="C141" i="343"/>
  <c r="C139" i="343" s="1"/>
  <c r="K136" i="343"/>
  <c r="J136" i="343"/>
  <c r="I136" i="343"/>
  <c r="H136" i="343"/>
  <c r="G136" i="343"/>
  <c r="F136" i="343"/>
  <c r="E136" i="343"/>
  <c r="D136" i="343"/>
  <c r="C136" i="343"/>
  <c r="K131" i="343"/>
  <c r="J131" i="343"/>
  <c r="I131" i="343"/>
  <c r="H131" i="343"/>
  <c r="G131" i="343"/>
  <c r="F131" i="343"/>
  <c r="E131" i="343"/>
  <c r="D131" i="343"/>
  <c r="D118" i="343" s="1"/>
  <c r="C131" i="343"/>
  <c r="K119" i="343"/>
  <c r="K118" i="343" s="1"/>
  <c r="J119" i="343"/>
  <c r="I119" i="343"/>
  <c r="H119" i="343"/>
  <c r="G119" i="343"/>
  <c r="F119" i="343"/>
  <c r="F118" i="343" s="1"/>
  <c r="E119" i="343"/>
  <c r="E118" i="343" s="1"/>
  <c r="D119" i="343"/>
  <c r="C119" i="343"/>
  <c r="K114" i="343"/>
  <c r="J114" i="343"/>
  <c r="I114" i="343"/>
  <c r="H114" i="343"/>
  <c r="G114" i="343"/>
  <c r="F114" i="343"/>
  <c r="F110" i="343" s="1"/>
  <c r="E114" i="343"/>
  <c r="D114" i="343"/>
  <c r="C114" i="343"/>
  <c r="K111" i="343"/>
  <c r="K110" i="343" s="1"/>
  <c r="J111" i="343"/>
  <c r="J110" i="343" s="1"/>
  <c r="I111" i="343"/>
  <c r="H111" i="343"/>
  <c r="G111" i="343"/>
  <c r="G110" i="343" s="1"/>
  <c r="F111" i="343"/>
  <c r="E111" i="343"/>
  <c r="D111" i="343"/>
  <c r="C111" i="343"/>
  <c r="K103" i="343"/>
  <c r="J103" i="343"/>
  <c r="I103" i="343"/>
  <c r="H103" i="343"/>
  <c r="G103" i="343"/>
  <c r="F103" i="343"/>
  <c r="E103" i="343"/>
  <c r="D103" i="343"/>
  <c r="C103" i="343"/>
  <c r="K98" i="343"/>
  <c r="J98" i="343"/>
  <c r="I98" i="343"/>
  <c r="H98" i="343"/>
  <c r="G98" i="343"/>
  <c r="F98" i="343"/>
  <c r="E98" i="343"/>
  <c r="D98" i="343"/>
  <c r="C98" i="343"/>
  <c r="K75" i="343"/>
  <c r="J75" i="343"/>
  <c r="J74" i="343" s="1"/>
  <c r="I75" i="343"/>
  <c r="H75" i="343"/>
  <c r="H74" i="343" s="1"/>
  <c r="G75" i="343"/>
  <c r="F75" i="343"/>
  <c r="E75" i="343"/>
  <c r="D75" i="343"/>
  <c r="C75"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G6" i="343" s="1"/>
  <c r="F37" i="343"/>
  <c r="E37" i="343"/>
  <c r="D37" i="343"/>
  <c r="C37" i="343"/>
  <c r="K26" i="343"/>
  <c r="J26" i="343"/>
  <c r="I26" i="343"/>
  <c r="H26" i="343"/>
  <c r="G26" i="343"/>
  <c r="F26" i="343"/>
  <c r="E26" i="343"/>
  <c r="D26" i="343"/>
  <c r="C26" i="343"/>
  <c r="K16" i="343"/>
  <c r="J16" i="343"/>
  <c r="I16" i="343"/>
  <c r="H16" i="343"/>
  <c r="G16" i="343"/>
  <c r="F16" i="343"/>
  <c r="E16" i="343"/>
  <c r="D16" i="343"/>
  <c r="C16" i="343"/>
  <c r="K12" i="343"/>
  <c r="J12" i="343"/>
  <c r="J6" i="343" s="1"/>
  <c r="I12" i="343"/>
  <c r="H12" i="343"/>
  <c r="G12" i="343"/>
  <c r="F12" i="343"/>
  <c r="E12" i="343"/>
  <c r="D12" i="343"/>
  <c r="C12" i="343"/>
  <c r="K7" i="343"/>
  <c r="J7" i="343"/>
  <c r="I7" i="343"/>
  <c r="H7" i="343"/>
  <c r="G7" i="343"/>
  <c r="F7" i="343"/>
  <c r="E7" i="343"/>
  <c r="D7" i="343"/>
  <c r="D6" i="343" s="1"/>
  <c r="C7" i="343"/>
  <c r="C6" i="343" s="1"/>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J152" i="342"/>
  <c r="I152" i="342"/>
  <c r="H152" i="342"/>
  <c r="G152" i="342"/>
  <c r="F152" i="342"/>
  <c r="E152" i="342"/>
  <c r="D152" i="342"/>
  <c r="C152" i="342"/>
  <c r="K149" i="342"/>
  <c r="J149" i="342"/>
  <c r="I149" i="342"/>
  <c r="H149" i="342"/>
  <c r="G149" i="342"/>
  <c r="F149" i="342"/>
  <c r="E149" i="342"/>
  <c r="D149" i="342"/>
  <c r="C149" i="342"/>
  <c r="K141" i="342"/>
  <c r="K139" i="342" s="1"/>
  <c r="J141" i="342"/>
  <c r="J139" i="342" s="1"/>
  <c r="I141" i="342"/>
  <c r="I139" i="342" s="1"/>
  <c r="H141" i="342"/>
  <c r="H139" i="342" s="1"/>
  <c r="G141" i="342"/>
  <c r="G139" i="342" s="1"/>
  <c r="F141" i="342"/>
  <c r="F139" i="342" s="1"/>
  <c r="E141" i="342"/>
  <c r="E139" i="342" s="1"/>
  <c r="D141" i="342"/>
  <c r="D139" i="342"/>
  <c r="C141" i="342"/>
  <c r="C139" i="342" s="1"/>
  <c r="K136" i="342"/>
  <c r="J136" i="342"/>
  <c r="I136" i="342"/>
  <c r="H136" i="342"/>
  <c r="G136" i="342"/>
  <c r="F136" i="342"/>
  <c r="E136" i="342"/>
  <c r="D136" i="342"/>
  <c r="C136" i="342"/>
  <c r="K131" i="342"/>
  <c r="J131" i="342"/>
  <c r="I131" i="342"/>
  <c r="H131" i="342"/>
  <c r="G131" i="342"/>
  <c r="F131" i="342"/>
  <c r="E131" i="342"/>
  <c r="D131" i="342"/>
  <c r="C131" i="342"/>
  <c r="K119" i="342"/>
  <c r="K118" i="342" s="1"/>
  <c r="J119" i="342"/>
  <c r="J118" i="342" s="1"/>
  <c r="I119" i="342"/>
  <c r="I118" i="342" s="1"/>
  <c r="H119" i="342"/>
  <c r="G119" i="342"/>
  <c r="F119" i="342"/>
  <c r="E119" i="342"/>
  <c r="D119" i="342"/>
  <c r="C119" i="342"/>
  <c r="C118" i="342" s="1"/>
  <c r="K114" i="342"/>
  <c r="J114" i="342"/>
  <c r="I114" i="342"/>
  <c r="H114" i="342"/>
  <c r="G114" i="342"/>
  <c r="F114" i="342"/>
  <c r="E114" i="342"/>
  <c r="D114" i="342"/>
  <c r="C114" i="342"/>
  <c r="K111" i="342"/>
  <c r="J111" i="342"/>
  <c r="I111" i="342"/>
  <c r="I110" i="342" s="1"/>
  <c r="H111" i="342"/>
  <c r="G111" i="342"/>
  <c r="F111" i="342"/>
  <c r="E111" i="342"/>
  <c r="D111" i="342"/>
  <c r="C111" i="342"/>
  <c r="K103" i="342"/>
  <c r="J103" i="342"/>
  <c r="I103" i="342"/>
  <c r="H103" i="342"/>
  <c r="G103" i="342"/>
  <c r="F103" i="342"/>
  <c r="E103" i="342"/>
  <c r="D103" i="342"/>
  <c r="C103" i="342"/>
  <c r="K98" i="342"/>
  <c r="K74" i="342" s="1"/>
  <c r="J98" i="342"/>
  <c r="I98" i="342"/>
  <c r="H98" i="342"/>
  <c r="G98" i="342"/>
  <c r="F98" i="342"/>
  <c r="E98" i="342"/>
  <c r="D98" i="342"/>
  <c r="C98" i="342"/>
  <c r="K75" i="342"/>
  <c r="J75" i="342"/>
  <c r="I75" i="342"/>
  <c r="H75" i="342"/>
  <c r="G75" i="342"/>
  <c r="F75" i="342"/>
  <c r="E75" i="342"/>
  <c r="D75" i="342"/>
  <c r="C75"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F26" i="342"/>
  <c r="E26" i="342"/>
  <c r="D26" i="342"/>
  <c r="C26" i="342"/>
  <c r="K16" i="342"/>
  <c r="K6" i="342" s="1"/>
  <c r="J16" i="342"/>
  <c r="I16" i="342"/>
  <c r="H16" i="342"/>
  <c r="G16" i="342"/>
  <c r="F16" i="342"/>
  <c r="E16" i="342"/>
  <c r="D16" i="342"/>
  <c r="C16" i="342"/>
  <c r="K12" i="342"/>
  <c r="J12" i="342"/>
  <c r="J6" i="342" s="1"/>
  <c r="I12" i="342"/>
  <c r="H12" i="342"/>
  <c r="G12" i="342"/>
  <c r="F12" i="342"/>
  <c r="E12" i="342"/>
  <c r="D12" i="342"/>
  <c r="C12" i="342"/>
  <c r="K7" i="342"/>
  <c r="J7" i="342"/>
  <c r="I7" i="342"/>
  <c r="H7" i="342"/>
  <c r="G7" i="342"/>
  <c r="F7" i="342"/>
  <c r="E7" i="342"/>
  <c r="E6" i="342" s="1"/>
  <c r="D7" i="342"/>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s="1"/>
  <c r="J141" i="341"/>
  <c r="J139" i="341" s="1"/>
  <c r="I141" i="341"/>
  <c r="I139" i="341" s="1"/>
  <c r="H141" i="341"/>
  <c r="H139" i="341" s="1"/>
  <c r="G141" i="341"/>
  <c r="G139" i="341" s="1"/>
  <c r="F141" i="341"/>
  <c r="F139" i="341" s="1"/>
  <c r="E141" i="341"/>
  <c r="E139" i="341"/>
  <c r="D141" i="341"/>
  <c r="D139" i="341" s="1"/>
  <c r="C141" i="341"/>
  <c r="C139" i="341" s="1"/>
  <c r="K136" i="341"/>
  <c r="J136" i="341"/>
  <c r="I136" i="341"/>
  <c r="H136" i="341"/>
  <c r="G136" i="341"/>
  <c r="F136" i="341"/>
  <c r="E136" i="341"/>
  <c r="D136" i="341"/>
  <c r="C136" i="341"/>
  <c r="K131" i="341"/>
  <c r="J131" i="341"/>
  <c r="I131" i="341"/>
  <c r="H131" i="341"/>
  <c r="G131" i="341"/>
  <c r="F131" i="341"/>
  <c r="E131" i="341"/>
  <c r="D131" i="341"/>
  <c r="C131" i="341"/>
  <c r="K119" i="341"/>
  <c r="K118" i="341" s="1"/>
  <c r="J119" i="341"/>
  <c r="I119" i="341"/>
  <c r="H119" i="341"/>
  <c r="H118" i="341" s="1"/>
  <c r="G119" i="341"/>
  <c r="F119" i="341"/>
  <c r="E119" i="341"/>
  <c r="D119" i="341"/>
  <c r="C119" i="341"/>
  <c r="C118" i="341" s="1"/>
  <c r="K114" i="341"/>
  <c r="J114" i="341"/>
  <c r="I114" i="341"/>
  <c r="H114" i="341"/>
  <c r="G114" i="341"/>
  <c r="F114" i="341"/>
  <c r="E114" i="341"/>
  <c r="D114" i="341"/>
  <c r="C114" i="341"/>
  <c r="K111" i="341"/>
  <c r="J111" i="341"/>
  <c r="J110" i="341" s="1"/>
  <c r="I111" i="341"/>
  <c r="H111" i="341"/>
  <c r="G111" i="341"/>
  <c r="F111" i="341"/>
  <c r="E111" i="341"/>
  <c r="D111" i="341"/>
  <c r="C111" i="341"/>
  <c r="K103" i="341"/>
  <c r="J103" i="341"/>
  <c r="I103" i="341"/>
  <c r="H103" i="341"/>
  <c r="G103" i="341"/>
  <c r="F103" i="341"/>
  <c r="E103" i="341"/>
  <c r="D103" i="341"/>
  <c r="C103" i="341"/>
  <c r="K98" i="341"/>
  <c r="J98" i="341"/>
  <c r="I98" i="341"/>
  <c r="H98" i="341"/>
  <c r="G98" i="341"/>
  <c r="F98" i="341"/>
  <c r="E98" i="341"/>
  <c r="D98" i="341"/>
  <c r="D74" i="341" s="1"/>
  <c r="C98" i="341"/>
  <c r="K75" i="341"/>
  <c r="J75" i="341"/>
  <c r="I75" i="341"/>
  <c r="H75" i="341"/>
  <c r="G75" i="341"/>
  <c r="F75" i="341"/>
  <c r="E75" i="341"/>
  <c r="E74" i="341" s="1"/>
  <c r="D75" i="341"/>
  <c r="C75"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I37" i="341"/>
  <c r="H37" i="341"/>
  <c r="H6" i="341" s="1"/>
  <c r="G37" i="341"/>
  <c r="F37" i="341"/>
  <c r="E37" i="341"/>
  <c r="D37" i="341"/>
  <c r="C37" i="341"/>
  <c r="K26" i="341"/>
  <c r="J26" i="341"/>
  <c r="I26" i="341"/>
  <c r="H26" i="341"/>
  <c r="G26" i="341"/>
  <c r="F26" i="341"/>
  <c r="E26" i="341"/>
  <c r="D26" i="341"/>
  <c r="C26" i="341"/>
  <c r="K16" i="341"/>
  <c r="J16" i="341"/>
  <c r="J6" i="341" s="1"/>
  <c r="I16" i="341"/>
  <c r="H16" i="341"/>
  <c r="G16" i="341"/>
  <c r="F16" i="341"/>
  <c r="E16" i="341"/>
  <c r="D16" i="341"/>
  <c r="C16" i="341"/>
  <c r="K12" i="341"/>
  <c r="K6" i="341" s="1"/>
  <c r="J12" i="341"/>
  <c r="I12" i="341"/>
  <c r="H12" i="341"/>
  <c r="G12" i="341"/>
  <c r="F12" i="341"/>
  <c r="E12" i="341"/>
  <c r="E6" i="341" s="1"/>
  <c r="D12" i="341"/>
  <c r="C12" i="341"/>
  <c r="K7" i="341"/>
  <c r="J7" i="341"/>
  <c r="I7" i="341"/>
  <c r="H7" i="341"/>
  <c r="G7" i="341"/>
  <c r="G6" i="341" s="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K141" i="284"/>
  <c r="K139" i="284" s="1"/>
  <c r="J141" i="284"/>
  <c r="J139" i="284" s="1"/>
  <c r="I141" i="284"/>
  <c r="I139" i="284" s="1"/>
  <c r="H141" i="284"/>
  <c r="H139" i="284" s="1"/>
  <c r="G141" i="284"/>
  <c r="G139" i="284" s="1"/>
  <c r="F141" i="284"/>
  <c r="F139" i="284" s="1"/>
  <c r="E141" i="284"/>
  <c r="E139" i="284" s="1"/>
  <c r="D141" i="284"/>
  <c r="D139" i="284" s="1"/>
  <c r="C141" i="284"/>
  <c r="C139" i="284" s="1"/>
  <c r="K136" i="284"/>
  <c r="J136" i="284"/>
  <c r="I136" i="284"/>
  <c r="H136" i="284"/>
  <c r="G136" i="284"/>
  <c r="F136" i="284"/>
  <c r="E136" i="284"/>
  <c r="D136" i="284"/>
  <c r="C136" i="284"/>
  <c r="K131" i="284"/>
  <c r="J131" i="284"/>
  <c r="I131" i="284"/>
  <c r="H131" i="284"/>
  <c r="G131" i="284"/>
  <c r="F131" i="284"/>
  <c r="E131" i="284"/>
  <c r="D131" i="284"/>
  <c r="C131" i="284"/>
  <c r="K119" i="284"/>
  <c r="K118" i="284" s="1"/>
  <c r="J119" i="284"/>
  <c r="J118" i="284" s="1"/>
  <c r="I119" i="284"/>
  <c r="I118" i="284" s="1"/>
  <c r="H119" i="284"/>
  <c r="G119" i="284"/>
  <c r="F119" i="284"/>
  <c r="F118" i="284" s="1"/>
  <c r="E119" i="284"/>
  <c r="D119" i="284"/>
  <c r="C119" i="284"/>
  <c r="C118" i="284" s="1"/>
  <c r="K114" i="284"/>
  <c r="J114" i="284"/>
  <c r="I114" i="284"/>
  <c r="I110" i="284" s="1"/>
  <c r="H114" i="284"/>
  <c r="G114" i="284"/>
  <c r="F114" i="284"/>
  <c r="E114" i="284"/>
  <c r="D114" i="284"/>
  <c r="C114" i="284"/>
  <c r="K111" i="284"/>
  <c r="J111" i="284"/>
  <c r="J110" i="284" s="1"/>
  <c r="I111" i="284"/>
  <c r="H111" i="284"/>
  <c r="H110" i="284" s="1"/>
  <c r="G111" i="284"/>
  <c r="F111" i="284"/>
  <c r="E111" i="284"/>
  <c r="D111" i="284"/>
  <c r="C111" i="284"/>
  <c r="C110" i="284" s="1"/>
  <c r="K103" i="284"/>
  <c r="J103" i="284"/>
  <c r="I103" i="284"/>
  <c r="H103" i="284"/>
  <c r="G103" i="284"/>
  <c r="F103" i="284"/>
  <c r="E103" i="284"/>
  <c r="D103" i="284"/>
  <c r="C103" i="284"/>
  <c r="K98" i="284"/>
  <c r="J98" i="284"/>
  <c r="I98" i="284"/>
  <c r="H98" i="284"/>
  <c r="G98" i="284"/>
  <c r="F98" i="284"/>
  <c r="E98" i="284"/>
  <c r="D98" i="284"/>
  <c r="C98" i="284"/>
  <c r="K75" i="284"/>
  <c r="J75" i="284"/>
  <c r="I75" i="284"/>
  <c r="H75" i="284"/>
  <c r="G75" i="284"/>
  <c r="F75" i="284"/>
  <c r="F74" i="284" s="1"/>
  <c r="E75" i="284"/>
  <c r="D75" i="284"/>
  <c r="C75" i="284"/>
  <c r="C74" i="284" s="1"/>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D26" i="284"/>
  <c r="C26" i="284"/>
  <c r="K16" i="284"/>
  <c r="J16" i="284"/>
  <c r="J6" i="284" s="1"/>
  <c r="I16" i="284"/>
  <c r="H16" i="284"/>
  <c r="G16" i="284"/>
  <c r="F16" i="284"/>
  <c r="E16" i="284"/>
  <c r="D16" i="284"/>
  <c r="C16" i="284"/>
  <c r="K12" i="284"/>
  <c r="J12" i="284"/>
  <c r="I12" i="284"/>
  <c r="H12" i="284"/>
  <c r="G12" i="284"/>
  <c r="F12" i="284"/>
  <c r="E12" i="284"/>
  <c r="D12" i="284"/>
  <c r="C12" i="284"/>
  <c r="K7" i="284"/>
  <c r="J7" i="284"/>
  <c r="I7" i="284"/>
  <c r="H7" i="284"/>
  <c r="G7" i="284"/>
  <c r="F7" i="284"/>
  <c r="E7" i="284"/>
  <c r="D7" i="284"/>
  <c r="C7" i="284"/>
  <c r="J5" i="279"/>
  <c r="I5" i="279"/>
  <c r="H5" i="279"/>
  <c r="G5" i="279"/>
  <c r="F5" i="279"/>
  <c r="E5" i="279"/>
  <c r="D5" i="279"/>
  <c r="C5" i="279"/>
  <c r="B5" i="279"/>
  <c r="D73" i="198"/>
  <c r="P21" i="204"/>
  <c r="O21" i="204"/>
  <c r="P20" i="204"/>
  <c r="O20" i="204"/>
  <c r="P18" i="204"/>
  <c r="O18" i="204"/>
  <c r="P17" i="204"/>
  <c r="O17" i="204"/>
  <c r="P16" i="204"/>
  <c r="O16" i="204"/>
  <c r="P15" i="204"/>
  <c r="O15" i="204"/>
  <c r="P14" i="204"/>
  <c r="O14" i="204"/>
  <c r="P13" i="204"/>
  <c r="O13" i="204"/>
  <c r="P12" i="204"/>
  <c r="O12" i="204"/>
  <c r="P10" i="204"/>
  <c r="O10" i="204"/>
  <c r="P9" i="204"/>
  <c r="O9" i="204"/>
  <c r="P8" i="204"/>
  <c r="O8" i="204"/>
  <c r="P7" i="204"/>
  <c r="O7" i="204"/>
  <c r="P6" i="204"/>
  <c r="O6" i="204"/>
  <c r="N8" i="204"/>
  <c r="M8" i="204" s="1"/>
  <c r="N9" i="204"/>
  <c r="M9" i="204" s="1"/>
  <c r="N10" i="204"/>
  <c r="N12" i="204"/>
  <c r="M12" i="204" s="1"/>
  <c r="N13" i="204"/>
  <c r="N14" i="204"/>
  <c r="N15" i="204"/>
  <c r="N17" i="204"/>
  <c r="N18" i="204"/>
  <c r="N20" i="204"/>
  <c r="N21" i="204"/>
  <c r="N6" i="204"/>
  <c r="C30" i="279"/>
  <c r="L54" i="198"/>
  <c r="H3" i="342"/>
  <c r="G3" i="342"/>
  <c r="F3" i="342"/>
  <c r="E3" i="342"/>
  <c r="D3" i="342"/>
  <c r="C3" i="342"/>
  <c r="I2" i="342"/>
  <c r="B2" i="342"/>
  <c r="A2" i="342"/>
  <c r="A168" i="341"/>
  <c r="H3" i="341"/>
  <c r="G3" i="341"/>
  <c r="F3" i="341"/>
  <c r="E3" i="341"/>
  <c r="D3" i="341"/>
  <c r="C3" i="341"/>
  <c r="I2" i="341"/>
  <c r="B2" i="341"/>
  <c r="A2" i="341"/>
  <c r="H3" i="284"/>
  <c r="G3" i="284"/>
  <c r="F3" i="284"/>
  <c r="E3" i="284"/>
  <c r="D3" i="284"/>
  <c r="C3" i="284"/>
  <c r="B2" i="282"/>
  <c r="F24" i="282"/>
  <c r="A25" i="282"/>
  <c r="I3" i="330"/>
  <c r="A2" i="284"/>
  <c r="B2" i="284"/>
  <c r="I2" i="284"/>
  <c r="A168" i="284"/>
  <c r="A2" i="204"/>
  <c r="N2" i="204"/>
  <c r="B36" i="204"/>
  <c r="C36" i="204"/>
  <c r="D36" i="204"/>
  <c r="E36" i="204"/>
  <c r="F36" i="204"/>
  <c r="G36" i="204"/>
  <c r="H36" i="204"/>
  <c r="I36" i="204"/>
  <c r="J36" i="204"/>
  <c r="K36" i="204"/>
  <c r="L36" i="204"/>
  <c r="B2" i="336"/>
  <c r="C36" i="336"/>
  <c r="D36" i="336"/>
  <c r="D37" i="336" s="1"/>
  <c r="E36" i="336"/>
  <c r="G37" i="336" s="1"/>
  <c r="F36" i="336"/>
  <c r="G36" i="336"/>
  <c r="H36" i="336"/>
  <c r="I36" i="336"/>
  <c r="I37" i="336" s="1"/>
  <c r="J36" i="336"/>
  <c r="K36" i="336"/>
  <c r="J37" i="336"/>
  <c r="A43" i="336"/>
  <c r="B2" i="285"/>
  <c r="I2" i="285"/>
  <c r="C3" i="285"/>
  <c r="D3" i="285"/>
  <c r="E3" i="285"/>
  <c r="F3" i="285"/>
  <c r="G3" i="285"/>
  <c r="H3" i="285"/>
  <c r="C21" i="285"/>
  <c r="D21" i="285"/>
  <c r="E21" i="285"/>
  <c r="F21" i="285"/>
  <c r="F22" i="285" s="1"/>
  <c r="G21" i="285"/>
  <c r="G22" i="285" s="1"/>
  <c r="H21" i="285"/>
  <c r="H22" i="285" s="1"/>
  <c r="I21" i="285"/>
  <c r="I22" i="285" s="1"/>
  <c r="J21" i="285"/>
  <c r="J22" i="285" s="1"/>
  <c r="K21" i="285"/>
  <c r="C37" i="285"/>
  <c r="D37" i="285"/>
  <c r="D38" i="285" s="1"/>
  <c r="E37" i="285"/>
  <c r="E38" i="285" s="1"/>
  <c r="F37" i="285"/>
  <c r="F38" i="285" s="1"/>
  <c r="G37" i="285"/>
  <c r="G38" i="285" s="1"/>
  <c r="H37" i="285"/>
  <c r="I37" i="285"/>
  <c r="I38" i="285" s="1"/>
  <c r="J37" i="285"/>
  <c r="K37" i="285"/>
  <c r="C53" i="285"/>
  <c r="D53" i="285"/>
  <c r="D54" i="285" s="1"/>
  <c r="E53" i="285"/>
  <c r="F53" i="285"/>
  <c r="F56" i="285" s="1"/>
  <c r="G34" i="198" s="1"/>
  <c r="G53" i="285"/>
  <c r="H53" i="285"/>
  <c r="H54" i="285" s="1"/>
  <c r="I53" i="285"/>
  <c r="J53" i="285"/>
  <c r="K53" i="285"/>
  <c r="E54" i="285"/>
  <c r="G54" i="285"/>
  <c r="A58" i="285"/>
  <c r="F23" i="243"/>
  <c r="G23" i="243"/>
  <c r="H23" i="243"/>
  <c r="C2" i="198"/>
  <c r="J2" i="198"/>
  <c r="D3" i="198"/>
  <c r="E3" i="198"/>
  <c r="F3" i="198"/>
  <c r="G3" i="198"/>
  <c r="H3" i="198"/>
  <c r="I3" i="198"/>
  <c r="A46" i="198"/>
  <c r="D46" i="198"/>
  <c r="E46" i="198"/>
  <c r="F46" i="198"/>
  <c r="G46" i="198"/>
  <c r="H46" i="198"/>
  <c r="I46" i="198"/>
  <c r="J46" i="198"/>
  <c r="K46" i="198"/>
  <c r="L46" i="198"/>
  <c r="A47" i="198"/>
  <c r="A48" i="198"/>
  <c r="D48" i="198"/>
  <c r="E48" i="198"/>
  <c r="F48" i="198"/>
  <c r="G48" i="198"/>
  <c r="H48" i="198"/>
  <c r="I48" i="198"/>
  <c r="J48" i="198"/>
  <c r="K48" i="198"/>
  <c r="L48" i="198"/>
  <c r="A49" i="198"/>
  <c r="D49" i="198"/>
  <c r="E49" i="198"/>
  <c r="F49" i="198"/>
  <c r="G49" i="198"/>
  <c r="H49" i="198"/>
  <c r="I49" i="198"/>
  <c r="J49" i="198"/>
  <c r="K49" i="198"/>
  <c r="L49" i="198"/>
  <c r="A50" i="198"/>
  <c r="A51" i="198"/>
  <c r="D51" i="198"/>
  <c r="E51" i="198"/>
  <c r="F51" i="198"/>
  <c r="G51" i="198"/>
  <c r="H51" i="198"/>
  <c r="I51" i="198"/>
  <c r="J51" i="198"/>
  <c r="K51" i="198"/>
  <c r="L51" i="198"/>
  <c r="D55" i="198"/>
  <c r="E55" i="198"/>
  <c r="F55" i="198"/>
  <c r="G55" i="198"/>
  <c r="H55" i="198"/>
  <c r="I55" i="198"/>
  <c r="J55" i="198"/>
  <c r="K55" i="198"/>
  <c r="L55" i="198"/>
  <c r="A56" i="198"/>
  <c r="A57" i="198"/>
  <c r="D57" i="198"/>
  <c r="E57" i="198"/>
  <c r="F57" i="198"/>
  <c r="G57" i="198"/>
  <c r="H57" i="198"/>
  <c r="I57" i="198"/>
  <c r="J57" i="198"/>
  <c r="K57" i="198"/>
  <c r="L57" i="198"/>
  <c r="A58" i="198"/>
  <c r="A59" i="198"/>
  <c r="D61" i="198"/>
  <c r="E61" i="198"/>
  <c r="F61" i="198"/>
  <c r="G61" i="198"/>
  <c r="H61" i="198"/>
  <c r="I61" i="198"/>
  <c r="J61" i="198"/>
  <c r="K61" i="198"/>
  <c r="L61" i="198"/>
  <c r="E62" i="198"/>
  <c r="F62" i="198"/>
  <c r="G62" i="198"/>
  <c r="H62" i="198"/>
  <c r="I62" i="198"/>
  <c r="J62" i="198"/>
  <c r="K62" i="198"/>
  <c r="L62" i="198"/>
  <c r="E63" i="198"/>
  <c r="F63" i="198"/>
  <c r="G63" i="198"/>
  <c r="H63" i="198"/>
  <c r="H16" i="198" s="1"/>
  <c r="I63" i="198"/>
  <c r="J63" i="198"/>
  <c r="K63" i="198"/>
  <c r="L63" i="198"/>
  <c r="D64" i="198"/>
  <c r="E64" i="198"/>
  <c r="F64" i="198"/>
  <c r="G64" i="198"/>
  <c r="H64" i="198"/>
  <c r="I64" i="198"/>
  <c r="J64" i="198"/>
  <c r="K64" i="198"/>
  <c r="L64" i="198"/>
  <c r="A65" i="198"/>
  <c r="A66" i="198"/>
  <c r="D66" i="198"/>
  <c r="E66" i="198"/>
  <c r="F66" i="198"/>
  <c r="G66" i="198"/>
  <c r="H66" i="198"/>
  <c r="I66" i="198"/>
  <c r="J66" i="198"/>
  <c r="K66" i="198"/>
  <c r="L66" i="198"/>
  <c r="D67" i="198"/>
  <c r="E67" i="198"/>
  <c r="F67" i="198"/>
  <c r="G67" i="198"/>
  <c r="H67" i="198"/>
  <c r="I67" i="198"/>
  <c r="J67" i="198"/>
  <c r="K67" i="198"/>
  <c r="L67" i="198"/>
  <c r="D69" i="198"/>
  <c r="E69" i="198"/>
  <c r="F69" i="198"/>
  <c r="G69" i="198"/>
  <c r="H69" i="198"/>
  <c r="I69" i="198"/>
  <c r="J69" i="198"/>
  <c r="K69" i="198"/>
  <c r="L69" i="198"/>
  <c r="D70" i="198"/>
  <c r="E70" i="198"/>
  <c r="F70" i="198"/>
  <c r="G70" i="198"/>
  <c r="H70" i="198"/>
  <c r="I70" i="198"/>
  <c r="J70" i="198"/>
  <c r="K70" i="198"/>
  <c r="L70" i="198"/>
  <c r="D71" i="198"/>
  <c r="E71" i="198"/>
  <c r="F71" i="198"/>
  <c r="G71" i="198"/>
  <c r="H71" i="198"/>
  <c r="I71" i="198"/>
  <c r="J71" i="198"/>
  <c r="K71" i="198"/>
  <c r="L71" i="198"/>
  <c r="D72" i="198"/>
  <c r="E72" i="198"/>
  <c r="F72" i="198"/>
  <c r="G72" i="198"/>
  <c r="H72" i="198"/>
  <c r="I72" i="198"/>
  <c r="J72" i="198"/>
  <c r="K72" i="198"/>
  <c r="L72" i="198"/>
  <c r="E74" i="198"/>
  <c r="E73" i="198" s="1"/>
  <c r="I2" i="199"/>
  <c r="C3" i="199"/>
  <c r="D3" i="199"/>
  <c r="E3" i="199"/>
  <c r="F3" i="199"/>
  <c r="G3" i="199"/>
  <c r="H3" i="199"/>
  <c r="A2" i="200"/>
  <c r="B2" i="200"/>
  <c r="I2" i="200"/>
  <c r="C3" i="200"/>
  <c r="D3" i="200"/>
  <c r="E3" i="200"/>
  <c r="F3" i="200"/>
  <c r="G3" i="200"/>
  <c r="H3" i="200"/>
  <c r="C18" i="200"/>
  <c r="B42" i="279" s="1"/>
  <c r="D18" i="200"/>
  <c r="C42" i="279" s="1"/>
  <c r="E18" i="200"/>
  <c r="F18" i="200"/>
  <c r="E42" i="279" s="1"/>
  <c r="G18" i="200"/>
  <c r="F42" i="279" s="1"/>
  <c r="H18" i="200"/>
  <c r="G42" i="279" s="1"/>
  <c r="I18" i="200"/>
  <c r="J18" i="200"/>
  <c r="K18" i="200"/>
  <c r="C43" i="279"/>
  <c r="D43" i="279"/>
  <c r="E43" i="279"/>
  <c r="F43" i="279"/>
  <c r="G43" i="279"/>
  <c r="O227" i="204"/>
  <c r="C37" i="200"/>
  <c r="B44" i="279" s="1"/>
  <c r="D37" i="200"/>
  <c r="E37" i="200"/>
  <c r="D44" i="279" s="1"/>
  <c r="F37" i="200"/>
  <c r="E44" i="279" s="1"/>
  <c r="G37" i="200"/>
  <c r="F44" i="279" s="1"/>
  <c r="H37" i="200"/>
  <c r="G44" i="279" s="1"/>
  <c r="I37" i="200"/>
  <c r="J37" i="200"/>
  <c r="K37" i="200"/>
  <c r="A2" i="201"/>
  <c r="B2" i="201"/>
  <c r="I2" i="201"/>
  <c r="C3" i="201"/>
  <c r="D3" i="201"/>
  <c r="E3" i="201"/>
  <c r="F3" i="201"/>
  <c r="G3" i="201"/>
  <c r="H3" i="201"/>
  <c r="C12" i="201"/>
  <c r="D58" i="198" s="1"/>
  <c r="D12" i="201"/>
  <c r="E58" i="198" s="1"/>
  <c r="E13" i="198" s="1"/>
  <c r="E12" i="201"/>
  <c r="F58" i="198" s="1"/>
  <c r="F12" i="201"/>
  <c r="G12" i="201"/>
  <c r="H58" i="198" s="1"/>
  <c r="H12" i="201"/>
  <c r="I12" i="201"/>
  <c r="J58" i="198" s="1"/>
  <c r="J12" i="201"/>
  <c r="K58" i="198" s="1"/>
  <c r="K12" i="201"/>
  <c r="J35" i="279" s="1"/>
  <c r="B36" i="279"/>
  <c r="C36" i="279"/>
  <c r="D36" i="279"/>
  <c r="F36" i="279"/>
  <c r="G36" i="279"/>
  <c r="C34" i="201"/>
  <c r="B37" i="279" s="1"/>
  <c r="D34" i="201"/>
  <c r="E59" i="198" s="1"/>
  <c r="E34" i="201"/>
  <c r="D37" i="279" s="1"/>
  <c r="F34" i="201"/>
  <c r="G59" i="198" s="1"/>
  <c r="G34" i="201"/>
  <c r="H59" i="198" s="1"/>
  <c r="H34" i="201"/>
  <c r="I59" i="198" s="1"/>
  <c r="I34" i="201"/>
  <c r="J59" i="198" s="1"/>
  <c r="J34" i="201"/>
  <c r="K59" i="198" s="1"/>
  <c r="K34" i="201"/>
  <c r="L59" i="198" s="1"/>
  <c r="C39" i="201"/>
  <c r="B38" i="279" s="1"/>
  <c r="D39" i="201"/>
  <c r="D40" i="201" s="1"/>
  <c r="E39" i="201"/>
  <c r="D38" i="279" s="1"/>
  <c r="F39" i="201"/>
  <c r="E38" i="279" s="1"/>
  <c r="G39" i="201"/>
  <c r="G40" i="201" s="1"/>
  <c r="H39" i="201"/>
  <c r="G38" i="279" s="1"/>
  <c r="I39" i="201"/>
  <c r="H38" i="279" s="1"/>
  <c r="J39" i="201"/>
  <c r="I38" i="279" s="1"/>
  <c r="K39" i="201"/>
  <c r="B39" i="279"/>
  <c r="D39" i="279"/>
  <c r="H56" i="198"/>
  <c r="J56" i="198"/>
  <c r="J39" i="279"/>
  <c r="A2" i="202"/>
  <c r="B2" i="202"/>
  <c r="I2" i="202"/>
  <c r="C3" i="202"/>
  <c r="D3" i="202"/>
  <c r="E3" i="202"/>
  <c r="F3" i="202"/>
  <c r="G3" i="202"/>
  <c r="H3" i="202"/>
  <c r="A2" i="65"/>
  <c r="B2" i="65"/>
  <c r="I2" i="65"/>
  <c r="C3" i="65"/>
  <c r="D3" i="65"/>
  <c r="E3" i="65"/>
  <c r="F3" i="65"/>
  <c r="G3" i="65"/>
  <c r="H3" i="65"/>
  <c r="I65" i="198"/>
  <c r="I68" i="198" s="1"/>
  <c r="L65" i="198"/>
  <c r="L68" i="198" s="1"/>
  <c r="L21" i="65"/>
  <c r="C35" i="65"/>
  <c r="D50" i="198" s="1"/>
  <c r="D35" i="65"/>
  <c r="E50" i="198" s="1"/>
  <c r="E35" i="65"/>
  <c r="F50" i="198" s="1"/>
  <c r="F35" i="65"/>
  <c r="G50" i="198" s="1"/>
  <c r="G35" i="65"/>
  <c r="H50" i="198" s="1"/>
  <c r="H35" i="65"/>
  <c r="I35" i="65"/>
  <c r="J50" i="198" s="1"/>
  <c r="J35" i="65"/>
  <c r="K50" i="198" s="1"/>
  <c r="L50" i="198"/>
  <c r="A2" i="279"/>
  <c r="H2" i="279"/>
  <c r="B3" i="279"/>
  <c r="C3" i="279"/>
  <c r="D3" i="279"/>
  <c r="E3" i="279"/>
  <c r="F3" i="279"/>
  <c r="G3" i="279"/>
  <c r="B7" i="279"/>
  <c r="C7" i="279"/>
  <c r="D7" i="279"/>
  <c r="E7" i="279"/>
  <c r="F7" i="279"/>
  <c r="G7" i="279"/>
  <c r="H7" i="279"/>
  <c r="I7" i="279"/>
  <c r="J7" i="279"/>
  <c r="B8" i="279"/>
  <c r="C8" i="279"/>
  <c r="D8" i="279"/>
  <c r="E8" i="279"/>
  <c r="F8" i="279"/>
  <c r="G8" i="279"/>
  <c r="H8" i="279"/>
  <c r="I8" i="279"/>
  <c r="J8" i="279"/>
  <c r="B9" i="279"/>
  <c r="C9" i="279"/>
  <c r="D9" i="279"/>
  <c r="E9" i="279"/>
  <c r="F9" i="279"/>
  <c r="G9" i="279"/>
  <c r="H9" i="279"/>
  <c r="I9" i="279"/>
  <c r="J9" i="279"/>
  <c r="B11" i="279"/>
  <c r="C11" i="279"/>
  <c r="D11" i="279"/>
  <c r="E11" i="279"/>
  <c r="F11" i="279"/>
  <c r="G11" i="279"/>
  <c r="H11" i="279"/>
  <c r="I11" i="279"/>
  <c r="J11" i="279"/>
  <c r="B12" i="279"/>
  <c r="C12" i="279"/>
  <c r="D12" i="279"/>
  <c r="E12" i="279"/>
  <c r="F12" i="279"/>
  <c r="G12" i="279"/>
  <c r="H12" i="279"/>
  <c r="I12" i="279"/>
  <c r="J12"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1" i="279"/>
  <c r="B23" i="279"/>
  <c r="C23" i="279"/>
  <c r="D23" i="279"/>
  <c r="E23" i="279"/>
  <c r="F23" i="279"/>
  <c r="G23" i="279"/>
  <c r="H23" i="279"/>
  <c r="I23" i="279"/>
  <c r="J23" i="279"/>
  <c r="I35" i="279"/>
  <c r="E36" i="279"/>
  <c r="J36" i="279"/>
  <c r="C37" i="279"/>
  <c r="H37" i="279"/>
  <c r="J38" i="279"/>
  <c r="H39" i="279"/>
  <c r="I43" i="279"/>
  <c r="C44" i="279"/>
  <c r="A2" i="333"/>
  <c r="J2" i="333"/>
  <c r="K2" i="333"/>
  <c r="L2" i="333"/>
  <c r="M2" i="333"/>
  <c r="N2" i="333"/>
  <c r="O2" i="333"/>
  <c r="A3" i="333"/>
  <c r="J3" i="333"/>
  <c r="K3" i="333"/>
  <c r="L3" i="333"/>
  <c r="M3" i="333"/>
  <c r="N3" i="333"/>
  <c r="O3" i="333"/>
  <c r="A4" i="333"/>
  <c r="J4" i="333"/>
  <c r="K4" i="333"/>
  <c r="L4" i="333"/>
  <c r="M4" i="333"/>
  <c r="N4" i="333"/>
  <c r="O4" i="333"/>
  <c r="A5" i="333"/>
  <c r="J5" i="333"/>
  <c r="K5" i="333"/>
  <c r="L5" i="333"/>
  <c r="M5" i="333"/>
  <c r="N5" i="333"/>
  <c r="O5" i="333"/>
  <c r="A6" i="333"/>
  <c r="J6" i="333"/>
  <c r="K6" i="333"/>
  <c r="L6" i="333"/>
  <c r="M6" i="333"/>
  <c r="N6" i="333"/>
  <c r="O6" i="333"/>
  <c r="A7" i="333"/>
  <c r="J7" i="333"/>
  <c r="K7" i="333"/>
  <c r="L7" i="333"/>
  <c r="M7" i="333"/>
  <c r="N7" i="333"/>
  <c r="O7" i="333"/>
  <c r="A8" i="333"/>
  <c r="J8" i="333"/>
  <c r="K8" i="333"/>
  <c r="L8" i="333"/>
  <c r="M8" i="333"/>
  <c r="N8" i="333"/>
  <c r="O8" i="333"/>
  <c r="A9" i="333"/>
  <c r="J9" i="333"/>
  <c r="K9" i="333"/>
  <c r="L9" i="333"/>
  <c r="M9" i="333"/>
  <c r="N9" i="333"/>
  <c r="O9" i="333"/>
  <c r="A10" i="333"/>
  <c r="J10" i="333"/>
  <c r="K10" i="333"/>
  <c r="L10" i="333"/>
  <c r="M10" i="333"/>
  <c r="N10" i="333"/>
  <c r="O10" i="333"/>
  <c r="A11" i="333"/>
  <c r="J11" i="333"/>
  <c r="K11" i="333"/>
  <c r="L11" i="333"/>
  <c r="M11" i="333"/>
  <c r="N11" i="333"/>
  <c r="O11" i="333"/>
  <c r="A12" i="333"/>
  <c r="J12" i="333"/>
  <c r="K12" i="333"/>
  <c r="L12" i="333"/>
  <c r="M12" i="333"/>
  <c r="N12" i="333"/>
  <c r="O12" i="333"/>
  <c r="A13" i="333"/>
  <c r="J13" i="333"/>
  <c r="K13" i="333"/>
  <c r="L13" i="333"/>
  <c r="M13" i="333"/>
  <c r="N13" i="333"/>
  <c r="O13" i="333"/>
  <c r="A14" i="333"/>
  <c r="J14" i="333"/>
  <c r="K14" i="333"/>
  <c r="L14" i="333"/>
  <c r="M14" i="333"/>
  <c r="N14" i="333"/>
  <c r="O14" i="333"/>
  <c r="A15" i="333"/>
  <c r="J15" i="333"/>
  <c r="K15" i="333"/>
  <c r="L15" i="333"/>
  <c r="M15" i="333"/>
  <c r="N15" i="333"/>
  <c r="O15" i="333"/>
  <c r="A16" i="333"/>
  <c r="J16" i="333"/>
  <c r="K16" i="333"/>
  <c r="L16" i="333"/>
  <c r="M16" i="333"/>
  <c r="N16" i="333"/>
  <c r="O16" i="333"/>
  <c r="A17" i="333"/>
  <c r="J17" i="333"/>
  <c r="K17" i="333"/>
  <c r="L17" i="333"/>
  <c r="M17" i="333"/>
  <c r="N17" i="333"/>
  <c r="O17" i="333"/>
  <c r="A18" i="333"/>
  <c r="J18" i="333"/>
  <c r="K18" i="333"/>
  <c r="L18" i="333"/>
  <c r="M18" i="333"/>
  <c r="N18" i="333"/>
  <c r="O18" i="333"/>
  <c r="A19" i="333"/>
  <c r="J19" i="333"/>
  <c r="K19" i="333"/>
  <c r="L19" i="333"/>
  <c r="M19" i="333"/>
  <c r="N19" i="333"/>
  <c r="O19" i="333"/>
  <c r="A20" i="333"/>
  <c r="J20" i="333"/>
  <c r="K20" i="333"/>
  <c r="L20" i="333"/>
  <c r="M20" i="333"/>
  <c r="N20" i="333"/>
  <c r="O20" i="333"/>
  <c r="A21" i="333"/>
  <c r="J21" i="333"/>
  <c r="K21" i="333"/>
  <c r="L21" i="333"/>
  <c r="M21" i="333"/>
  <c r="N21" i="333"/>
  <c r="O21" i="333"/>
  <c r="A22" i="333"/>
  <c r="J22" i="333"/>
  <c r="K22" i="333"/>
  <c r="L22" i="333"/>
  <c r="M22" i="333"/>
  <c r="N22" i="333"/>
  <c r="O22" i="333"/>
  <c r="J23" i="333"/>
  <c r="K23" i="333"/>
  <c r="L23" i="333"/>
  <c r="M23" i="333"/>
  <c r="N23" i="333"/>
  <c r="O23"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B100" i="100"/>
  <c r="A1" i="282" s="1"/>
  <c r="X34" i="338"/>
  <c r="B16" i="100" s="1"/>
  <c r="O3" i="329" s="1"/>
  <c r="E65" i="198"/>
  <c r="L56" i="198"/>
  <c r="D56" i="198"/>
  <c r="D10" i="198" s="1"/>
  <c r="F39" i="279"/>
  <c r="G56" i="198"/>
  <c r="E39" i="279"/>
  <c r="F56" i="198"/>
  <c r="H36" i="279"/>
  <c r="E35" i="279"/>
  <c r="F25" i="201"/>
  <c r="G47" i="198" s="1"/>
  <c r="G58" i="198"/>
  <c r="B43" i="279"/>
  <c r="C39" i="279"/>
  <c r="E56" i="198"/>
  <c r="F59" i="198"/>
  <c r="C25" i="201"/>
  <c r="D47" i="198" s="1"/>
  <c r="I36" i="279"/>
  <c r="G152" i="202"/>
  <c r="I158" i="202"/>
  <c r="N192" i="204" s="1"/>
  <c r="M192" i="204" s="1"/>
  <c r="J155" i="202"/>
  <c r="O189" i="204" s="1"/>
  <c r="E110" i="342"/>
  <c r="F74" i="341"/>
  <c r="K174" i="202"/>
  <c r="K178" i="202" s="1"/>
  <c r="I74" i="284"/>
  <c r="K54" i="198"/>
  <c r="I50" i="198"/>
  <c r="D74" i="343"/>
  <c r="D110" i="343"/>
  <c r="J118" i="343"/>
  <c r="H118" i="343"/>
  <c r="F6" i="343"/>
  <c r="C74" i="343"/>
  <c r="I110" i="343"/>
  <c r="I118" i="343"/>
  <c r="H53" i="198"/>
  <c r="H54" i="198"/>
  <c r="E118" i="344"/>
  <c r="D118" i="344"/>
  <c r="C74" i="342"/>
  <c r="D110" i="342"/>
  <c r="K111" i="202"/>
  <c r="P145" i="204" s="1"/>
  <c r="J111" i="202"/>
  <c r="I74" i="341"/>
  <c r="C110" i="341"/>
  <c r="G110" i="341"/>
  <c r="G28" i="279"/>
  <c r="G74" i="341"/>
  <c r="K74" i="341"/>
  <c r="J74" i="341"/>
  <c r="E110" i="341"/>
  <c r="F118" i="341"/>
  <c r="H62" i="202"/>
  <c r="K68" i="202"/>
  <c r="P102" i="204" s="1"/>
  <c r="K98" i="202"/>
  <c r="P132" i="204" s="1"/>
  <c r="F114" i="202"/>
  <c r="J114" i="202"/>
  <c r="O148" i="204" s="1"/>
  <c r="D131" i="202"/>
  <c r="F110" i="341"/>
  <c r="J118" i="341"/>
  <c r="J98" i="202"/>
  <c r="O132" i="204" s="1"/>
  <c r="H114" i="202"/>
  <c r="K131" i="202"/>
  <c r="D12" i="202"/>
  <c r="H26" i="202"/>
  <c r="D44" i="202"/>
  <c r="G62" i="202"/>
  <c r="E103" i="202"/>
  <c r="I131" i="202"/>
  <c r="I53" i="198"/>
  <c r="E114" i="202"/>
  <c r="I114" i="202"/>
  <c r="N148" i="204" s="1"/>
  <c r="M148" i="204" s="1"/>
  <c r="F174" i="202"/>
  <c r="E28" i="279" s="1"/>
  <c r="E32" i="279" s="1"/>
  <c r="J174" i="202"/>
  <c r="J178" i="202" s="1"/>
  <c r="D98" i="202"/>
  <c r="G114" i="202"/>
  <c r="E26" i="202"/>
  <c r="C98" i="202"/>
  <c r="G98" i="202"/>
  <c r="E7" i="202"/>
  <c r="J54" i="198"/>
  <c r="E111" i="202"/>
  <c r="E131" i="202"/>
  <c r="C131" i="202"/>
  <c r="J131" i="202"/>
  <c r="O165" i="204" s="1"/>
  <c r="D110" i="284"/>
  <c r="D7" i="202"/>
  <c r="H7" i="202"/>
  <c r="G7" i="202"/>
  <c r="K12" i="202"/>
  <c r="P46" i="204" s="1"/>
  <c r="D26" i="202"/>
  <c r="J37" i="202"/>
  <c r="O71" i="204" s="1"/>
  <c r="J44" i="202"/>
  <c r="O78" i="204" s="1"/>
  <c r="H52" i="202"/>
  <c r="J68" i="202"/>
  <c r="O102" i="204" s="1"/>
  <c r="D68" i="202"/>
  <c r="H68" i="202"/>
  <c r="I98" i="202"/>
  <c r="N132" i="204" s="1"/>
  <c r="M132" i="204" s="1"/>
  <c r="D103" i="202"/>
  <c r="H103" i="202"/>
  <c r="D111" i="202"/>
  <c r="H111" i="202"/>
  <c r="C111" i="202"/>
  <c r="G111" i="202"/>
  <c r="E174" i="202"/>
  <c r="D28" i="279" s="1"/>
  <c r="D32" i="279" s="1"/>
  <c r="D174" i="202"/>
  <c r="D178" i="202" s="1"/>
  <c r="H74" i="284"/>
  <c r="K110" i="284"/>
  <c r="K53" i="198"/>
  <c r="K54" i="285" l="1"/>
  <c r="J54" i="285"/>
  <c r="K38" i="285"/>
  <c r="I54" i="285"/>
  <c r="J38" i="285"/>
  <c r="K22" i="285"/>
  <c r="P217" i="204"/>
  <c r="O217" i="204"/>
  <c r="N217" i="204"/>
  <c r="M217" i="204" s="1"/>
  <c r="K6" i="344"/>
  <c r="I6" i="344"/>
  <c r="E118" i="341"/>
  <c r="D6" i="341"/>
  <c r="K74" i="284"/>
  <c r="F98" i="202"/>
  <c r="D119" i="202"/>
  <c r="F119" i="202"/>
  <c r="F118" i="202" s="1"/>
  <c r="G119" i="202"/>
  <c r="G118" i="202" s="1"/>
  <c r="D75" i="202"/>
  <c r="I6" i="284"/>
  <c r="I167" i="284" s="1"/>
  <c r="F37" i="279"/>
  <c r="E40" i="201"/>
  <c r="E18" i="198"/>
  <c r="E25" i="201"/>
  <c r="F47" i="198" s="1"/>
  <c r="B35" i="279"/>
  <c r="I14" i="198"/>
  <c r="H37" i="336"/>
  <c r="F37" i="336"/>
  <c r="I155" i="202"/>
  <c r="N189" i="204" s="1"/>
  <c r="M189" i="204" s="1"/>
  <c r="E118" i="284"/>
  <c r="H119" i="202"/>
  <c r="H118" i="202" s="1"/>
  <c r="E119" i="202"/>
  <c r="E118" i="202" s="1"/>
  <c r="D74" i="202"/>
  <c r="J74" i="284"/>
  <c r="J167" i="284" s="1"/>
  <c r="H75" i="202"/>
  <c r="H74" i="202" s="1"/>
  <c r="G75" i="202"/>
  <c r="G74" i="202" s="1"/>
  <c r="E75" i="202"/>
  <c r="D16" i="202"/>
  <c r="D6" i="202" s="1"/>
  <c r="E16" i="202"/>
  <c r="H16" i="202"/>
  <c r="G16" i="202"/>
  <c r="G6" i="202" s="1"/>
  <c r="K16" i="202"/>
  <c r="P50" i="204" s="1"/>
  <c r="G6" i="284"/>
  <c r="D6" i="284"/>
  <c r="C6" i="342"/>
  <c r="F38" i="279"/>
  <c r="K26" i="202"/>
  <c r="P60" i="204" s="1"/>
  <c r="J16" i="202"/>
  <c r="O50" i="204" s="1"/>
  <c r="K103" i="202"/>
  <c r="P137" i="204" s="1"/>
  <c r="K114" i="202"/>
  <c r="P148" i="204" s="1"/>
  <c r="K37" i="202"/>
  <c r="P71" i="204" s="1"/>
  <c r="J37" i="279"/>
  <c r="H56" i="285"/>
  <c r="D74" i="284"/>
  <c r="I110" i="341"/>
  <c r="F118" i="342"/>
  <c r="C110" i="344"/>
  <c r="I119" i="202"/>
  <c r="N153" i="204" s="1"/>
  <c r="M153" i="204" s="1"/>
  <c r="J26" i="202"/>
  <c r="O60" i="204" s="1"/>
  <c r="C40" i="201"/>
  <c r="I141" i="202"/>
  <c r="K52" i="202"/>
  <c r="P86" i="204" s="1"/>
  <c r="J12" i="202"/>
  <c r="O46" i="204" s="1"/>
  <c r="K75" i="202"/>
  <c r="P109" i="204" s="1"/>
  <c r="G25" i="201"/>
  <c r="H47" i="198" s="1"/>
  <c r="D59" i="198"/>
  <c r="D12" i="198" s="1"/>
  <c r="F74" i="342"/>
  <c r="K44" i="202"/>
  <c r="P78" i="204" s="1"/>
  <c r="J62" i="202"/>
  <c r="O96" i="204" s="1"/>
  <c r="J103" i="202"/>
  <c r="O137" i="204" s="1"/>
  <c r="K119" i="202"/>
  <c r="P153" i="204" s="1"/>
  <c r="I6" i="341"/>
  <c r="J74" i="344"/>
  <c r="E141" i="202"/>
  <c r="E139" i="202" s="1"/>
  <c r="D141" i="202"/>
  <c r="D139" i="202" s="1"/>
  <c r="K6" i="343"/>
  <c r="K62" i="202"/>
  <c r="P96" i="204" s="1"/>
  <c r="F35" i="279"/>
  <c r="L53" i="198"/>
  <c r="J75" i="202"/>
  <c r="O109" i="204" s="1"/>
  <c r="J52" i="202"/>
  <c r="O86" i="204" s="1"/>
  <c r="K7" i="202"/>
  <c r="I52" i="202"/>
  <c r="N86" i="204" s="1"/>
  <c r="M86" i="204" s="1"/>
  <c r="K40" i="201"/>
  <c r="C12" i="202"/>
  <c r="F26" i="202"/>
  <c r="F37" i="202"/>
  <c r="F44" i="202"/>
  <c r="F62" i="202"/>
  <c r="C68" i="202"/>
  <c r="F75" i="202"/>
  <c r="F74" i="202" s="1"/>
  <c r="C119" i="202"/>
  <c r="C118" i="202" s="1"/>
  <c r="I103" i="202"/>
  <c r="N137" i="204" s="1"/>
  <c r="M137" i="204" s="1"/>
  <c r="E74" i="284"/>
  <c r="J7" i="202"/>
  <c r="O41" i="204" s="1"/>
  <c r="I25" i="201"/>
  <c r="J47" i="198" s="1"/>
  <c r="I26" i="202"/>
  <c r="N60" i="204" s="1"/>
  <c r="M60" i="204" s="1"/>
  <c r="J119" i="202"/>
  <c r="O153" i="204" s="1"/>
  <c r="G32" i="279"/>
  <c r="H35" i="279"/>
  <c r="C6" i="284"/>
  <c r="D118" i="342"/>
  <c r="H6" i="343"/>
  <c r="H167" i="343" s="1"/>
  <c r="F118" i="344"/>
  <c r="X36" i="338"/>
  <c r="B28" i="100"/>
  <c r="B21" i="100"/>
  <c r="J2" i="330" s="1"/>
  <c r="B27" i="100"/>
  <c r="L38" i="198"/>
  <c r="H110" i="202"/>
  <c r="C28" i="279"/>
  <c r="C32" i="279" s="1"/>
  <c r="D167" i="343"/>
  <c r="C6" i="341"/>
  <c r="K6" i="284"/>
  <c r="K167" i="284" s="1"/>
  <c r="G118" i="284"/>
  <c r="I6" i="342"/>
  <c r="F6" i="342"/>
  <c r="F6" i="284"/>
  <c r="H118" i="284"/>
  <c r="J25" i="201"/>
  <c r="K47" i="198" s="1"/>
  <c r="K110" i="341"/>
  <c r="H110" i="342"/>
  <c r="F6" i="341"/>
  <c r="F167" i="341" s="1"/>
  <c r="F16" i="202"/>
  <c r="C16" i="202"/>
  <c r="C6" i="202" s="1"/>
  <c r="C26" i="202"/>
  <c r="C37" i="202"/>
  <c r="C44" i="202"/>
  <c r="F52" i="202"/>
  <c r="C52" i="202"/>
  <c r="C62" i="202"/>
  <c r="F68" i="202"/>
  <c r="C75" i="202"/>
  <c r="C74" i="202" s="1"/>
  <c r="F110" i="202"/>
  <c r="H6" i="284"/>
  <c r="H167" i="284" s="1"/>
  <c r="E6" i="284"/>
  <c r="H74" i="341"/>
  <c r="E74" i="342"/>
  <c r="J110" i="342"/>
  <c r="K149" i="202"/>
  <c r="P183" i="204" s="1"/>
  <c r="G110" i="202"/>
  <c r="C110" i="202"/>
  <c r="D118" i="202"/>
  <c r="E110" i="202"/>
  <c r="C167" i="284"/>
  <c r="G110" i="284"/>
  <c r="D118" i="341"/>
  <c r="H118" i="342"/>
  <c r="I74" i="343"/>
  <c r="E74" i="344"/>
  <c r="H110" i="344"/>
  <c r="E74" i="202"/>
  <c r="J167" i="343"/>
  <c r="I3" i="285"/>
  <c r="I10" i="279"/>
  <c r="C56" i="285"/>
  <c r="D34" i="198" s="1"/>
  <c r="G74" i="342"/>
  <c r="F6" i="344"/>
  <c r="F74" i="344"/>
  <c r="K118" i="344"/>
  <c r="I152" i="202"/>
  <c r="N186" i="204" s="1"/>
  <c r="M186" i="204" s="1"/>
  <c r="J39" i="200"/>
  <c r="I44" i="202"/>
  <c r="N78" i="204" s="1"/>
  <c r="M78" i="204" s="1"/>
  <c r="B2" i="204"/>
  <c r="I28" i="279"/>
  <c r="I32" i="279" s="1"/>
  <c r="I75" i="202"/>
  <c r="I3" i="65"/>
  <c r="B19" i="100"/>
  <c r="H2" i="330" s="1"/>
  <c r="D35" i="279"/>
  <c r="L58" i="198"/>
  <c r="L12" i="198" s="1"/>
  <c r="E56" i="285"/>
  <c r="H110" i="343"/>
  <c r="G110" i="344"/>
  <c r="J136" i="202"/>
  <c r="O170" i="204" s="1"/>
  <c r="O171" i="204"/>
  <c r="K136" i="202"/>
  <c r="P170" i="204" s="1"/>
  <c r="P171" i="204"/>
  <c r="K141" i="202"/>
  <c r="P178" i="204"/>
  <c r="I149" i="202"/>
  <c r="N183" i="204" s="1"/>
  <c r="M183" i="204" s="1"/>
  <c r="N184" i="204"/>
  <c r="I3" i="202"/>
  <c r="B17" i="100"/>
  <c r="D3" i="330" s="1"/>
  <c r="I56" i="285"/>
  <c r="J34" i="198" s="1"/>
  <c r="B26" i="100"/>
  <c r="E40" i="198"/>
  <c r="H74" i="342"/>
  <c r="E118" i="342"/>
  <c r="E167" i="342" s="1"/>
  <c r="I6" i="343"/>
  <c r="K74" i="343"/>
  <c r="K167" i="343" s="1"/>
  <c r="E6" i="344"/>
  <c r="E167" i="344" s="1"/>
  <c r="J149" i="202"/>
  <c r="O183" i="204" s="1"/>
  <c r="P165" i="204"/>
  <c r="E6" i="202"/>
  <c r="J167" i="341"/>
  <c r="B4" i="100"/>
  <c r="D2" i="198" s="1"/>
  <c r="B24" i="100"/>
  <c r="M2" i="330" s="1"/>
  <c r="K110" i="344"/>
  <c r="J43" i="279"/>
  <c r="P227" i="204"/>
  <c r="C74" i="341"/>
  <c r="C167" i="341" s="1"/>
  <c r="J158" i="202"/>
  <c r="O192" i="204" s="1"/>
  <c r="O193" i="204"/>
  <c r="I161" i="202"/>
  <c r="N195" i="204" s="1"/>
  <c r="M195" i="204" s="1"/>
  <c r="N196" i="204"/>
  <c r="M196" i="204" s="1"/>
  <c r="I164" i="202"/>
  <c r="N198" i="204" s="1"/>
  <c r="M198" i="204" s="1"/>
  <c r="N199" i="204"/>
  <c r="M199" i="204" s="1"/>
  <c r="F6" i="202"/>
  <c r="J28" i="279"/>
  <c r="J32" i="279" s="1"/>
  <c r="G37" i="279"/>
  <c r="I40" i="201"/>
  <c r="I42" i="201" s="1"/>
  <c r="I53" i="201" s="1"/>
  <c r="G74" i="284"/>
  <c r="E110" i="284"/>
  <c r="D110" i="341"/>
  <c r="G6" i="342"/>
  <c r="D6" i="342"/>
  <c r="G110" i="342"/>
  <c r="G118" i="342"/>
  <c r="E74" i="343"/>
  <c r="K158" i="202"/>
  <c r="P192" i="204" s="1"/>
  <c r="J161" i="202"/>
  <c r="O195" i="204" s="1"/>
  <c r="J164" i="202"/>
  <c r="O198" i="204" s="1"/>
  <c r="O199" i="204"/>
  <c r="N165" i="204"/>
  <c r="M165" i="204" s="1"/>
  <c r="K25" i="201"/>
  <c r="B7" i="100"/>
  <c r="B51" i="100" s="1"/>
  <c r="B6" i="100"/>
  <c r="H40" i="201"/>
  <c r="H43" i="279"/>
  <c r="N227" i="204"/>
  <c r="J74" i="342"/>
  <c r="F110" i="342"/>
  <c r="J152" i="202"/>
  <c r="O186" i="204" s="1"/>
  <c r="O187" i="204"/>
  <c r="K164" i="202"/>
  <c r="P198" i="204" s="1"/>
  <c r="P199" i="204"/>
  <c r="K167" i="341"/>
  <c r="I68" i="202"/>
  <c r="N102" i="204" s="1"/>
  <c r="M102" i="204" s="1"/>
  <c r="J110" i="202"/>
  <c r="O144" i="204" s="1"/>
  <c r="O145" i="204"/>
  <c r="J44" i="279"/>
  <c r="P236" i="204"/>
  <c r="E39" i="200"/>
  <c r="M6" i="204"/>
  <c r="M22" i="204" s="1"/>
  <c r="N22" i="204"/>
  <c r="K152" i="202"/>
  <c r="P186" i="204" s="1"/>
  <c r="P187" i="204"/>
  <c r="K155" i="202"/>
  <c r="P189" i="204" s="1"/>
  <c r="P190" i="204"/>
  <c r="K161" i="202"/>
  <c r="P195" i="204" s="1"/>
  <c r="P196" i="204"/>
  <c r="B28" i="279"/>
  <c r="B32" i="279" s="1"/>
  <c r="C178" i="202"/>
  <c r="E53" i="198"/>
  <c r="F53" i="198"/>
  <c r="E178" i="202"/>
  <c r="I111" i="202"/>
  <c r="K110" i="202"/>
  <c r="P144" i="204" s="1"/>
  <c r="B5" i="100"/>
  <c r="N3" i="329" s="1"/>
  <c r="B37" i="100"/>
  <c r="I44" i="279"/>
  <c r="O236" i="204"/>
  <c r="F54" i="285"/>
  <c r="F74" i="343"/>
  <c r="F167" i="343" s="1"/>
  <c r="F28" i="279"/>
  <c r="F32" i="279" s="1"/>
  <c r="I62" i="202"/>
  <c r="N96" i="204" s="1"/>
  <c r="M96" i="204" s="1"/>
  <c r="I12" i="202"/>
  <c r="N46" i="204" s="1"/>
  <c r="M46" i="204" s="1"/>
  <c r="P41" i="204"/>
  <c r="E167" i="341"/>
  <c r="H44" i="279"/>
  <c r="N236" i="204"/>
  <c r="M236" i="204" s="1"/>
  <c r="F110" i="284"/>
  <c r="G74" i="343"/>
  <c r="C110" i="343"/>
  <c r="C6" i="344"/>
  <c r="I74" i="344"/>
  <c r="I167" i="344" s="1"/>
  <c r="D110" i="344"/>
  <c r="J141" i="202"/>
  <c r="O179" i="204"/>
  <c r="O22" i="204"/>
  <c r="E6" i="343"/>
  <c r="D6" i="344"/>
  <c r="D167" i="344" s="1"/>
  <c r="J74" i="202"/>
  <c r="O108" i="204" s="1"/>
  <c r="I37" i="202"/>
  <c r="N71" i="204" s="1"/>
  <c r="M71" i="204" s="1"/>
  <c r="H6" i="202"/>
  <c r="I7" i="202"/>
  <c r="G53" i="198"/>
  <c r="F178" i="202"/>
  <c r="I16" i="202"/>
  <c r="N50" i="204" s="1"/>
  <c r="M50" i="204" s="1"/>
  <c r="I3" i="341"/>
  <c r="G42" i="201"/>
  <c r="G53" i="201" s="1"/>
  <c r="B20" i="100"/>
  <c r="I2" i="330" s="1"/>
  <c r="B30" i="100"/>
  <c r="H38" i="285"/>
  <c r="E37" i="336"/>
  <c r="P22" i="204"/>
  <c r="D74" i="342"/>
  <c r="F110" i="344"/>
  <c r="F167" i="344" s="1"/>
  <c r="I136" i="202"/>
  <c r="N170" i="204" s="1"/>
  <c r="M170" i="204" s="1"/>
  <c r="N171" i="204"/>
  <c r="M171" i="204" s="1"/>
  <c r="J53" i="198"/>
  <c r="I178" i="202"/>
  <c r="H42" i="279"/>
  <c r="D42" i="279"/>
  <c r="J42" i="279"/>
  <c r="H39" i="200"/>
  <c r="F17" i="279"/>
  <c r="F18" i="279" s="1"/>
  <c r="D17" i="279"/>
  <c r="D18" i="279" s="1"/>
  <c r="G65" i="198"/>
  <c r="G68" i="198" s="1"/>
  <c r="G38" i="198" s="1"/>
  <c r="J65" i="198"/>
  <c r="J68" i="198" s="1"/>
  <c r="J38" i="198" s="1"/>
  <c r="J17" i="279"/>
  <c r="J18" i="279" s="1"/>
  <c r="G17" i="279"/>
  <c r="G18" i="279" s="1"/>
  <c r="H17" i="279"/>
  <c r="H18" i="279" s="1"/>
  <c r="D10" i="279"/>
  <c r="F37" i="65"/>
  <c r="F41" i="65" s="1"/>
  <c r="F43" i="65" s="1"/>
  <c r="K65" i="198"/>
  <c r="K68" i="198" s="1"/>
  <c r="K38" i="198" s="1"/>
  <c r="C37" i="65"/>
  <c r="C41" i="65" s="1"/>
  <c r="C43" i="65" s="1"/>
  <c r="K37" i="65"/>
  <c r="K41" i="65" s="1"/>
  <c r="K43" i="65" s="1"/>
  <c r="H37" i="65"/>
  <c r="H41" i="65" s="1"/>
  <c r="H43" i="65" s="1"/>
  <c r="I34" i="198"/>
  <c r="F65" i="198"/>
  <c r="F18" i="198" s="1"/>
  <c r="F34" i="198"/>
  <c r="F10" i="279"/>
  <c r="J37" i="65"/>
  <c r="J41" i="65" s="1"/>
  <c r="J43" i="65" s="1"/>
  <c r="G37" i="65"/>
  <c r="G41" i="65" s="1"/>
  <c r="G43" i="65" s="1"/>
  <c r="E7" i="198"/>
  <c r="G13" i="198"/>
  <c r="I42" i="279"/>
  <c r="C39" i="200"/>
  <c r="C41" i="200" s="1"/>
  <c r="D22" i="198" s="1"/>
  <c r="E10" i="279"/>
  <c r="C10" i="279"/>
  <c r="D65" i="198"/>
  <c r="D35" i="198" s="1"/>
  <c r="F13" i="198"/>
  <c r="H10" i="198"/>
  <c r="E39" i="198"/>
  <c r="L33" i="198"/>
  <c r="L18" i="198"/>
  <c r="F12" i="198"/>
  <c r="G7" i="198"/>
  <c r="I16" i="198"/>
  <c r="E16" i="198"/>
  <c r="H13" i="198"/>
  <c r="I38" i="198"/>
  <c r="E35" i="198"/>
  <c r="G16" i="198"/>
  <c r="J10" i="198"/>
  <c r="F39" i="198"/>
  <c r="J14" i="198"/>
  <c r="J12" i="198"/>
  <c r="G10" i="198"/>
  <c r="F7" i="198"/>
  <c r="L36" i="198"/>
  <c r="H7" i="198"/>
  <c r="J7" i="198"/>
  <c r="G39" i="198"/>
  <c r="K16" i="198"/>
  <c r="E10" i="198"/>
  <c r="I18" i="198"/>
  <c r="L35" i="198"/>
  <c r="L39" i="198"/>
  <c r="H39" i="198"/>
  <c r="L16" i="198"/>
  <c r="J16" i="198"/>
  <c r="G14" i="198"/>
  <c r="D40" i="198"/>
  <c r="P36" i="204"/>
  <c r="O36" i="204"/>
  <c r="L14" i="198"/>
  <c r="I7" i="198"/>
  <c r="F10" i="198"/>
  <c r="E68" i="198"/>
  <c r="E38" i="198" s="1"/>
  <c r="L7" i="198"/>
  <c r="K12" i="198"/>
  <c r="K39" i="198"/>
  <c r="F14" i="198"/>
  <c r="D7" i="198"/>
  <c r="F74" i="198"/>
  <c r="E33" i="198"/>
  <c r="J13" i="198"/>
  <c r="E36" i="198"/>
  <c r="B38" i="100"/>
  <c r="J167" i="342"/>
  <c r="I167" i="343"/>
  <c r="I56" i="198"/>
  <c r="I10" i="198" s="1"/>
  <c r="G39" i="279"/>
  <c r="H28" i="279"/>
  <c r="H32" i="279" s="1"/>
  <c r="E12" i="198"/>
  <c r="J56" i="285"/>
  <c r="K34" i="198" s="1"/>
  <c r="F2" i="65"/>
  <c r="I37" i="279"/>
  <c r="F35" i="198"/>
  <c r="K14" i="198"/>
  <c r="I3" i="344"/>
  <c r="C3" i="330"/>
  <c r="I3" i="200"/>
  <c r="I3" i="343"/>
  <c r="H14" i="198"/>
  <c r="I36" i="198"/>
  <c r="D53" i="198"/>
  <c r="I3" i="201"/>
  <c r="N3" i="204"/>
  <c r="I3" i="199"/>
  <c r="H3" i="279"/>
  <c r="H12" i="198"/>
  <c r="J3" i="200"/>
  <c r="G12" i="198"/>
  <c r="K7" i="198"/>
  <c r="I58" i="198"/>
  <c r="G35" i="279"/>
  <c r="H25" i="201"/>
  <c r="D25" i="201"/>
  <c r="C35" i="279"/>
  <c r="F16" i="198"/>
  <c r="H6" i="344"/>
  <c r="E37" i="65"/>
  <c r="E41" i="65" s="1"/>
  <c r="E43" i="65" s="1"/>
  <c r="M36" i="204"/>
  <c r="J3" i="198"/>
  <c r="I2" i="336"/>
  <c r="I3" i="342"/>
  <c r="I3" i="284"/>
  <c r="C42" i="201"/>
  <c r="C53" i="201" s="1"/>
  <c r="L10" i="198"/>
  <c r="C17" i="279"/>
  <c r="C18" i="279" s="1"/>
  <c r="E17" i="279"/>
  <c r="E18" i="279" s="1"/>
  <c r="E19" i="279" s="1"/>
  <c r="E22" i="279" s="1"/>
  <c r="E24" i="279" s="1"/>
  <c r="C38" i="279"/>
  <c r="J40" i="201"/>
  <c r="E37" i="279"/>
  <c r="F40" i="201"/>
  <c r="F42" i="201" s="1"/>
  <c r="F53" i="201" s="1"/>
  <c r="J39" i="198"/>
  <c r="I33" i="198"/>
  <c r="K39" i="200"/>
  <c r="D39" i="200"/>
  <c r="I17" i="279"/>
  <c r="I18" i="279" s="1"/>
  <c r="I19" i="279" s="1"/>
  <c r="I22" i="279" s="1"/>
  <c r="I24" i="279" s="1"/>
  <c r="H10" i="279"/>
  <c r="I39" i="279"/>
  <c r="K56" i="198"/>
  <c r="D13" i="198"/>
  <c r="D39" i="198"/>
  <c r="K56" i="285"/>
  <c r="L34" i="198" s="1"/>
  <c r="G56" i="285"/>
  <c r="H34" i="198" s="1"/>
  <c r="N36" i="204"/>
  <c r="C110" i="342"/>
  <c r="C167" i="342" s="1"/>
  <c r="B17" i="279"/>
  <c r="B18" i="279" s="1"/>
  <c r="I37" i="65"/>
  <c r="I41" i="65" s="1"/>
  <c r="I43" i="65" s="1"/>
  <c r="K13" i="198"/>
  <c r="I39" i="200"/>
  <c r="G39" i="200"/>
  <c r="I35" i="198"/>
  <c r="D56" i="285"/>
  <c r="E34" i="198" s="1"/>
  <c r="D22" i="285"/>
  <c r="J6" i="344"/>
  <c r="J167" i="344" s="1"/>
  <c r="G6" i="344"/>
  <c r="B23" i="100"/>
  <c r="L2" i="330" s="1"/>
  <c r="G10" i="279"/>
  <c r="H65" i="198"/>
  <c r="H33" i="198" s="1"/>
  <c r="F39" i="200"/>
  <c r="F41" i="200" s="1"/>
  <c r="G22" i="198" s="1"/>
  <c r="I39" i="198"/>
  <c r="E22" i="285"/>
  <c r="K37" i="336"/>
  <c r="B10" i="279"/>
  <c r="H110" i="341"/>
  <c r="H167" i="341" s="1"/>
  <c r="H6" i="342"/>
  <c r="C74" i="344"/>
  <c r="G74" i="344"/>
  <c r="B22" i="100"/>
  <c r="K2" i="330" s="1"/>
  <c r="B3" i="100"/>
  <c r="B18" i="100"/>
  <c r="Q3" i="329" s="1"/>
  <c r="B25" i="100"/>
  <c r="N2" i="330" s="1"/>
  <c r="B2" i="100"/>
  <c r="M3" i="329" s="1"/>
  <c r="B29" i="100"/>
  <c r="D37" i="65"/>
  <c r="D41" i="65" s="1"/>
  <c r="D43" i="65" s="1"/>
  <c r="F33" i="198"/>
  <c r="E14" i="198"/>
  <c r="J10" i="279"/>
  <c r="D118" i="284"/>
  <c r="I118" i="341"/>
  <c r="E110" i="343"/>
  <c r="G118" i="343"/>
  <c r="G167" i="343" s="1"/>
  <c r="H74" i="344"/>
  <c r="G118" i="341"/>
  <c r="G167" i="341" s="1"/>
  <c r="I74" i="342"/>
  <c r="I167" i="342" s="1"/>
  <c r="K110" i="342"/>
  <c r="K167" i="342" s="1"/>
  <c r="C118" i="343"/>
  <c r="C167" i="343" s="1"/>
  <c r="K74" i="344"/>
  <c r="K167" i="344" s="1"/>
  <c r="M227" i="204" l="1"/>
  <c r="O238" i="204"/>
  <c r="N238" i="204"/>
  <c r="P238" i="204"/>
  <c r="G167" i="202"/>
  <c r="F27" i="279" s="1"/>
  <c r="D167" i="341"/>
  <c r="I118" i="202"/>
  <c r="N152" i="204" s="1"/>
  <c r="M152" i="204" s="1"/>
  <c r="H167" i="202"/>
  <c r="I52" i="198" s="1"/>
  <c r="I8" i="198" s="1"/>
  <c r="K74" i="202"/>
  <c r="P108" i="204" s="1"/>
  <c r="G167" i="284"/>
  <c r="D14" i="198"/>
  <c r="J42" i="201"/>
  <c r="J53" i="201" s="1"/>
  <c r="E42" i="201"/>
  <c r="E53" i="201" s="1"/>
  <c r="J118" i="202"/>
  <c r="O152" i="204" s="1"/>
  <c r="E167" i="202"/>
  <c r="F52" i="198" s="1"/>
  <c r="F8" i="198" s="1"/>
  <c r="D167" i="202"/>
  <c r="E52" i="198" s="1"/>
  <c r="E8" i="198" s="1"/>
  <c r="F167" i="202"/>
  <c r="G52" i="198" s="1"/>
  <c r="G8" i="198" s="1"/>
  <c r="E167" i="284"/>
  <c r="D167" i="284"/>
  <c r="F167" i="284"/>
  <c r="F167" i="342"/>
  <c r="I167" i="341"/>
  <c r="L13" i="198"/>
  <c r="J6" i="202"/>
  <c r="O40" i="204" s="1"/>
  <c r="K6" i="202"/>
  <c r="P40" i="204" s="1"/>
  <c r="K118" i="202"/>
  <c r="P152" i="204" s="1"/>
  <c r="N175" i="204"/>
  <c r="M175" i="204" s="1"/>
  <c r="I139" i="202"/>
  <c r="N173" i="204" s="1"/>
  <c r="M173" i="204" s="1"/>
  <c r="C167" i="202"/>
  <c r="B27" i="279" s="1"/>
  <c r="C167" i="344"/>
  <c r="H167" i="342"/>
  <c r="F2" i="344"/>
  <c r="F2" i="199"/>
  <c r="F2" i="200"/>
  <c r="F2" i="341"/>
  <c r="E2" i="279"/>
  <c r="F2" i="202"/>
  <c r="J3" i="202"/>
  <c r="J3" i="285"/>
  <c r="J3" i="65"/>
  <c r="F2" i="284"/>
  <c r="J3" i="284"/>
  <c r="J3" i="199"/>
  <c r="F2" i="342"/>
  <c r="J3" i="342"/>
  <c r="P3" i="329"/>
  <c r="F2" i="285"/>
  <c r="H3" i="330"/>
  <c r="D2" i="330"/>
  <c r="F2" i="201"/>
  <c r="G36" i="198"/>
  <c r="K36" i="198"/>
  <c r="F68" i="198"/>
  <c r="F38" i="198" s="1"/>
  <c r="F36" i="198"/>
  <c r="H167" i="344"/>
  <c r="I3" i="279"/>
  <c r="J3" i="341"/>
  <c r="F3" i="330"/>
  <c r="J3" i="201"/>
  <c r="J3" i="344"/>
  <c r="O2" i="329"/>
  <c r="C2" i="202"/>
  <c r="C2" i="200"/>
  <c r="N109" i="204"/>
  <c r="M109" i="204" s="1"/>
  <c r="I74" i="202"/>
  <c r="N108" i="204" s="1"/>
  <c r="M108" i="204" s="1"/>
  <c r="C2" i="199"/>
  <c r="K33" i="198"/>
  <c r="C2" i="65"/>
  <c r="D167" i="342"/>
  <c r="C2" i="285"/>
  <c r="G2" i="198"/>
  <c r="F2" i="343"/>
  <c r="F2" i="336"/>
  <c r="G167" i="342"/>
  <c r="J3" i="343"/>
  <c r="K3" i="198"/>
  <c r="O3" i="204"/>
  <c r="C2" i="341"/>
  <c r="E2" i="330"/>
  <c r="L47" i="198"/>
  <c r="K42" i="201"/>
  <c r="K53" i="201" s="1"/>
  <c r="I6" i="202"/>
  <c r="N41" i="204"/>
  <c r="M41" i="204" s="1"/>
  <c r="J139" i="202"/>
  <c r="O175" i="204"/>
  <c r="N145" i="204"/>
  <c r="M145" i="204" s="1"/>
  <c r="I110" i="202"/>
  <c r="N144" i="204" s="1"/>
  <c r="M144" i="204" s="1"/>
  <c r="E167" i="343"/>
  <c r="C2" i="343"/>
  <c r="B2" i="279"/>
  <c r="G167" i="344"/>
  <c r="C2" i="284"/>
  <c r="D19" i="279"/>
  <c r="D22" i="279" s="1"/>
  <c r="D24" i="279" s="1"/>
  <c r="G3" i="330"/>
  <c r="K18" i="198"/>
  <c r="C2" i="201"/>
  <c r="C2" i="344"/>
  <c r="K139" i="202"/>
  <c r="P175" i="204"/>
  <c r="C2" i="342"/>
  <c r="J35" i="198"/>
  <c r="K35" i="198"/>
  <c r="B45" i="279"/>
  <c r="D18" i="198"/>
  <c r="H19" i="279"/>
  <c r="H22" i="279" s="1"/>
  <c r="H24" i="279" s="1"/>
  <c r="G35" i="198"/>
  <c r="J36" i="198"/>
  <c r="G18" i="198"/>
  <c r="J33" i="198"/>
  <c r="G33" i="198"/>
  <c r="J18" i="198"/>
  <c r="J19" i="279"/>
  <c r="J22" i="279" s="1"/>
  <c r="J24" i="279" s="1"/>
  <c r="F19" i="279"/>
  <c r="F22" i="279" s="1"/>
  <c r="F24" i="279" s="1"/>
  <c r="D40" i="200"/>
  <c r="D41" i="200" s="1"/>
  <c r="E22" i="198" s="1"/>
  <c r="C19" i="279"/>
  <c r="C22" i="279" s="1"/>
  <c r="C24" i="279" s="1"/>
  <c r="D36" i="198"/>
  <c r="D33" i="198"/>
  <c r="D68" i="198"/>
  <c r="D38" i="198" s="1"/>
  <c r="H36" i="198"/>
  <c r="G74" i="198"/>
  <c r="F73" i="198"/>
  <c r="F40" i="198" s="1"/>
  <c r="D2" i="65"/>
  <c r="D2" i="199"/>
  <c r="D2" i="201"/>
  <c r="D2" i="200"/>
  <c r="D2" i="285"/>
  <c r="D2" i="202"/>
  <c r="D2" i="284"/>
  <c r="D2" i="342"/>
  <c r="D2" i="343"/>
  <c r="D2" i="344"/>
  <c r="E2" i="198"/>
  <c r="C2" i="279"/>
  <c r="D2" i="341"/>
  <c r="E2" i="342"/>
  <c r="E2" i="199"/>
  <c r="D2" i="279"/>
  <c r="E2" i="201"/>
  <c r="E2" i="343"/>
  <c r="E2" i="200"/>
  <c r="E2" i="341"/>
  <c r="C2" i="336"/>
  <c r="E2" i="202"/>
  <c r="E2" i="344"/>
  <c r="E2" i="65"/>
  <c r="F2" i="198"/>
  <c r="E2" i="284"/>
  <c r="E2" i="285"/>
  <c r="E27" i="279"/>
  <c r="B19" i="279"/>
  <c r="B22" i="279" s="1"/>
  <c r="B24" i="279" s="1"/>
  <c r="H35" i="198"/>
  <c r="G19" i="279"/>
  <c r="G22" i="279" s="1"/>
  <c r="G24" i="279" s="1"/>
  <c r="I13" i="198"/>
  <c r="I12" i="198"/>
  <c r="E45" i="279"/>
  <c r="I47" i="198"/>
  <c r="H42" i="201"/>
  <c r="H53" i="201" s="1"/>
  <c r="H18" i="198"/>
  <c r="H68" i="198"/>
  <c r="H38" i="198" s="1"/>
  <c r="K10" i="198"/>
  <c r="K3" i="65"/>
  <c r="K3" i="342"/>
  <c r="K3" i="343"/>
  <c r="K3" i="202"/>
  <c r="K3" i="344"/>
  <c r="L3" i="198"/>
  <c r="K3" i="200"/>
  <c r="E3" i="330"/>
  <c r="K3" i="201"/>
  <c r="P3" i="204"/>
  <c r="K3" i="284"/>
  <c r="K3" i="285"/>
  <c r="K3" i="199"/>
  <c r="K3" i="341"/>
  <c r="J3" i="279"/>
  <c r="E47" i="198"/>
  <c r="D42" i="201"/>
  <c r="D53" i="201" s="1"/>
  <c r="M238" i="204" l="1"/>
  <c r="G187" i="202"/>
  <c r="H52" i="198"/>
  <c r="H8" i="198" s="1"/>
  <c r="H187" i="202"/>
  <c r="G27" i="279"/>
  <c r="D27" i="279"/>
  <c r="E187" i="202"/>
  <c r="F187" i="202"/>
  <c r="D187" i="202"/>
  <c r="C27" i="279"/>
  <c r="C187" i="202"/>
  <c r="D52" i="198"/>
  <c r="D8" i="198" s="1"/>
  <c r="N40" i="204"/>
  <c r="M40" i="204" s="1"/>
  <c r="I167" i="202"/>
  <c r="P173" i="204"/>
  <c r="K167" i="202"/>
  <c r="O173" i="204"/>
  <c r="J167" i="202"/>
  <c r="C45" i="279"/>
  <c r="E40" i="200"/>
  <c r="E41" i="200" s="1"/>
  <c r="H74" i="198"/>
  <c r="G73" i="198"/>
  <c r="G40" i="198" s="1"/>
  <c r="N201" i="204" l="1"/>
  <c r="M201" i="204" s="1"/>
  <c r="J52" i="198"/>
  <c r="J8" i="198" s="1"/>
  <c r="I187" i="202"/>
  <c r="H27" i="279"/>
  <c r="H40" i="200"/>
  <c r="H41" i="200" s="1"/>
  <c r="G40" i="200"/>
  <c r="G41" i="200" s="1"/>
  <c r="P201" i="204"/>
  <c r="K187" i="202"/>
  <c r="L52" i="198"/>
  <c r="L8" i="198" s="1"/>
  <c r="J27" i="279"/>
  <c r="O201" i="204"/>
  <c r="I27" i="279"/>
  <c r="J187" i="202"/>
  <c r="K52" i="198"/>
  <c r="K8" i="198" s="1"/>
  <c r="D45" i="279"/>
  <c r="F22" i="198"/>
  <c r="H73" i="198"/>
  <c r="H40" i="198" s="1"/>
  <c r="I74" i="198"/>
  <c r="H22" i="198" l="1"/>
  <c r="F45" i="279"/>
  <c r="I22" i="198"/>
  <c r="I40" i="200"/>
  <c r="G45" i="279"/>
  <c r="J74" i="198"/>
  <c r="I73" i="198"/>
  <c r="I40" i="198" s="1"/>
  <c r="N239" i="204" l="1"/>
  <c r="M239" i="204" s="1"/>
  <c r="I41" i="200"/>
  <c r="K74" i="198"/>
  <c r="J73" i="198"/>
  <c r="J40" i="198" s="1"/>
  <c r="J40" i="200" l="1"/>
  <c r="N240" i="204"/>
  <c r="H45" i="279"/>
  <c r="J22" i="198"/>
  <c r="K73" i="198"/>
  <c r="K40" i="198" s="1"/>
  <c r="L74" i="198"/>
  <c r="L73" i="198" s="1"/>
  <c r="L40" i="198" s="1"/>
  <c r="M240" i="204" l="1"/>
  <c r="J41" i="200"/>
  <c r="O239" i="204"/>
  <c r="O240" i="204" l="1"/>
  <c r="K40" i="200"/>
  <c r="I45" i="279"/>
  <c r="K22" i="198"/>
  <c r="K41" i="200" l="1"/>
  <c r="P239" i="204"/>
  <c r="L22" i="198" l="1"/>
  <c r="P240" i="204"/>
  <c r="J45" i="279"/>
</calcChain>
</file>

<file path=xl/sharedStrings.xml><?xml version="1.0" encoding="utf-8"?>
<sst xmlns="http://schemas.openxmlformats.org/spreadsheetml/2006/main" count="3332" uniqueCount="1255">
  <si>
    <t>Medical Aid Contributions</t>
  </si>
  <si>
    <t>Performance Bonus</t>
  </si>
  <si>
    <t>Remuneration of Board Members</t>
  </si>
  <si>
    <t>Water</t>
  </si>
  <si>
    <t>Sanitation</t>
  </si>
  <si>
    <t>Schedule of funding diligence</t>
  </si>
  <si>
    <t>Other expenditure</t>
  </si>
  <si>
    <t>Present value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</si>
  <si>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</si>
  <si>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</si>
  <si>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</si>
  <si>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</si>
  <si>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</si>
  <si>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</si>
  <si>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</si>
  <si>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</si>
  <si>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</si>
  <si>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</si>
  <si>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</si>
  <si>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</si>
  <si>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</si>
  <si>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</si>
  <si>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</si>
  <si>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</si>
  <si>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</si>
  <si>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</si>
  <si>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</si>
  <si>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</si>
  <si>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</si>
  <si>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</si>
  <si>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</si>
  <si>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</si>
  <si>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</si>
  <si>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</si>
  <si>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</si>
  <si>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</si>
  <si>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</si>
  <si>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</si>
  <si>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</si>
  <si>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</si>
  <si>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</si>
  <si>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</si>
  <si>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</si>
  <si>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</si>
  <si>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</si>
  <si>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</si>
  <si>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Expenditure By Type</t>
  </si>
  <si>
    <t>Total Expenditure</t>
  </si>
  <si>
    <t>Surplus/(Deficit)</t>
  </si>
  <si>
    <t>Total outstanding service debtors/annual revenue received for services</t>
  </si>
  <si>
    <t>Financial position</t>
  </si>
  <si>
    <t>Cash flows</t>
  </si>
  <si>
    <t>Other own revenue</t>
  </si>
  <si>
    <t>Investment revenue</t>
  </si>
  <si>
    <t>Munishort</t>
  </si>
  <si>
    <t>Community wealth/Equity</t>
  </si>
  <si>
    <r>
      <t xml:space="preserve">1. Revenue includes </t>
    </r>
    <r>
      <rPr>
        <i/>
        <u/>
        <sz val="8"/>
        <rFont val="Arial Narrow"/>
        <family val="2"/>
      </rPr>
      <t>sales</t>
    </r>
    <r>
      <rPr>
        <i/>
        <sz val="8"/>
        <rFont val="Arial Narrow"/>
        <family val="2"/>
      </rPr>
      <t xml:space="preserve"> of: (insert description)</t>
    </r>
  </si>
  <si>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</si>
  <si>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</si>
  <si>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</si>
  <si>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</si>
  <si>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</si>
  <si>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</si>
  <si>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</si>
  <si>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</si>
  <si>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</si>
  <si>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</si>
  <si>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</si>
  <si>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</si>
  <si>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</si>
  <si>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</si>
  <si>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</si>
  <si>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</si>
  <si>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</si>
  <si>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Total Operating Revenue Implication</t>
  </si>
  <si>
    <t>Total Capital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</si>
  <si>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</si>
  <si>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</si>
  <si>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</si>
  <si>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</si>
  <si>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</si>
  <si>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</si>
  <si>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</si>
  <si>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</si>
  <si>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</si>
  <si>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</si>
  <si>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</si>
  <si>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</si>
  <si>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</si>
  <si>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</si>
  <si>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</si>
  <si>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</si>
  <si>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</si>
  <si>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</si>
  <si>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</si>
  <si>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</si>
  <si>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</si>
  <si>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</si>
  <si>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</si>
  <si>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</si>
  <si>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Accumulated Surplus/(Deficit)</t>
  </si>
  <si>
    <t>Ref</t>
  </si>
  <si>
    <t>Preceding Years</t>
  </si>
  <si>
    <t>Total Operating Expenditure Implication</t>
  </si>
  <si>
    <t>Total sources of capital funds</t>
  </si>
  <si>
    <t>Head48</t>
  </si>
  <si>
    <t>Estimate</t>
  </si>
  <si>
    <t>Contract 1</t>
  </si>
  <si>
    <t>Contract 2</t>
  </si>
  <si>
    <t>Contract 3 etc</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</si>
  <si>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</si>
  <si>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</si>
  <si>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</si>
  <si>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</si>
  <si>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</si>
  <si>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</si>
  <si>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</si>
  <si>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</si>
  <si>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</si>
  <si>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</si>
  <si>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</si>
  <si>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</si>
  <si>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</si>
  <si>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</si>
  <si>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</si>
  <si>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</si>
  <si>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</si>
  <si>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</si>
  <si>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</si>
  <si>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</si>
  <si>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</si>
  <si>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</si>
  <si>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</si>
  <si>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</si>
  <si>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</si>
  <si>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</si>
  <si>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</si>
  <si>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</si>
  <si>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</si>
  <si>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</si>
  <si>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</si>
  <si>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</si>
  <si>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</si>
  <si>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</si>
  <si>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</si>
  <si>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</si>
  <si>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</si>
  <si>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</si>
  <si>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</si>
  <si>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</si>
  <si>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</si>
  <si>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</si>
  <si>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</si>
  <si>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</si>
  <si>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</si>
  <si>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</si>
  <si>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</si>
  <si>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</si>
  <si>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</si>
  <si>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</si>
  <si>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</si>
  <si>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</si>
  <si>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</si>
  <si>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</si>
  <si>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</si>
  <si>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</si>
  <si>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</si>
  <si>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</si>
  <si>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</si>
  <si>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</si>
  <si>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</si>
  <si>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</si>
  <si>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</si>
  <si>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</si>
  <si>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</si>
  <si>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</si>
  <si>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</si>
  <si>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</si>
  <si>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</si>
  <si>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</si>
  <si>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</si>
  <si>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</si>
  <si>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</si>
  <si>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</si>
  <si>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</si>
  <si>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</si>
  <si>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</si>
  <si>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</si>
  <si>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Description</t>
  </si>
  <si>
    <t>YTD  Actual 31 Dec</t>
  </si>
  <si>
    <t>YTD  Budget 31 Dec</t>
  </si>
  <si>
    <t>MEB1</t>
  </si>
  <si>
    <t>MEB2</t>
  </si>
  <si>
    <t>MEB3</t>
  </si>
  <si>
    <t>MEB4</t>
  </si>
  <si>
    <t>MEB5</t>
  </si>
  <si>
    <t>MEB6</t>
  </si>
  <si>
    <t>Head2A</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</si>
  <si>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</si>
  <si>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</si>
  <si>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</si>
  <si>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</si>
  <si>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</si>
  <si>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</si>
  <si>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</si>
  <si>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</si>
  <si>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</si>
  <si>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</si>
  <si>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</si>
  <si>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</si>
  <si>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</si>
  <si>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</si>
  <si>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</si>
  <si>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</si>
  <si>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</si>
  <si>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</si>
  <si>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</si>
  <si>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</si>
  <si>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</si>
  <si>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</si>
  <si>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</si>
  <si>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</si>
  <si>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</si>
  <si>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</si>
  <si>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</si>
  <si>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</si>
  <si>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</si>
  <si>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</si>
  <si>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</si>
  <si>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</si>
  <si>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</si>
  <si>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</si>
  <si>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</si>
  <si>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</si>
  <si>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</si>
  <si>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</si>
  <si>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</si>
  <si>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</si>
  <si>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</si>
  <si>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</si>
  <si>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</si>
  <si>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</si>
  <si>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</si>
  <si>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</si>
  <si>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</si>
  <si>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</si>
  <si>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</si>
  <si>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</si>
  <si>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</si>
  <si>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</si>
  <si>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</si>
  <si>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</si>
  <si>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</si>
  <si>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</si>
  <si>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</si>
  <si>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</si>
  <si>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</si>
  <si>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</si>
  <si>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</si>
  <si>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</si>
  <si>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</si>
  <si>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</si>
  <si>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</si>
  <si>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</si>
  <si>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</si>
  <si>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</si>
  <si>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</si>
  <si>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</si>
  <si>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</si>
  <si>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</si>
  <si>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</si>
  <si>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</si>
  <si>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</si>
  <si>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</si>
  <si>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</si>
  <si>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</si>
  <si>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</si>
  <si>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</si>
  <si>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Parent Municipality</t>
  </si>
  <si>
    <t>Head56</t>
  </si>
  <si>
    <t>Total Adjusts.</t>
  </si>
  <si>
    <t>% of Creditors Paid Within Terms (within MFMA s 65(e))</t>
  </si>
  <si>
    <t>ii. O/S Service Debtors to Revenue</t>
  </si>
  <si>
    <t>Long Term Borrowing / Funds &amp; Reserves</t>
  </si>
  <si>
    <t>Monetary Assets / Current Liabilities</t>
  </si>
  <si>
    <t>Current assets / current liabilities</t>
  </si>
  <si>
    <t>Last 12 Mths Receipts / Last 12 Mths Billing</t>
  </si>
  <si>
    <t>Debtors &gt; 12 Mths Recovered / Total Debtors &gt; 12 Months Old</t>
  </si>
  <si>
    <t>Years/months</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</si>
  <si>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</si>
  <si>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</si>
  <si>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</si>
  <si>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</si>
  <si>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</si>
  <si>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</si>
  <si>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</si>
  <si>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</si>
  <si>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</si>
  <si>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</si>
  <si>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</si>
  <si>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</si>
  <si>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</si>
  <si>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</si>
  <si>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</si>
  <si>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</si>
  <si>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</si>
  <si>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</si>
  <si>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</si>
  <si>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</si>
  <si>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CASH FLOW FROM OPERATING ACTIVITIES</t>
  </si>
  <si>
    <t>Cash/cash equivalents at the year begin:</t>
  </si>
  <si>
    <t>Interest earned - external investments</t>
  </si>
  <si>
    <t>Interest earned - outstanding debtors</t>
  </si>
  <si>
    <t>Licences and permits</t>
  </si>
  <si>
    <t>Employee related costs</t>
  </si>
  <si>
    <t>Contracted services</t>
  </si>
  <si>
    <t>Budgeted Financial Performance</t>
  </si>
  <si>
    <t>Forecast Financial Performance</t>
  </si>
  <si>
    <t>SFPerf1</t>
  </si>
  <si>
    <t>SFPerf2</t>
  </si>
  <si>
    <t>SFPos1</t>
  </si>
  <si>
    <t>SFPos2</t>
  </si>
  <si>
    <t>Budgeted Financial Position</t>
  </si>
  <si>
    <t>3. Include deferred tax and tax provisions</t>
  </si>
  <si>
    <t>Interest</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</si>
  <si>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</si>
  <si>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</si>
  <si>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</si>
  <si>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</si>
  <si>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</si>
  <si>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</si>
  <si>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</si>
  <si>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</si>
  <si>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</si>
  <si>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</si>
  <si>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</si>
  <si>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</si>
  <si>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</si>
  <si>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</si>
  <si>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</si>
  <si>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</si>
  <si>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</si>
  <si>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</si>
  <si>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</si>
  <si>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</si>
  <si>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</si>
  <si>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</si>
  <si>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</si>
  <si>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</si>
  <si>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</si>
  <si>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</si>
  <si>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</si>
  <si>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</si>
  <si>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Dividends received</t>
  </si>
  <si>
    <t>Proceeds on disposal of PPE</t>
  </si>
  <si>
    <t>Head46</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</si>
  <si>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</si>
  <si>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</si>
  <si>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</si>
  <si>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</si>
  <si>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</si>
  <si>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</si>
  <si>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</si>
  <si>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</si>
  <si>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</si>
  <si>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</si>
  <si>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</si>
  <si>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</si>
  <si>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</si>
  <si>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</si>
  <si>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</si>
  <si>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</si>
  <si>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</si>
  <si>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</si>
  <si>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</si>
  <si>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</si>
  <si>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</si>
  <si>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</si>
  <si>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</si>
  <si>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</si>
  <si>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</si>
  <si>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</si>
  <si>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</si>
  <si>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</si>
  <si>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</si>
  <si>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</si>
  <si>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</si>
  <si>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</si>
  <si>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</si>
  <si>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</si>
  <si>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</si>
  <si>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</si>
  <si>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</si>
  <si>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</si>
  <si>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</si>
  <si>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</si>
  <si>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</si>
  <si>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</si>
  <si>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Must reconcile with budget table D5</t>
  </si>
  <si>
    <t>2. Must reconcile with budget table D6</t>
  </si>
  <si>
    <t>Prior Adjusted</t>
  </si>
  <si>
    <t>Service charges</t>
  </si>
  <si>
    <t>Rental of facilities and equipment</t>
  </si>
  <si>
    <t>Head5B</t>
  </si>
  <si>
    <t>Pre-audit outcome</t>
  </si>
  <si>
    <t>Head58</t>
  </si>
  <si>
    <t>Parent muni.</t>
  </si>
  <si>
    <t>Head59</t>
  </si>
  <si>
    <t>Head3A</t>
  </si>
  <si>
    <t>TOTAL LIABILITIES</t>
  </si>
  <si>
    <t>MEB1A</t>
  </si>
  <si>
    <t>Longstanding Debtors Reduction Due To Recovery</t>
  </si>
  <si>
    <t>Creditors Management</t>
  </si>
  <si>
    <t>Creditors System Efficiency</t>
  </si>
  <si>
    <t xml:space="preserve">Entity Financial Performance Bugdet (Revenue &amp; Expenditure by Municipal Vote) - </t>
  </si>
  <si>
    <t>Names</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</si>
  <si>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</si>
  <si>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</si>
  <si>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</si>
  <si>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</si>
  <si>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</si>
  <si>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</si>
  <si>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</si>
  <si>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</si>
  <si>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</si>
  <si>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</si>
  <si>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</si>
  <si>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</si>
  <si>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</si>
  <si>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</si>
  <si>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</si>
  <si>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</si>
  <si>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</si>
  <si>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</si>
  <si>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</si>
  <si>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</si>
  <si>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</si>
  <si>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</si>
  <si>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</si>
  <si>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</si>
  <si>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</si>
  <si>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</si>
  <si>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</si>
  <si>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</si>
  <si>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</si>
  <si>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</si>
  <si>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</si>
  <si>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</si>
  <si>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</si>
  <si>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</si>
  <si>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</si>
  <si>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</si>
  <si>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</si>
  <si>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</si>
  <si>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</si>
  <si>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</si>
  <si>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</si>
  <si>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</si>
  <si>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</si>
  <si>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</si>
  <si>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</si>
  <si>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</si>
  <si>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</si>
  <si>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</si>
  <si>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</si>
  <si>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</si>
  <si>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</si>
  <si>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</si>
  <si>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</si>
  <si>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</si>
  <si>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</si>
  <si>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</si>
  <si>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</si>
  <si>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</si>
  <si>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</si>
  <si>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</si>
  <si>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</si>
  <si>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</si>
  <si>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</si>
  <si>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</si>
  <si>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</si>
  <si>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</si>
  <si>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</si>
  <si>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</si>
  <si>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</si>
  <si>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</si>
  <si>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</si>
  <si>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</si>
  <si>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</si>
  <si>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</si>
  <si>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</si>
  <si>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</si>
  <si>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</si>
  <si>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</si>
  <si>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</si>
  <si>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</si>
  <si>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</si>
  <si>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</si>
  <si>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</si>
  <si>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</si>
  <si>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</si>
  <si>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</si>
  <si>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</si>
  <si>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</si>
  <si>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</si>
  <si>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</si>
  <si>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</si>
  <si>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</si>
  <si>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</si>
  <si>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</si>
  <si>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</si>
  <si>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</si>
  <si>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</si>
  <si>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</si>
  <si>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</si>
  <si>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</si>
  <si>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</si>
  <si>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</si>
  <si>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</si>
  <si>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</si>
  <si>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</si>
  <si>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</si>
  <si>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Surplus/(Deficit) after capital transfers &amp; contributions</t>
  </si>
  <si>
    <t>Other benefits and allowances</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</si>
  <si>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</si>
  <si>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</si>
  <si>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</si>
  <si>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</si>
  <si>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</si>
  <si>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</si>
  <si>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</si>
  <si>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</si>
  <si>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</si>
  <si>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</si>
  <si>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</si>
  <si>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</si>
  <si>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</si>
  <si>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</si>
  <si>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</si>
  <si>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</si>
  <si>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</si>
  <si>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</si>
  <si>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</si>
  <si>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</si>
  <si>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</si>
  <si>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</si>
  <si>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</si>
  <si>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</si>
  <si>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</si>
  <si>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</si>
  <si>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</si>
  <si>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</si>
  <si>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</si>
  <si>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</si>
  <si>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</si>
  <si>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</si>
  <si>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</si>
  <si>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</si>
  <si>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</si>
  <si>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</si>
  <si>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</si>
  <si>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</si>
  <si>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</si>
  <si>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</si>
  <si>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</si>
  <si>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</si>
  <si>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</si>
  <si>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</si>
  <si>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</si>
  <si>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</si>
  <si>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</si>
  <si>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</si>
  <si>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</si>
  <si>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</si>
  <si>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</si>
  <si>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</si>
  <si>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</si>
  <si>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</si>
  <si>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</si>
  <si>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</si>
  <si>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</si>
  <si>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</si>
  <si>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</si>
  <si>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</si>
  <si>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</si>
  <si>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</si>
  <si>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</si>
  <si>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</si>
  <si>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</si>
  <si>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</si>
  <si>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</si>
  <si>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</si>
  <si>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</si>
  <si>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</si>
  <si>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</si>
  <si>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</si>
  <si>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</si>
  <si>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</si>
  <si>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</si>
  <si>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</si>
  <si>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</si>
  <si>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</si>
  <si>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</si>
  <si>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</si>
  <si>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</si>
  <si>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</si>
  <si>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</si>
  <si>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</si>
  <si>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</si>
  <si>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</si>
  <si>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</si>
  <si>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</si>
  <si>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</si>
  <si>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</si>
  <si>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</si>
  <si>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</si>
  <si>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</si>
  <si>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</si>
  <si>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</si>
  <si>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</si>
  <si>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</si>
  <si>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</si>
  <si>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</si>
  <si>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</si>
  <si>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</si>
  <si>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</si>
  <si>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</si>
  <si>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</si>
  <si>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</si>
  <si>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</si>
  <si>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</si>
  <si>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</si>
  <si>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</si>
  <si>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</si>
  <si>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</si>
  <si>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</si>
  <si>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</si>
  <si>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</si>
  <si>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</si>
  <si>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</si>
  <si>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</si>
  <si>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</si>
  <si>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</si>
  <si>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</si>
  <si>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</si>
  <si>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</si>
  <si>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</si>
  <si>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</si>
  <si>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</si>
  <si>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</si>
  <si>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</si>
  <si>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</si>
  <si>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</si>
  <si>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</si>
  <si>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</si>
  <si>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</si>
  <si>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</si>
  <si>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</si>
  <si>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</si>
  <si>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</si>
  <si>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</si>
  <si>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</si>
  <si>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</si>
  <si>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</si>
  <si>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</si>
  <si>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</si>
  <si>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</si>
  <si>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</si>
  <si>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</si>
  <si>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</si>
  <si>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</si>
  <si>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</si>
  <si>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</si>
  <si>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</si>
  <si>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</si>
  <si>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</si>
  <si>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</si>
  <si>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</si>
  <si>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</si>
  <si>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</si>
  <si>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</si>
  <si>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</si>
  <si>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</si>
  <si>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</si>
  <si>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</si>
  <si>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</si>
  <si>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</si>
  <si>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</si>
  <si>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</si>
  <si>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</si>
  <si>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</si>
  <si>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</si>
  <si>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</si>
  <si>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</si>
  <si>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</si>
  <si>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</si>
  <si>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</si>
  <si>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</si>
  <si>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</si>
  <si>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</si>
  <si>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</si>
  <si>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</si>
  <si>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</si>
  <si>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</si>
  <si>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</si>
  <si>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</si>
  <si>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</si>
  <si>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</si>
  <si>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</si>
  <si>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</si>
  <si>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</si>
  <si>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</si>
  <si>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</si>
  <si>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</si>
  <si>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</si>
  <si>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</si>
  <si>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</si>
  <si>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</si>
  <si>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</si>
  <si>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</si>
  <si>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</si>
  <si>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</si>
  <si>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</si>
  <si>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</si>
  <si>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</si>
  <si>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</si>
  <si>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</si>
  <si>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</si>
  <si>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</si>
  <si>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</si>
  <si>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</si>
  <si>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</si>
  <si>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</si>
  <si>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</si>
  <si>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</si>
  <si>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</si>
  <si>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</si>
  <si>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</si>
  <si>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</si>
  <si>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</si>
  <si>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</si>
  <si>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</si>
  <si>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</si>
  <si>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</si>
  <si>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</si>
  <si>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</si>
  <si>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</si>
  <si>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</si>
  <si>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</si>
  <si>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</si>
  <si>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</si>
  <si>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</si>
  <si>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</si>
  <si>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</si>
  <si>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</si>
  <si>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</si>
  <si>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</si>
  <si>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</si>
  <si>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</si>
  <si>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</si>
  <si>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</si>
  <si>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</si>
  <si>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</si>
  <si>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</si>
  <si>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</si>
  <si>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</si>
  <si>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</si>
  <si>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</si>
  <si>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</si>
  <si>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</si>
  <si>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</si>
  <si>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</si>
  <si>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</si>
  <si>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</si>
  <si>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</si>
  <si>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</si>
  <si>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</si>
  <si>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</si>
  <si>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Municipal entity employees</t>
  </si>
  <si>
    <t>CEO and Senior Managers</t>
  </si>
  <si>
    <t>Total Personnel Numbers</t>
  </si>
  <si>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</si>
  <si>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</si>
  <si>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</si>
  <si>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</si>
  <si>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</si>
  <si>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</si>
  <si>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</si>
  <si>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</si>
  <si>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</si>
  <si>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</si>
  <si>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</si>
  <si>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</si>
  <si>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</si>
  <si>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</si>
  <si>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</si>
  <si>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</si>
  <si>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</si>
  <si>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</si>
  <si>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</si>
  <si>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</si>
  <si>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</si>
  <si>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</si>
  <si>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</si>
  <si>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</si>
  <si>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</si>
  <si>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</si>
  <si>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</si>
  <si>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</si>
  <si>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</si>
  <si>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</si>
  <si>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</si>
  <si>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</si>
  <si>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</si>
  <si>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</si>
  <si>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</si>
  <si>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</si>
  <si>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</si>
  <si>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</si>
  <si>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</si>
  <si>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</si>
  <si>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</si>
  <si>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</si>
  <si>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</si>
  <si>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</si>
  <si>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</si>
  <si>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</si>
  <si>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</si>
  <si>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</si>
  <si>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</si>
  <si>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</si>
  <si>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</si>
  <si>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</si>
  <si>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</si>
  <si>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</si>
  <si>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</si>
  <si>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</si>
  <si>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</si>
  <si>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</si>
  <si>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</si>
  <si>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</si>
  <si>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</si>
  <si>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</si>
  <si>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</si>
  <si>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</si>
  <si>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</si>
  <si>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</si>
  <si>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</si>
  <si>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</si>
  <si>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</si>
  <si>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</si>
  <si>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</si>
  <si>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</si>
  <si>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</si>
  <si>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</si>
  <si>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</si>
  <si>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</si>
  <si>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</si>
  <si>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</si>
  <si>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</si>
  <si>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</si>
  <si>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</si>
  <si>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</si>
  <si>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</si>
  <si>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</si>
  <si>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</si>
  <si>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</si>
  <si>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</si>
  <si>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</si>
  <si>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</si>
  <si>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</si>
  <si>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</si>
  <si>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</si>
  <si>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</si>
  <si>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</si>
  <si>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</si>
  <si>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</si>
  <si>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</si>
  <si>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</si>
  <si>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</si>
  <si>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</si>
  <si>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</si>
  <si>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</si>
  <si>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</si>
  <si>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</si>
  <si>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</si>
  <si>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</si>
  <si>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</si>
  <si>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</si>
  <si>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</si>
  <si>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</si>
  <si>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</si>
  <si>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</si>
  <si>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</si>
  <si>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</si>
  <si>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</si>
  <si>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</si>
  <si>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</si>
  <si>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</si>
  <si>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</si>
  <si>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</si>
  <si>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</si>
  <si>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</si>
  <si>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</si>
  <si>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</si>
  <si>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</si>
  <si>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</si>
  <si>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</si>
  <si>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</si>
  <si>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</si>
  <si>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</si>
  <si>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</si>
  <si>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</si>
  <si>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</si>
  <si>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</si>
  <si>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</si>
  <si>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</si>
  <si>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</si>
  <si>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</si>
  <si>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</si>
  <si>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</si>
  <si>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</si>
  <si>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</si>
  <si>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</si>
  <si>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</si>
  <si>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</si>
  <si>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</si>
  <si>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</si>
  <si>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</si>
  <si>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</si>
  <si>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</si>
  <si>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</si>
  <si>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</si>
  <si>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</si>
  <si>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</si>
  <si>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</si>
  <si>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</si>
  <si>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</si>
  <si>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</si>
  <si>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</si>
  <si>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</si>
  <si>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</si>
  <si>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</si>
  <si>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</si>
  <si>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</si>
  <si>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</si>
  <si>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</si>
  <si>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</si>
  <si>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</si>
  <si>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</si>
  <si>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</si>
  <si>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</si>
  <si>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</si>
  <si>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</si>
  <si>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</si>
  <si>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</si>
  <si>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</si>
  <si>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</si>
  <si>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</si>
  <si>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</si>
  <si>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</si>
  <si>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</si>
  <si>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</si>
  <si>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</si>
  <si>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</si>
  <si>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</si>
  <si>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</si>
  <si>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</si>
  <si>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</si>
  <si>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</si>
  <si>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1. Total Capital Expenditure on new assets (SD7a) plus Total Capital Expenditure on renewal of existing assets (SD7b) plus Total Capital Expenditure  on upgrading of existing assets (SD7e) must reconcile to total capital expenditure in Budgeted Capital Expenditure</t>
  </si>
  <si>
    <t>Transfers recognised - operational</t>
  </si>
  <si>
    <t>Remuneration of councillors</t>
  </si>
  <si>
    <t>Transfers and grants</t>
  </si>
  <si>
    <t>Land</t>
  </si>
  <si>
    <t>EC101 Dr Beyers Naude</t>
  </si>
  <si>
    <t>EKU City of Ekurhuleni</t>
  </si>
  <si>
    <t>GT485 Rand West City</t>
  </si>
  <si>
    <t>KZN253 Emadlangeni</t>
  </si>
  <si>
    <t>KZN276 Hlabisa Big Five</t>
  </si>
  <si>
    <t>LIM345 Collins Chabane</t>
  </si>
  <si>
    <t>LIM368 Modimolle-Mookgopong</t>
  </si>
  <si>
    <t>LIM476 Tubatse Fetakgomo</t>
  </si>
  <si>
    <t>NC087 Dawid Kruiper</t>
  </si>
  <si>
    <t>NW405 J B Marks</t>
  </si>
  <si>
    <t>Finance charges &amp; Depreciation</t>
  </si>
  <si>
    <t>FC&amp;D/(Total Revenue - capital revenue)</t>
  </si>
  <si>
    <t>Credit Rating</t>
  </si>
  <si>
    <t>Function</t>
  </si>
  <si>
    <t>Project Description</t>
  </si>
  <si>
    <t>Project Number</t>
  </si>
  <si>
    <t>Type</t>
  </si>
  <si>
    <t>MTSF Service Outcome</t>
  </si>
  <si>
    <t>IUDF</t>
  </si>
  <si>
    <t>Own Strategic Objectives</t>
  </si>
  <si>
    <t>Asset Class</t>
  </si>
  <si>
    <t>Asset Sub-Class</t>
  </si>
  <si>
    <t>Ward Location</t>
  </si>
  <si>
    <t>GPS Longitude</t>
  </si>
  <si>
    <t>GPS Lattitude</t>
  </si>
  <si>
    <t>Entities:</t>
  </si>
  <si>
    <t>List all capital projects grouped by Entity</t>
  </si>
  <si>
    <t>Entity Capital expenditure</t>
  </si>
  <si>
    <t>1,3</t>
  </si>
  <si>
    <t>Revenue Obligation By Contract</t>
  </si>
  <si>
    <t>Expenditure Obligation By Contract</t>
  </si>
  <si>
    <t>Capital Expenditure Obligation By Contract</t>
  </si>
  <si>
    <t>Total Entity Expenditure Implication</t>
  </si>
  <si>
    <t>1. Total implication for all preceding years to be summed and total stated in 'Preceding Years' column</t>
  </si>
  <si>
    <t>3. For entities with approved total revenue not exceeding R250 m - all contracts with an annual cost greater than R500 000. For entities with approved total revenue greater than R250 m - all contracts with an annual cost greater than R1million. For entities with approved total revenue greater than R500 m - all contracts with an annual cost greater than R5 million</t>
  </si>
  <si>
    <t>Operating Revenue By Source</t>
  </si>
  <si>
    <t>Operating Expenditure By Type</t>
  </si>
  <si>
    <t>Parks</t>
  </si>
  <si>
    <t xml:space="preserve">Total capital expenditure </t>
  </si>
  <si>
    <t>Investments by Maturity</t>
  </si>
  <si>
    <t>Period of Investment</t>
  </si>
  <si>
    <t>Type of Investment</t>
  </si>
  <si>
    <t>Capital Guarantee
(Yes/ No)</t>
  </si>
  <si>
    <t>Variable or Fixed interest rate</t>
  </si>
  <si>
    <t>Commission Paid (Rands)</t>
  </si>
  <si>
    <t>Commission Recipient</t>
  </si>
  <si>
    <t>Opening balance</t>
  </si>
  <si>
    <t>Interest to be realised</t>
  </si>
  <si>
    <t>Investment Top Up</t>
  </si>
  <si>
    <t>Closing Balance</t>
  </si>
  <si>
    <t>Name of institution &amp; investment ID</t>
  </si>
  <si>
    <t>Yrs/Months</t>
  </si>
  <si>
    <t xml:space="preserve">Interest Rate </t>
  </si>
  <si>
    <t>Partial / Premature Withdrawal</t>
  </si>
  <si>
    <t>1. List investments in expiry date order</t>
  </si>
  <si>
    <t>2. If 'variable' is selected in column F, input interest rate range</t>
  </si>
  <si>
    <t>3. Withdrawals to be entered as negative</t>
  </si>
  <si>
    <t>Current Debtors Collection Rate (Cash receipts % of Ratepayer &amp; Other revenue)</t>
  </si>
  <si>
    <t>Creditors to Cash and Investments</t>
  </si>
  <si>
    <t>Electricity Distribution Losses (2)</t>
  </si>
  <si>
    <r>
      <t>Total Volume Losses (kW</t>
    </r>
    <r>
      <rPr>
        <sz val="8"/>
        <rFont val="Arial Narrow"/>
        <family val="2"/>
      </rPr>
      <t>)</t>
    </r>
  </si>
  <si>
    <t>Total Cost of Losses (Rand '000)</t>
  </si>
  <si>
    <t>% Volume (units purchased and generated less units sold)/units purchased and generated</t>
  </si>
  <si>
    <t>Water Distribution Losses (2)</t>
  </si>
  <si>
    <t>Total Volume Losses (kℓ)</t>
  </si>
  <si>
    <t>Total remuneration/(Total Revenue - capital revenue)</t>
  </si>
  <si>
    <t>Outstanding creditors</t>
  </si>
  <si>
    <t>Lists</t>
  </si>
  <si>
    <t>&lt;1</t>
  </si>
  <si>
    <t>&lt;4</t>
  </si>
  <si>
    <t>Market</t>
  </si>
  <si>
    <t>Land &amp; impr.</t>
  </si>
  <si>
    <t>Uniform</t>
  </si>
  <si>
    <t>Yrs</t>
  </si>
  <si>
    <t>Local Government Equitable Share</t>
  </si>
  <si>
    <t>Health subsidy</t>
  </si>
  <si>
    <t xml:space="preserve"> Municipal Infrastructure Grant (MIG)</t>
  </si>
  <si>
    <t>Agriculture</t>
  </si>
  <si>
    <t>Dep.Replace</t>
  </si>
  <si>
    <t>Land only</t>
  </si>
  <si>
    <t>Variable</t>
  </si>
  <si>
    <t>Mths</t>
  </si>
  <si>
    <t xml:space="preserve">RSC Levy Replacement </t>
  </si>
  <si>
    <t>Ambulance subsidy</t>
  </si>
  <si>
    <t xml:space="preserve"> Public Transport and Systems</t>
  </si>
  <si>
    <t>Education</t>
  </si>
  <si>
    <t xml:space="preserve">Finance Management </t>
  </si>
  <si>
    <t>Rural Transport Services and Infrastructure</t>
  </si>
  <si>
    <t>Health</t>
  </si>
  <si>
    <t>Municipal Systems Improvement</t>
  </si>
  <si>
    <t>Sport and Recreation</t>
  </si>
  <si>
    <t>Regional Bulk Infrastructure</t>
  </si>
  <si>
    <t xml:space="preserve">Housing and Local Government </t>
  </si>
  <si>
    <t>6-10</t>
  </si>
  <si>
    <t xml:space="preserve">Water Services Operating Subsidy </t>
  </si>
  <si>
    <t xml:space="preserve">Rural Households Infrastructure </t>
  </si>
  <si>
    <t>Other Departments</t>
  </si>
  <si>
    <t>&gt;10</t>
  </si>
  <si>
    <t>Energy Efficiency  and Demand Management</t>
  </si>
  <si>
    <t>Neighbourhood Development Partnership</t>
  </si>
  <si>
    <t xml:space="preserve">Public Works, Roads, Transport </t>
  </si>
  <si>
    <t>&gt;5</t>
  </si>
  <si>
    <t>Integrated National Electrification Programme</t>
  </si>
  <si>
    <t>2010 FIFA World Cup Stadiums Development</t>
  </si>
  <si>
    <t xml:space="preserve">Municipal Drought Relief </t>
  </si>
  <si>
    <t>2010 FIFA World Cup Operating</t>
  </si>
  <si>
    <t>Electricity Demand Side Management</t>
  </si>
  <si>
    <t>EPWP Incentive</t>
  </si>
  <si>
    <t>Asset sub-class old</t>
  </si>
  <si>
    <t>Asset sub-class</t>
  </si>
  <si>
    <t>MTSF</t>
  </si>
  <si>
    <t>Roads, Pavements &amp; Bridges</t>
  </si>
  <si>
    <t>Spatial integration</t>
  </si>
  <si>
    <t>Quality basic education</t>
  </si>
  <si>
    <t>Storm water</t>
  </si>
  <si>
    <t>Inclusion and access</t>
  </si>
  <si>
    <t>A long and healthy life for all South Africans</t>
  </si>
  <si>
    <t>Generation</t>
  </si>
  <si>
    <t>Growth</t>
  </si>
  <si>
    <t>All people in South Africa are and feel safe</t>
  </si>
  <si>
    <t>Transmission &amp; Reticulation</t>
  </si>
  <si>
    <t>Governance</t>
  </si>
  <si>
    <t>Decent employment through inclusive growth</t>
  </si>
  <si>
    <t>Street Lighting</t>
  </si>
  <si>
    <t>A skilled and capable workforce to support an inclusive growth path</t>
  </si>
  <si>
    <t>Dams &amp; Reservoirs</t>
  </si>
  <si>
    <t>An efficient, competitive and responsive economic infrastructure network</t>
  </si>
  <si>
    <t>Water purification</t>
  </si>
  <si>
    <t>Vibrant, equitable, sustainable rural communities contributing towards food security for all</t>
  </si>
  <si>
    <t>Sustainable human settlements and improved quality of household life</t>
  </si>
  <si>
    <t>Sewerage purification</t>
  </si>
  <si>
    <t>Responsive, accountable, effective and efficient local government</t>
  </si>
  <si>
    <t>NOTE: This sheet should not be directly amended - select headings from sheet 'S'</t>
  </si>
  <si>
    <t>Waste Management</t>
  </si>
  <si>
    <t>Protect and enhance our environmental assets and natural resources</t>
  </si>
  <si>
    <t>Transportation</t>
  </si>
  <si>
    <t>Create a better South Africa and contribute to a better Africa and a better world</t>
  </si>
  <si>
    <t>Gas</t>
  </si>
  <si>
    <t>An efficient, effective and development-oriented public service</t>
  </si>
  <si>
    <t>Parks &amp; gardens</t>
  </si>
  <si>
    <t>A comprehensive, responsive and sustainable social protection system</t>
  </si>
  <si>
    <t>Sportsfields &amp; stadia</t>
  </si>
  <si>
    <t>A diverse, socially cohesive society with a common national identity</t>
  </si>
  <si>
    <t>EC EASTERN CAPE</t>
  </si>
  <si>
    <t>Swimming pools</t>
  </si>
  <si>
    <t>Community halls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</si>
  <si>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</si>
  <si>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</si>
  <si>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</si>
  <si>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</si>
  <si>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</si>
  <si>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</si>
  <si>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</si>
  <si>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</si>
  <si>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</si>
  <si>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</si>
  <si>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</si>
  <si>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Specialised vehicles - Refuse</t>
  </si>
  <si>
    <t>Specialised vehicles - Fire</t>
  </si>
  <si>
    <t>Specialised vehicles - Conservancy</t>
  </si>
  <si>
    <t>Specialised vehicles - Ambulances</t>
  </si>
  <si>
    <t>Plant &amp; equipment</t>
  </si>
  <si>
    <t>Computers - hardware/equipment</t>
  </si>
  <si>
    <t>Furniture and other office equipment</t>
  </si>
  <si>
    <t>Civic Land and Buildings</t>
  </si>
  <si>
    <t>Other Buildings</t>
  </si>
  <si>
    <t>Other Land</t>
  </si>
  <si>
    <t>Surplus Assets - (Investment or Inventory)</t>
  </si>
  <si>
    <t>Computers - software &amp; programming</t>
  </si>
  <si>
    <t>SA16 - Investments</t>
  </si>
  <si>
    <t>Security</t>
  </si>
  <si>
    <t>Interest rate</t>
  </si>
  <si>
    <t>Fixed</t>
  </si>
  <si>
    <t>SA36, SA37 - Capital projects</t>
  </si>
  <si>
    <t>FS FREE STATE</t>
  </si>
  <si>
    <t>Purls</t>
  </si>
  <si>
    <t>GT GAUTENG</t>
  </si>
  <si>
    <t>KZN KWAZULU-NATAL</t>
  </si>
  <si>
    <t>LIM LIMPOPO</t>
  </si>
  <si>
    <t>MP MPUMALANGA</t>
  </si>
  <si>
    <t>NC NORTHERN CAPE</t>
  </si>
  <si>
    <t>NW NORTH WEST</t>
  </si>
  <si>
    <t>WC WESTERN CAPE</t>
  </si>
  <si>
    <t>DC4 Garden Route</t>
  </si>
  <si>
    <t>Losses</t>
  </si>
  <si>
    <t>Gains</t>
  </si>
  <si>
    <t>Transfers and Subsidies - Operational</t>
  </si>
  <si>
    <t>Transfers and Subsidies - Capital</t>
  </si>
  <si>
    <t>Decrease (increase) in non-current receivables</t>
  </si>
  <si>
    <t>Inventory consumed and bulk purchases</t>
  </si>
  <si>
    <t>Bulk purchases - electricity</t>
  </si>
  <si>
    <t>Inventory consumed</t>
  </si>
  <si>
    <t>Centlec (Soc) Ltd</t>
  </si>
  <si>
    <t>Complete 1550 household connections identified for electrification in the MMM area by 30 June 2020.</t>
  </si>
  <si>
    <t>Monthly,quarterly progress report and proof of payments</t>
  </si>
  <si>
    <t>Complete 1550 household connections identified for electrification in the MMM area by 30 June 2021.</t>
  </si>
  <si>
    <t>Complete 1550 household connections identified for electrification in the MMM area by 30 June 2022.</t>
  </si>
  <si>
    <t>Complete 1550 household connections identified for electrification in the MMM area by 30 June 2023.</t>
  </si>
  <si>
    <t>Complete 1550 household connections identified for electrification in the MMM area by 30 June 2024.</t>
  </si>
  <si>
    <t>Erection of 23 high mast lights within Mangaung by 30 June 2020</t>
  </si>
  <si>
    <t>Erection of 23 high mast lights within Mangaung by 30 June 2021</t>
  </si>
  <si>
    <t>Erection of 23 high mast lights within Mangaung by 30 June 2022</t>
  </si>
  <si>
    <t>Erection of 23 high mast lights within Mangaung by 30 June 2023</t>
  </si>
  <si>
    <t>Erection of 23 high mast lights within Mangaung by 30 June 2024</t>
  </si>
  <si>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2019 to 30 June 2020.</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</si>
  <si>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2020 to 30 June 2021.</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</si>
  <si>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2020 to 30 June 2022.</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</si>
  <si>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2021 to 30 June 2023.</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</si>
  <si>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2022 to 30 June 2024.</t>
    </r>
  </si>
  <si>
    <t>346 DC Transformer Inspections based on the maintenance plan to be completed from 1st of July 2018 to 30 June 2019.</t>
  </si>
  <si>
    <t>346 DC Transformer Inspections based on the maintenance plan to be completed from 1st of July 2020 to 30 June 2021.</t>
  </si>
  <si>
    <t>346 DC Transformer Inspections based on the maintenance plan to be completed from 1st of July 2020 to 30 June 2022.</t>
  </si>
  <si>
    <t>346 DC Transformer Inspections based on the maintenance plan to be completed from 1st of July 2021 to 30 June 2023.</t>
  </si>
  <si>
    <t>346 DC Transformer Inspections based on the maintenance plan to be completed from 1st of July 2022 to 30 June 2024.</t>
  </si>
  <si>
    <t>504 Distribution Centre Panels to be tested based on the maintenance plan from 1st of July 2018 to 30 June 2019.</t>
  </si>
  <si>
    <t>504 Distribution Centre Panels to be tested based on the maintenance plan from 1st of July 2020 to 30 June 2021.</t>
  </si>
  <si>
    <t>504 Distribution Centre Panels to be tested based on the maintenance plan from 1st of July 2020 to 30 June 2022.</t>
  </si>
  <si>
    <t>504 Distribution Centre Panels to be tested based on the maintenance plan from 1st of July 2021 to 30 June 2023.</t>
  </si>
  <si>
    <t>504 Distribution Centre Panels to be tested based on the maintenance plan from 1st of July 2022 to 30 June 2024.</t>
  </si>
  <si>
    <t>Unplanned interruptions of the supply should be restored as per NERSA license requirements in terms of NRS 048 by 30 June 2020</t>
  </si>
  <si>
    <t>Unplanned interruptions of the supply should be restored as per NERSA license requirements in terms of NRS 048 by 30 June 2021</t>
  </si>
  <si>
    <t>Unplanned interruptions of the supply should be restored as per NERSA license requirements in terms of NRS 048 by 30 June 2022</t>
  </si>
  <si>
    <t>Unplanned interruptions of the supply should be restored as per NERSA license requirements in terms of NRS 048 by 30 June 2024</t>
  </si>
  <si>
    <t>Planned scheduled interruptions of the supply should be restored as per NERSA license requirements in terms of NRS 048 by 30 June 2020.</t>
  </si>
  <si>
    <t>Planned scheduled interruptions of the supply should be restored as per NERSA license requirements in terms of NRS 048 by 30 June 2021.</t>
  </si>
  <si>
    <t>Planned scheduled interruptions of the supply should be restored as per NERSA license requirements in terms of NRS 048 by 30 June 2022.</t>
  </si>
  <si>
    <t>Planned scheduled interruptions of the supply should be restored as per NERSA license requirements in terms of NRS 048 by 30 June 2023.</t>
  </si>
  <si>
    <t>Planned scheduled interruptions of the supply should be restored as per NERSA license requirements in terms of NRS 048 by 30 June 2024.</t>
  </si>
  <si>
    <t>Installed capacity of embedded generators on the Municipal Distribution Network</t>
  </si>
  <si>
    <t xml:space="preserve">ABSA - 1 Day Account </t>
  </si>
  <si>
    <t>February 2013</t>
  </si>
  <si>
    <t>Call Account</t>
  </si>
  <si>
    <t>Variable Interest Rate</t>
  </si>
  <si>
    <t>n/a</t>
  </si>
  <si>
    <t>ENGINEERING RETAIL</t>
  </si>
  <si>
    <t>ENGINEERING WIRES</t>
  </si>
  <si>
    <t>COMPLIANCE &amp; PERFORMANCE</t>
  </si>
  <si>
    <t>HUMAN RESOURCES</t>
  </si>
  <si>
    <t>TRAINING &amp; DEVELOPMENT</t>
  </si>
  <si>
    <t>COMPUTER EQUIPMENT (COVID-19)</t>
  </si>
  <si>
    <t>IMPLEM BUSINESS CONT DISASTER RECOV INF</t>
  </si>
  <si>
    <t>UPGRADE &amp; REFURB  COMPUTER NETWORK</t>
  </si>
  <si>
    <t>METER REPLACEMENT PROJECT</t>
  </si>
  <si>
    <t>ELECTRIFICATION (USDG GRANT)</t>
  </si>
  <si>
    <t>BOTSHABELO:ESTAB OF 132KV CONN(INDU AREA</t>
  </si>
  <si>
    <t>BOTSHABELO:ESTABLI OF 132KV CONN(VAALKRA</t>
  </si>
  <si>
    <t>ELECTRIFICATION INTERNAL PROJECTS</t>
  </si>
  <si>
    <t>EXTENSION AND UPGRADING OF THE 11KV NETW</t>
  </si>
  <si>
    <t>PUBLIC ELECTRICITY CONNECTIONS</t>
  </si>
  <si>
    <t>UPGRADING AND EXTENTION OF LV NETWORK</t>
  </si>
  <si>
    <t>SERVITUDES  LAND (INCL INVEST REMUNE REG</t>
  </si>
  <si>
    <t>INSTALLATION OF PUBLIC LIGHTING</t>
  </si>
  <si>
    <t>INSTALL PREPAID METERS (INDIGENT)</t>
  </si>
  <si>
    <t>REMEDIAL WORK 132KV SOUTHERN  LINES</t>
  </si>
  <si>
    <t>SHIFTING OF CONNECTION AND REPLACEMENT S</t>
  </si>
  <si>
    <t>REFURBISHMENT OF HIGH MAST LIGHTS</t>
  </si>
  <si>
    <t>REP LOW VOLT DECREPIT 2/4/8 WAY BOXES</t>
  </si>
  <si>
    <t>REP BRITTLE OVERHEAD CONNECTIONS</t>
  </si>
  <si>
    <t>S/LIGHTS REPLACE POLE TRNS POLES SECTION</t>
  </si>
  <si>
    <t>REPLACEMENT OF 110V BATTERIES</t>
  </si>
  <si>
    <t>REPLACEMENT OF 11KV SWITCHGEARS</t>
  </si>
  <si>
    <t>REPLACEMENT OF 32V BATTERIES</t>
  </si>
  <si>
    <t>REFUR PROTEC &amp; SCADA SYSTEMS  DIST CENTR</t>
  </si>
  <si>
    <t>TRANSFORMER REPLACE &amp; OTHER RELATED EQUI</t>
  </si>
  <si>
    <t>REP 2 &amp;4 WAY FIBREGLAS BOX (BOTS % TBAN)</t>
  </si>
  <si>
    <t>REPLACEMENT OF OIL PLANT</t>
  </si>
  <si>
    <t>REPAIR MMM DIST DIST CENTRE</t>
  </si>
  <si>
    <t>REPAIR VISTA DIST DIST CENTRE</t>
  </si>
  <si>
    <t>VEHICLES</t>
  </si>
  <si>
    <t>SECURITY EQUIPMENT</t>
  </si>
  <si>
    <t>FURNITURE AND OFFICE EQUIPMENT</t>
  </si>
  <si>
    <t>SOLAR FARM GENERATION PLANT</t>
  </si>
  <si>
    <t>OFFICE BUILDING</t>
  </si>
  <si>
    <t>BULK SMART METER INSTALLATION</t>
  </si>
  <si>
    <t>BOTSHABELO-E: ESTABLSIHMENT OF NEW 33/11KV, 10MVA FIRM CAPACITY DC</t>
  </si>
  <si>
    <t>BOTSHABELO: UPGRADING OF SUB T (SECOND TRASFORMER, SCADA, METERING, FEEDERS AND ASSOCIATED EQUIPEMNT</t>
  </si>
  <si>
    <t>BOTSHABELO: UPGRADING OF SUB W (CIVIL WORK, BUILDING WORK, SECOND TRASFORMER, SCADA, METERING, FEEDERS AND ASSOCIATED EQUIPEMNT</t>
  </si>
  <si>
    <t>BLOEMFONTEIN: COALYARD - ESTABLISMENT OF 33/11KV, 20MVA FIRM SUPPLY DC</t>
  </si>
  <si>
    <t>BLOEMFONTEIN: NOORDSTAD- UPGRADINGOF 132/11KV, 20MVA FIRM SUPPLY DC</t>
  </si>
  <si>
    <t>INFRASTRUCTURE CATALYST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</si>
</sst>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 #,##0.0000_ ;_ * \-#,##0.0000_ ;_ * &quot;-&quot;??_ ;_ @_ "/>
    <numFmt numFmtId="172" formatCode="_(* #,##0,_);_(* \(#,##0,\);_(* &quot;–&quot;?_);_(@_)"/>
    <numFmt numFmtId="173" formatCode="_(* #,##0_);_(* \(#,##0\);_(* &quot;–&quot;?_);_(@_)"/>
    <numFmt numFmtId="174" formatCode="_(* #,##0.0%_);_(* \(#,##0.0%\);_(* &quot;–&quot;?_);_(@_)"/>
    <numFmt numFmtId="175" formatCode="[$-1C09]dd\ mmmm\ yyyy"/>
  </numFmts>
  <fonts count="44"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name val="Arial"/>
      <family val="2"/>
    </font>
    <font>
      <sz val="10"/>
      <name val="Arial"/>
      <family val="2"/>
    </font>
    <font>
      <sz val="10"/>
      <color rgb="FF000000"/>
      <name val="Arial"/>
      <family val="2"/>
    </font>
    <font>
      <sz val="9"/>
      <name val="Arial Narrow"/>
      <family val="2"/>
    </font>
    <font>
      <vertAlign val="superscript"/>
      <sz val="9"/>
      <color rgb="FF000000"/>
      <name val="Arial Narrow"/>
      <family val="2"/>
    </font>
    <font>
      <sz val="9"/>
      <color rgb="FF000000"/>
      <name val="Arial Narrow"/>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57"/>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 fillId="0" borderId="0"/>
    <xf numFmtId="0" fontId="1" fillId="0" borderId="0"/>
  </cellStyleXfs>
  <cellXfs count="734">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6" fillId="0" borderId="0" xfId="0" applyFont="1"/>
    <xf numFmtId="0" fontId="7" fillId="0" borderId="19" xfId="0" applyFont="1" applyFill="1" applyBorder="1" applyAlignment="1">
      <alignment horizontal="center" vertical="center" wrapText="1"/>
    </xf>
    <xf numFmtId="172" fontId="6" fillId="0" borderId="20" xfId="0" applyNumberFormat="1" applyFont="1" applyBorder="1"/>
    <xf numFmtId="172" fontId="6" fillId="0" borderId="21" xfId="0" applyNumberFormat="1" applyFont="1" applyBorder="1"/>
    <xf numFmtId="172" fontId="7" fillId="0" borderId="20" xfId="0" applyNumberFormat="1" applyFont="1" applyBorder="1"/>
    <xf numFmtId="172" fontId="7" fillId="0" borderId="21" xfId="0" applyNumberFormat="1" applyFont="1" applyBorder="1"/>
    <xf numFmtId="0" fontId="6" fillId="0" borderId="0" xfId="0" applyFont="1" applyBorder="1"/>
    <xf numFmtId="172" fontId="7" fillId="0" borderId="25" xfId="0" applyNumberFormat="1" applyFont="1" applyBorder="1"/>
    <xf numFmtId="172" fontId="7" fillId="0" borderId="26" xfId="0" applyNumberFormat="1" applyFont="1" applyBorder="1"/>
    <xf numFmtId="0" fontId="6" fillId="0" borderId="11" xfId="0" applyFont="1" applyFill="1" applyBorder="1" applyAlignment="1">
      <alignment horizontal="left" indent="1"/>
    </xf>
    <xf numFmtId="0" fontId="7" fillId="0" borderId="11" xfId="0" applyFont="1" applyFill="1" applyBorder="1"/>
    <xf numFmtId="172" fontId="6" fillId="0" borderId="29" xfId="0" applyNumberFormat="1" applyFont="1" applyBorder="1"/>
    <xf numFmtId="172" fontId="6" fillId="0" borderId="30" xfId="0" applyNumberFormat="1" applyFont="1" applyBorder="1"/>
    <xf numFmtId="172" fontId="6" fillId="0" borderId="33" xfId="0" applyNumberFormat="1" applyFont="1" applyBorder="1"/>
    <xf numFmtId="172" fontId="6" fillId="0" borderId="34" xfId="0" applyNumberFormat="1" applyFont="1" applyBorder="1"/>
    <xf numFmtId="172" fontId="6" fillId="0" borderId="35" xfId="0" applyNumberFormat="1" applyFont="1" applyBorder="1"/>
    <xf numFmtId="172" fontId="6" fillId="0" borderId="36" xfId="0" applyNumberFormat="1" applyFont="1" applyBorder="1"/>
    <xf numFmtId="0" fontId="7" fillId="0" borderId="40" xfId="0" applyFont="1" applyFill="1" applyBorder="1" applyAlignment="1">
      <alignment horizontal="center" vertical="center" wrapText="1"/>
    </xf>
    <xf numFmtId="172" fontId="6" fillId="0" borderId="41" xfId="0" applyNumberFormat="1" applyFont="1" applyBorder="1"/>
    <xf numFmtId="172" fontId="6" fillId="0" borderId="42" xfId="0" applyNumberFormat="1" applyFont="1" applyBorder="1"/>
    <xf numFmtId="172" fontId="7" fillId="0" borderId="43" xfId="0" applyNumberFormat="1" applyFont="1" applyBorder="1"/>
    <xf numFmtId="0" fontId="7" fillId="0" borderId="44" xfId="0" applyFont="1" applyFill="1" applyBorder="1" applyAlignment="1">
      <alignment horizontal="center" vertical="center" wrapText="1"/>
    </xf>
    <xf numFmtId="170" fontId="6" fillId="0" borderId="0" xfId="0" applyNumberFormat="1" applyFont="1"/>
    <xf numFmtId="0" fontId="5" fillId="0" borderId="0" xfId="0" applyFont="1" applyFill="1" applyBorder="1" applyAlignment="1">
      <alignment horizontal="left"/>
    </xf>
    <xf numFmtId="172" fontId="6" fillId="0" borderId="47" xfId="0" applyNumberFormat="1" applyFont="1" applyBorder="1"/>
    <xf numFmtId="172" fontId="7" fillId="0" borderId="42" xfId="0" applyNumberFormat="1" applyFont="1" applyBorder="1"/>
    <xf numFmtId="172" fontId="6" fillId="0" borderId="48" xfId="0" applyNumberFormat="1" applyFont="1" applyBorder="1"/>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2" fillId="0" borderId="64" xfId="0" applyFont="1" applyFill="1" applyBorder="1" applyAlignment="1">
      <alignment horizontal="center"/>
    </xf>
    <xf numFmtId="0" fontId="2" fillId="0" borderId="65" xfId="0" applyFont="1" applyFill="1" applyBorder="1"/>
    <xf numFmtId="0" fontId="3" fillId="0" borderId="0" xfId="0" applyFont="1"/>
    <xf numFmtId="0" fontId="2" fillId="0" borderId="64" xfId="0" applyFont="1" applyBorder="1" applyAlignment="1">
      <alignment horizontal="center"/>
    </xf>
    <xf numFmtId="0" fontId="2" fillId="0" borderId="13" xfId="0" applyFont="1" applyFill="1" applyBorder="1"/>
    <xf numFmtId="172" fontId="7" fillId="0" borderId="30" xfId="0" applyNumberFormat="1" applyFont="1" applyBorder="1"/>
    <xf numFmtId="172" fontId="7" fillId="0" borderId="29" xfId="0" applyNumberFormat="1" applyFont="1" applyBorder="1"/>
    <xf numFmtId="172" fontId="7" fillId="0" borderId="48" xfId="0" applyNumberFormat="1" applyFont="1" applyBorder="1"/>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2" fontId="6" fillId="0" borderId="20" xfId="0" applyNumberFormat="1" applyFont="1" applyBorder="1" applyProtection="1"/>
    <xf numFmtId="172" fontId="6" fillId="0" borderId="42" xfId="0" applyNumberFormat="1" applyFont="1" applyBorder="1" applyProtection="1"/>
    <xf numFmtId="172"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9" fontId="6" fillId="0" borderId="0" xfId="0" applyNumberFormat="1" applyFont="1" applyBorder="1" applyProtection="1"/>
    <xf numFmtId="0" fontId="6" fillId="0" borderId="0" xfId="0" applyFont="1" applyFill="1" applyProtection="1"/>
    <xf numFmtId="172" fontId="7" fillId="0" borderId="25" xfId="0" applyNumberFormat="1" applyFont="1" applyBorder="1" applyProtection="1"/>
    <xf numFmtId="172" fontId="7" fillId="0" borderId="43" xfId="0" applyNumberFormat="1" applyFont="1" applyBorder="1" applyProtection="1"/>
    <xf numFmtId="172" fontId="7" fillId="0" borderId="26" xfId="0" applyNumberFormat="1" applyFont="1" applyBorder="1" applyProtection="1"/>
    <xf numFmtId="169"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2" fontId="7" fillId="0" borderId="20" xfId="0" applyNumberFormat="1" applyFont="1" applyBorder="1" applyProtection="1"/>
    <xf numFmtId="172" fontId="7" fillId="0" borderId="42" xfId="0" applyNumberFormat="1" applyFont="1" applyBorder="1" applyProtection="1"/>
    <xf numFmtId="172" fontId="7" fillId="0" borderId="21" xfId="0" applyNumberFormat="1" applyFont="1" applyBorder="1" applyProtection="1"/>
    <xf numFmtId="172" fontId="7" fillId="0" borderId="20" xfId="0" applyNumberFormat="1" applyFont="1" applyBorder="1" applyAlignment="1" applyProtection="1">
      <alignment vertical="top"/>
    </xf>
    <xf numFmtId="172" fontId="7" fillId="0" borderId="42" xfId="0" applyNumberFormat="1" applyFont="1" applyBorder="1" applyAlignment="1" applyProtection="1">
      <alignment vertical="top"/>
    </xf>
    <xf numFmtId="172" fontId="7" fillId="0" borderId="21" xfId="0" applyNumberFormat="1" applyFont="1" applyBorder="1" applyAlignment="1" applyProtection="1">
      <alignment vertical="top"/>
    </xf>
    <xf numFmtId="0" fontId="6" fillId="0" borderId="0" xfId="0" applyFont="1" applyBorder="1" applyProtection="1"/>
    <xf numFmtId="169"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0" fontId="14" fillId="26" borderId="64" xfId="0" applyFont="1" applyFill="1" applyBorder="1"/>
    <xf numFmtId="0" fontId="14" fillId="26" borderId="65" xfId="0" applyFont="1" applyFill="1" applyBorder="1" applyAlignment="1">
      <alignment horizontal="left"/>
    </xf>
    <xf numFmtId="0" fontId="14" fillId="26" borderId="14" xfId="0" applyFont="1" applyFill="1" applyBorder="1" applyAlignment="1">
      <alignment horizontal="left"/>
    </xf>
    <xf numFmtId="0" fontId="14" fillId="26" borderId="64" xfId="0" applyFont="1" applyFill="1" applyBorder="1" applyAlignment="1">
      <alignment horizontal="left"/>
    </xf>
    <xf numFmtId="0" fontId="3" fillId="27" borderId="0" xfId="0" applyFont="1" applyFill="1"/>
    <xf numFmtId="0" fontId="2" fillId="0" borderId="10" xfId="0" applyFont="1" applyBorder="1"/>
    <xf numFmtId="0" fontId="2" fillId="0" borderId="46" xfId="0" applyFont="1" applyBorder="1"/>
    <xf numFmtId="0" fontId="15" fillId="0" borderId="0" xfId="0" applyFont="1"/>
    <xf numFmtId="0" fontId="2" fillId="0" borderId="15" xfId="0" applyFont="1" applyBorder="1"/>
    <xf numFmtId="0" fontId="16" fillId="0" borderId="0" xfId="0" applyFont="1"/>
    <xf numFmtId="0" fontId="7" fillId="0" borderId="44" xfId="0" applyFont="1" applyFill="1" applyBorder="1" applyAlignment="1" applyProtection="1">
      <alignment horizontal="center" vertical="center" wrapText="1"/>
    </xf>
    <xf numFmtId="0" fontId="9" fillId="0" borderId="66" xfId="0" applyFont="1" applyFill="1" applyBorder="1"/>
    <xf numFmtId="0" fontId="7" fillId="0" borderId="66" xfId="0" applyFont="1" applyFill="1" applyBorder="1"/>
    <xf numFmtId="0" fontId="6" fillId="0" borderId="15" xfId="0" applyFont="1" applyFill="1" applyBorder="1"/>
    <xf numFmtId="0" fontId="9" fillId="0" borderId="64"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172" fontId="7" fillId="0" borderId="26" xfId="0" applyNumberFormat="1" applyFont="1" applyBorder="1" applyAlignment="1">
      <alignment vertical="top"/>
    </xf>
    <xf numFmtId="172" fontId="7" fillId="0" borderId="25" xfId="0" applyNumberFormat="1" applyFont="1" applyBorder="1" applyAlignment="1">
      <alignment vertical="top"/>
    </xf>
    <xf numFmtId="172"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9" fillId="0" borderId="66"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173" fontId="10" fillId="0" borderId="20" xfId="28" applyNumberFormat="1" applyFont="1" applyFill="1" applyBorder="1" applyProtection="1"/>
    <xf numFmtId="173" fontId="10" fillId="0" borderId="12" xfId="28" applyNumberFormat="1" applyFont="1" applyFill="1" applyBorder="1" applyProtection="1"/>
    <xf numFmtId="173" fontId="10" fillId="0" borderId="11" xfId="28" applyNumberFormat="1" applyFont="1" applyFill="1" applyBorder="1" applyProtection="1"/>
    <xf numFmtId="173" fontId="10" fillId="0" borderId="42" xfId="28" applyNumberFormat="1" applyFont="1" applyFill="1" applyBorder="1" applyProtection="1"/>
    <xf numFmtId="173" fontId="10" fillId="0" borderId="0" xfId="28" applyNumberFormat="1" applyFont="1" applyFill="1" applyBorder="1" applyProtection="1"/>
    <xf numFmtId="0" fontId="7" fillId="0" borderId="10" xfId="0" applyNumberFormat="1" applyFont="1" applyBorder="1" applyAlignment="1">
      <alignment wrapText="1"/>
    </xf>
    <xf numFmtId="0" fontId="7" fillId="0" borderId="64"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55" xfId="0" applyFont="1" applyFill="1" applyBorder="1" applyAlignment="1">
      <alignment horizontal="left" vertical="center" wrapText="1"/>
    </xf>
    <xf numFmtId="0" fontId="6" fillId="0" borderId="0" xfId="0" applyFont="1" applyAlignment="1" applyProtection="1"/>
    <xf numFmtId="0" fontId="6" fillId="0" borderId="49" xfId="0" applyFont="1" applyBorder="1" applyAlignment="1" applyProtection="1">
      <alignment horizontal="center"/>
    </xf>
    <xf numFmtId="0" fontId="7" fillId="0" borderId="28" xfId="0" applyFont="1" applyBorder="1" applyProtection="1"/>
    <xf numFmtId="0" fontId="10" fillId="0" borderId="0" xfId="0" applyFont="1" applyBorder="1" applyProtection="1"/>
    <xf numFmtId="0" fontId="6" fillId="0" borderId="67" xfId="0" applyFont="1" applyBorder="1" applyAlignment="1" applyProtection="1">
      <alignment horizontal="center"/>
    </xf>
    <xf numFmtId="0" fontId="17" fillId="0" borderId="0" xfId="38"/>
    <xf numFmtId="0" fontId="0" fillId="0" borderId="0" xfId="0" applyProtection="1">
      <protection locked="0"/>
    </xf>
    <xf numFmtId="172" fontId="7" fillId="0" borderId="30" xfId="0" applyNumberFormat="1" applyFont="1" applyBorder="1" applyAlignment="1">
      <alignment vertical="top"/>
    </xf>
    <xf numFmtId="172" fontId="7" fillId="0" borderId="29" xfId="0" applyNumberFormat="1" applyFont="1" applyBorder="1" applyAlignment="1">
      <alignment vertical="top"/>
    </xf>
    <xf numFmtId="172" fontId="7" fillId="0" borderId="48" xfId="0" applyNumberFormat="1" applyFont="1" applyBorder="1" applyAlignment="1">
      <alignment vertical="top"/>
    </xf>
    <xf numFmtId="0" fontId="0" fillId="0" borderId="0" xfId="0" applyProtection="1"/>
    <xf numFmtId="0" fontId="13" fillId="0" borderId="0" xfId="0" applyFont="1" applyProtection="1"/>
    <xf numFmtId="172" fontId="7" fillId="0" borderId="20" xfId="0" applyNumberFormat="1" applyFont="1" applyFill="1" applyBorder="1" applyProtection="1"/>
    <xf numFmtId="172" fontId="7" fillId="0" borderId="42" xfId="0" applyNumberFormat="1" applyFont="1" applyFill="1" applyBorder="1" applyProtection="1"/>
    <xf numFmtId="172"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2" fontId="6" fillId="0" borderId="29" xfId="0" applyNumberFormat="1" applyFont="1" applyFill="1" applyBorder="1" applyProtection="1"/>
    <xf numFmtId="172" fontId="6" fillId="0" borderId="45" xfId="0" applyNumberFormat="1" applyFont="1" applyFill="1" applyBorder="1" applyProtection="1"/>
    <xf numFmtId="172" fontId="6" fillId="0" borderId="30" xfId="0" applyNumberFormat="1" applyFont="1" applyFill="1" applyBorder="1" applyProtection="1"/>
    <xf numFmtId="172" fontId="6" fillId="0" borderId="48" xfId="0" applyNumberFormat="1" applyFont="1" applyFill="1" applyBorder="1" applyProtection="1"/>
    <xf numFmtId="172" fontId="6" fillId="0" borderId="68" xfId="0" applyNumberFormat="1" applyFont="1" applyFill="1" applyBorder="1" applyProtection="1"/>
    <xf numFmtId="172" fontId="6" fillId="0" borderId="20" xfId="0" applyNumberFormat="1" applyFont="1" applyFill="1" applyBorder="1" applyProtection="1"/>
    <xf numFmtId="172" fontId="6" fillId="0" borderId="31" xfId="0" applyNumberFormat="1" applyFont="1" applyFill="1" applyBorder="1" applyProtection="1"/>
    <xf numFmtId="172" fontId="6" fillId="0" borderId="21" xfId="0" applyNumberFormat="1" applyFont="1" applyFill="1" applyBorder="1" applyProtection="1"/>
    <xf numFmtId="172" fontId="6" fillId="0" borderId="42" xfId="0" applyNumberFormat="1" applyFont="1" applyFill="1" applyBorder="1" applyProtection="1"/>
    <xf numFmtId="172" fontId="6" fillId="0" borderId="52" xfId="0" applyNumberFormat="1" applyFont="1" applyFill="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5" xfId="0" applyNumberFormat="1" applyFont="1" applyFill="1" applyBorder="1" applyProtection="1">
      <protection locked="0"/>
    </xf>
    <xf numFmtId="0" fontId="2" fillId="25" borderId="65"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Border="1" applyAlignment="1">
      <alignment horizontal="left" vertical="top" indent="1"/>
    </xf>
    <xf numFmtId="0" fontId="37" fillId="0" borderId="0" xfId="0" applyFont="1" applyAlignment="1">
      <alignment wrapText="1"/>
    </xf>
    <xf numFmtId="0" fontId="38" fillId="0" borderId="0" xfId="0" applyFont="1" applyProtection="1"/>
    <xf numFmtId="0" fontId="38" fillId="0" borderId="0" xfId="0" applyFont="1"/>
    <xf numFmtId="164" fontId="6" fillId="0" borderId="0" xfId="28" applyFont="1" applyBorder="1" applyProtection="1"/>
    <xf numFmtId="0" fontId="11" fillId="0" borderId="0" xfId="0" applyFont="1" applyFill="1" applyBorder="1" applyProtection="1"/>
    <xf numFmtId="0" fontId="8" fillId="0" borderId="0" xfId="0" applyFont="1" applyFill="1" applyBorder="1" applyAlignment="1" applyProtection="1">
      <alignment horizontal="center"/>
    </xf>
    <xf numFmtId="172" fontId="10" fillId="0" borderId="0" xfId="0" applyNumberFormat="1" applyFont="1" applyFill="1" applyBorder="1" applyProtection="1"/>
    <xf numFmtId="0" fontId="10" fillId="0" borderId="0" xfId="0" applyFont="1" applyFill="1" applyBorder="1" applyProtection="1"/>
    <xf numFmtId="0" fontId="10" fillId="0" borderId="0" xfId="0" applyFont="1" applyFill="1" applyBorder="1" applyAlignment="1" applyProtection="1">
      <alignment horizontal="center"/>
    </xf>
    <xf numFmtId="169" fontId="6" fillId="0" borderId="0" xfId="0" applyNumberFormat="1" applyFont="1" applyFill="1" applyBorder="1" applyProtection="1"/>
    <xf numFmtId="0" fontId="10" fillId="0" borderId="0" xfId="0" applyNumberFormat="1" applyFont="1" applyFill="1" applyBorder="1" applyProtection="1"/>
    <xf numFmtId="0" fontId="0" fillId="0" borderId="0" xfId="0" applyFill="1"/>
    <xf numFmtId="0" fontId="38" fillId="0" borderId="11" xfId="0" applyFont="1" applyBorder="1" applyAlignment="1">
      <alignment horizontal="center"/>
    </xf>
    <xf numFmtId="0" fontId="38" fillId="0" borderId="12" xfId="0" applyFont="1" applyBorder="1" applyAlignment="1">
      <alignment horizontal="center"/>
    </xf>
    <xf numFmtId="172" fontId="6" fillId="0" borderId="0" xfId="0" applyNumberFormat="1" applyFont="1" applyFill="1" applyBorder="1" applyProtection="1"/>
    <xf numFmtId="0" fontId="10" fillId="0" borderId="0" xfId="0" applyNumberFormat="1" applyFont="1" applyBorder="1" applyProtection="1"/>
    <xf numFmtId="0" fontId="6" fillId="0" borderId="10" xfId="0" applyNumberFormat="1" applyFont="1" applyBorder="1" applyAlignment="1">
      <alignment horizontal="left" indent="1"/>
    </xf>
    <xf numFmtId="0" fontId="10" fillId="0" borderId="0" xfId="0" quotePrefix="1" applyNumberFormat="1" applyFont="1" applyBorder="1" applyProtection="1"/>
    <xf numFmtId="172" fontId="7" fillId="0" borderId="42" xfId="0" applyNumberFormat="1" applyFont="1" applyBorder="1" applyAlignment="1" applyProtection="1"/>
    <xf numFmtId="0" fontId="11" fillId="0" borderId="0" xfId="0" applyFont="1" applyBorder="1" applyProtection="1"/>
    <xf numFmtId="0" fontId="6" fillId="0" borderId="51" xfId="0" applyFont="1" applyFill="1" applyBorder="1" applyAlignment="1">
      <alignment horizontal="left" indent="1"/>
    </xf>
    <xf numFmtId="0" fontId="14" fillId="26" borderId="64" xfId="45" applyFont="1" applyFill="1" applyBorder="1"/>
    <xf numFmtId="0" fontId="14" fillId="26" borderId="65" xfId="45" applyFont="1" applyFill="1" applyBorder="1" applyAlignment="1">
      <alignment horizontal="left"/>
    </xf>
    <xf numFmtId="0" fontId="14" fillId="26" borderId="14" xfId="45" applyFont="1" applyFill="1" applyBorder="1" applyAlignment="1">
      <alignment horizontal="left"/>
    </xf>
    <xf numFmtId="0" fontId="14" fillId="26" borderId="64" xfId="45" applyFont="1" applyFill="1" applyBorder="1" applyAlignment="1">
      <alignment horizontal="left"/>
    </xf>
    <xf numFmtId="0" fontId="14" fillId="31" borderId="75" xfId="45" applyFont="1" applyFill="1" applyBorder="1" applyAlignment="1">
      <alignment horizontal="left"/>
    </xf>
    <xf numFmtId="0" fontId="3" fillId="31" borderId="76" xfId="45" applyFont="1" applyFill="1" applyBorder="1"/>
    <xf numFmtId="0" fontId="3" fillId="27" borderId="0" xfId="45" applyFont="1" applyFill="1"/>
    <xf numFmtId="0" fontId="3" fillId="0" borderId="0" xfId="45" applyFont="1"/>
    <xf numFmtId="0" fontId="2" fillId="0" borderId="11" xfId="45" applyFont="1" applyBorder="1"/>
    <xf numFmtId="0" fontId="2" fillId="0" borderId="0" xfId="45" applyFont="1" applyBorder="1"/>
    <xf numFmtId="0" fontId="2" fillId="0" borderId="10" xfId="45" applyFont="1" applyBorder="1"/>
    <xf numFmtId="0" fontId="2" fillId="0" borderId="11" xfId="45" applyFont="1" applyBorder="1" applyAlignment="1">
      <alignment horizontal="center"/>
    </xf>
    <xf numFmtId="0" fontId="2" fillId="0" borderId="10" xfId="45" quotePrefix="1" applyFont="1" applyBorder="1" applyAlignment="1">
      <alignment horizontal="center"/>
    </xf>
    <xf numFmtId="0" fontId="2" fillId="0" borderId="10" xfId="45" applyFont="1" applyBorder="1" applyAlignment="1">
      <alignment horizontal="center"/>
    </xf>
    <xf numFmtId="0" fontId="2" fillId="0" borderId="14" xfId="45" applyFont="1" applyBorder="1" applyAlignment="1">
      <alignment horizontal="center"/>
    </xf>
    <xf numFmtId="0" fontId="2" fillId="0" borderId="0" xfId="45" applyFont="1"/>
    <xf numFmtId="0" fontId="2" fillId="0" borderId="46" xfId="45" applyFont="1" applyBorder="1" applyAlignment="1">
      <alignment horizontal="center"/>
    </xf>
    <xf numFmtId="0" fontId="2" fillId="0" borderId="15" xfId="45" applyFont="1" applyBorder="1" applyAlignment="1">
      <alignment horizontal="center"/>
    </xf>
    <xf numFmtId="0" fontId="2" fillId="0" borderId="46" xfId="45" applyFont="1" applyBorder="1"/>
    <xf numFmtId="0" fontId="2" fillId="0" borderId="64" xfId="45" applyFont="1" applyBorder="1" applyAlignment="1">
      <alignment horizontal="center"/>
    </xf>
    <xf numFmtId="16" fontId="2" fillId="0" borderId="10" xfId="45" quotePrefix="1" applyNumberFormat="1" applyFont="1" applyBorder="1" applyAlignment="1">
      <alignment horizontal="center"/>
    </xf>
    <xf numFmtId="0" fontId="2" fillId="0" borderId="15" xfId="45" applyFont="1" applyBorder="1"/>
    <xf numFmtId="0" fontId="2" fillId="0" borderId="13" xfId="45" applyFont="1" applyBorder="1"/>
    <xf numFmtId="0" fontId="16" fillId="0" borderId="0" xfId="45" applyFont="1"/>
    <xf numFmtId="0" fontId="1" fillId="0" borderId="0" xfId="45" applyFill="1"/>
    <xf numFmtId="0" fontId="1" fillId="0" borderId="0" xfId="45" applyFont="1"/>
    <xf numFmtId="0" fontId="1" fillId="0" borderId="0" xfId="45" applyFont="1" applyProtection="1"/>
    <xf numFmtId="0" fontId="3" fillId="27" borderId="0" xfId="45" applyFont="1" applyFill="1" applyAlignment="1">
      <alignment horizontal="left" indent="1"/>
    </xf>
    <xf numFmtId="0" fontId="2" fillId="0" borderId="0" xfId="45" applyFont="1" applyAlignment="1">
      <alignment horizontal="left" indent="1"/>
    </xf>
    <xf numFmtId="0" fontId="1" fillId="0" borderId="0" xfId="0" applyFont="1"/>
    <xf numFmtId="0" fontId="1" fillId="0" borderId="0" xfId="0" applyNumberFormat="1" applyFont="1" applyProtection="1"/>
    <xf numFmtId="0" fontId="1" fillId="0" borderId="0" xfId="0" applyFont="1" applyAlignment="1" applyProtection="1">
      <alignment vertical="center"/>
    </xf>
    <xf numFmtId="0" fontId="1" fillId="0" borderId="0" xfId="0" applyFont="1" applyProtection="1"/>
    <xf numFmtId="0" fontId="0" fillId="0" borderId="0" xfId="0" applyFont="1" applyProtection="1"/>
    <xf numFmtId="0" fontId="1" fillId="0" borderId="0" xfId="0" applyFont="1" applyFill="1"/>
    <xf numFmtId="0" fontId="6" fillId="0"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indent="1"/>
    </xf>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8"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30" xfId="41" applyFont="1" applyFill="1" applyBorder="1" applyAlignment="1">
      <alignment horizontal="center" vertical="center" wrapText="1"/>
    </xf>
    <xf numFmtId="0" fontId="7" fillId="0" borderId="15" xfId="0" applyFont="1" applyFill="1" applyBorder="1" applyAlignment="1" applyProtection="1">
      <alignment horizontal="left" vertical="center"/>
    </xf>
    <xf numFmtId="0" fontId="6" fillId="0" borderId="11" xfId="0" applyNumberFormat="1" applyFont="1" applyBorder="1" applyAlignment="1" applyProtection="1">
      <alignment horizontal="left" indent="1"/>
    </xf>
    <xf numFmtId="172" fontId="6" fillId="25" borderId="21" xfId="0" applyNumberFormat="1" applyFont="1" applyFill="1" applyBorder="1" applyProtection="1"/>
    <xf numFmtId="172" fontId="6" fillId="25" borderId="20" xfId="0" applyNumberFormat="1" applyFont="1" applyFill="1" applyBorder="1" applyProtection="1"/>
    <xf numFmtId="172" fontId="6" fillId="25" borderId="42" xfId="0" applyNumberFormat="1" applyFont="1" applyFill="1" applyBorder="1" applyProtection="1"/>
    <xf numFmtId="0" fontId="6" fillId="0" borderId="11" xfId="0" applyNumberFormat="1" applyFont="1" applyFill="1" applyBorder="1" applyAlignment="1" applyProtection="1">
      <alignment horizontal="left" indent="1"/>
    </xf>
    <xf numFmtId="172" fontId="6" fillId="25" borderId="52" xfId="0" applyNumberFormat="1" applyFont="1" applyFill="1" applyBorder="1" applyProtection="1"/>
    <xf numFmtId="0" fontId="6" fillId="0" borderId="11" xfId="0" applyFont="1" applyFill="1" applyBorder="1" applyAlignment="1" applyProtection="1">
      <alignment horizontal="left" indent="1"/>
    </xf>
    <xf numFmtId="172" fontId="6" fillId="25" borderId="61" xfId="0" applyNumberFormat="1" applyFont="1" applyFill="1" applyBorder="1" applyProtection="1"/>
    <xf numFmtId="0" fontId="7" fillId="0" borderId="28" xfId="0" applyNumberFormat="1" applyFont="1" applyBorder="1" applyAlignment="1" applyProtection="1">
      <alignment horizontal="left" wrapText="1"/>
    </xf>
    <xf numFmtId="172" fontId="6" fillId="25" borderId="56" xfId="0" applyNumberFormat="1" applyFont="1" applyFill="1" applyBorder="1" applyProtection="1"/>
    <xf numFmtId="0" fontId="6" fillId="0" borderId="11" xfId="0" applyNumberFormat="1" applyFont="1" applyBorder="1" applyAlignment="1" applyProtection="1">
      <alignment horizontal="left" wrapText="1" indent="1"/>
    </xf>
    <xf numFmtId="172" fontId="6" fillId="25" borderId="57" xfId="0" applyNumberFormat="1" applyFont="1" applyFill="1" applyBorder="1" applyProtection="1"/>
    <xf numFmtId="0" fontId="7" fillId="0" borderId="11" xfId="0" applyNumberFormat="1" applyFont="1" applyBorder="1" applyAlignment="1" applyProtection="1">
      <alignment horizontal="left" wrapText="1"/>
    </xf>
    <xf numFmtId="0" fontId="7" fillId="0" borderId="22" xfId="0" applyFont="1" applyBorder="1" applyProtection="1"/>
    <xf numFmtId="0" fontId="6" fillId="0" borderId="32" xfId="0" applyFont="1" applyBorder="1" applyAlignment="1" applyProtection="1">
      <alignment horizontal="center"/>
    </xf>
    <xf numFmtId="172" fontId="7" fillId="0" borderId="24" xfId="0" applyNumberFormat="1" applyFont="1" applyBorder="1" applyProtection="1"/>
    <xf numFmtId="172" fontId="7" fillId="0" borderId="23" xfId="0" applyNumberFormat="1" applyFont="1" applyBorder="1" applyProtection="1"/>
    <xf numFmtId="0" fontId="7" fillId="0" borderId="14" xfId="0" applyFont="1" applyFill="1" applyBorder="1" applyAlignment="1" applyProtection="1">
      <alignment horizontal="center" vertical="center"/>
    </xf>
    <xf numFmtId="0" fontId="7" fillId="0" borderId="55" xfId="0" applyFont="1" applyFill="1" applyBorder="1" applyAlignment="1" applyProtection="1">
      <alignment horizontal="left"/>
    </xf>
    <xf numFmtId="0" fontId="6" fillId="0" borderId="51" xfId="0" applyFont="1" applyBorder="1" applyAlignment="1" applyProtection="1">
      <alignment horizontal="center"/>
    </xf>
    <xf numFmtId="0" fontId="6" fillId="0" borderId="42" xfId="0" applyFont="1" applyBorder="1" applyAlignment="1" applyProtection="1">
      <alignment horizontal="center"/>
    </xf>
    <xf numFmtId="0" fontId="9" fillId="0" borderId="11" xfId="0" applyNumberFormat="1" applyFont="1" applyBorder="1" applyProtection="1"/>
    <xf numFmtId="0" fontId="6" fillId="0" borderId="20" xfId="0" applyNumberFormat="1" applyFont="1" applyBorder="1" applyAlignment="1" applyProtection="1">
      <alignment horizontal="center"/>
    </xf>
    <xf numFmtId="172" fontId="7" fillId="0" borderId="12" xfId="0" applyNumberFormat="1" applyFont="1" applyFill="1" applyBorder="1" applyProtection="1"/>
    <xf numFmtId="172" fontId="7" fillId="0" borderId="11" xfId="0" applyNumberFormat="1" applyFont="1" applyFill="1" applyBorder="1" applyProtection="1"/>
    <xf numFmtId="172" fontId="7" fillId="0" borderId="0" xfId="0" applyNumberFormat="1" applyFont="1" applyFill="1" applyBorder="1" applyProtection="1"/>
    <xf numFmtId="0" fontId="6" fillId="0" borderId="0" xfId="0" applyFont="1" applyFill="1" applyAlignment="1" applyProtection="1"/>
    <xf numFmtId="0" fontId="39" fillId="0" borderId="0" xfId="0" applyFont="1" applyProtection="1"/>
    <xf numFmtId="0" fontId="10" fillId="0" borderId="11" xfId="0" applyNumberFormat="1" applyFont="1" applyBorder="1" applyAlignment="1" applyProtection="1">
      <alignment horizontal="left" indent="2"/>
    </xf>
    <xf numFmtId="0" fontId="6" fillId="0" borderId="31" xfId="0" applyNumberFormat="1" applyFont="1" applyBorder="1" applyAlignment="1" applyProtection="1">
      <alignment horizontal="center"/>
    </xf>
    <xf numFmtId="0" fontId="6" fillId="0" borderId="0" xfId="0" applyFont="1" applyFill="1" applyAlignment="1" applyProtection="1">
      <alignment wrapText="1"/>
    </xf>
    <xf numFmtId="0" fontId="6" fillId="0" borderId="20" xfId="0" applyNumberFormat="1" applyFont="1" applyFill="1" applyBorder="1" applyAlignment="1" applyProtection="1">
      <alignment horizontal="center"/>
    </xf>
    <xf numFmtId="0" fontId="6" fillId="0" borderId="11" xfId="0" applyNumberFormat="1" applyFont="1" applyBorder="1" applyProtection="1"/>
    <xf numFmtId="172" fontId="6" fillId="0" borderId="12" xfId="0" applyNumberFormat="1" applyFont="1" applyBorder="1" applyProtection="1"/>
    <xf numFmtId="172" fontId="6" fillId="0" borderId="11" xfId="0" applyNumberFormat="1" applyFont="1" applyBorder="1" applyProtection="1"/>
    <xf numFmtId="172" fontId="6" fillId="0" borderId="0" xfId="0" applyNumberFormat="1" applyFont="1" applyBorder="1" applyProtection="1"/>
    <xf numFmtId="172" fontId="6" fillId="0" borderId="0" xfId="0" applyNumberFormat="1" applyFont="1" applyFill="1" applyProtection="1"/>
    <xf numFmtId="172" fontId="6" fillId="0" borderId="57" xfId="0" applyNumberFormat="1" applyFont="1" applyBorder="1" applyProtection="1"/>
    <xf numFmtId="172" fontId="6" fillId="0" borderId="74" xfId="0" applyNumberFormat="1" applyFont="1" applyBorder="1" applyProtection="1"/>
    <xf numFmtId="172" fontId="6" fillId="0" borderId="55" xfId="0" applyNumberFormat="1" applyFont="1" applyBorder="1" applyProtection="1"/>
    <xf numFmtId="172" fontId="6" fillId="0" borderId="60" xfId="0" applyNumberFormat="1" applyFont="1" applyBorder="1" applyProtection="1"/>
    <xf numFmtId="0" fontId="6" fillId="0" borderId="11" xfId="0" applyNumberFormat="1" applyFont="1" applyFill="1" applyBorder="1" applyProtection="1"/>
    <xf numFmtId="0" fontId="9" fillId="0" borderId="11" xfId="0" applyNumberFormat="1" applyFont="1" applyFill="1" applyBorder="1" applyProtection="1"/>
    <xf numFmtId="172" fontId="7" fillId="0" borderId="12" xfId="0" applyNumberFormat="1" applyFont="1" applyBorder="1" applyProtection="1"/>
    <xf numFmtId="172" fontId="7" fillId="0" borderId="11" xfId="0" applyNumberFormat="1" applyFont="1" applyBorder="1" applyProtection="1"/>
    <xf numFmtId="172" fontId="7" fillId="0" borderId="0" xfId="0" applyNumberFormat="1" applyFont="1" applyBorder="1" applyProtection="1"/>
    <xf numFmtId="0" fontId="10" fillId="0" borderId="11" xfId="0" applyNumberFormat="1" applyFont="1" applyBorder="1" applyProtection="1"/>
    <xf numFmtId="0" fontId="6" fillId="0" borderId="50" xfId="0" applyFont="1" applyBorder="1" applyAlignment="1" applyProtection="1">
      <alignment horizontal="center"/>
    </xf>
    <xf numFmtId="172" fontId="7" fillId="0" borderId="24" xfId="0" applyNumberFormat="1" applyFont="1" applyFill="1" applyBorder="1" applyProtection="1"/>
    <xf numFmtId="172" fontId="7" fillId="0" borderId="23" xfId="0" applyNumberFormat="1" applyFont="1" applyFill="1" applyBorder="1" applyProtection="1"/>
    <xf numFmtId="172" fontId="7" fillId="0" borderId="50" xfId="0" applyNumberFormat="1" applyFont="1" applyFill="1" applyBorder="1" applyProtection="1"/>
    <xf numFmtId="0" fontId="7" fillId="0" borderId="0" xfId="0" applyFont="1" applyBorder="1" applyProtection="1"/>
    <xf numFmtId="0" fontId="6" fillId="0" borderId="71" xfId="0" applyFont="1" applyBorder="1" applyAlignment="1" applyProtection="1">
      <alignment horizontal="center"/>
    </xf>
    <xf numFmtId="0" fontId="9" fillId="0" borderId="64" xfId="0" applyFont="1" applyBorder="1" applyProtection="1"/>
    <xf numFmtId="0" fontId="6" fillId="0" borderId="14" xfId="0" applyFont="1" applyBorder="1" applyAlignment="1" applyProtection="1">
      <alignment horizontal="center"/>
    </xf>
    <xf numFmtId="172" fontId="6" fillId="0" borderId="34" xfId="0" applyNumberFormat="1" applyFont="1" applyFill="1" applyBorder="1" applyProtection="1"/>
    <xf numFmtId="172" fontId="6" fillId="0" borderId="33" xfId="0" applyNumberFormat="1" applyFont="1" applyFill="1" applyBorder="1" applyProtection="1"/>
    <xf numFmtId="172" fontId="6" fillId="0" borderId="41" xfId="0" applyNumberFormat="1" applyFont="1" applyFill="1" applyBorder="1" applyProtection="1"/>
    <xf numFmtId="0" fontId="6" fillId="0" borderId="11" xfId="0" applyFont="1" applyBorder="1" applyAlignment="1" applyProtection="1">
      <alignment horizontal="left" indent="2"/>
    </xf>
    <xf numFmtId="172" fontId="6" fillId="30" borderId="0" xfId="0" applyNumberFormat="1" applyFont="1" applyFill="1" applyBorder="1" applyProtection="1"/>
    <xf numFmtId="172" fontId="6" fillId="30" borderId="20" xfId="0" applyNumberFormat="1" applyFont="1" applyFill="1" applyBorder="1" applyProtection="1"/>
    <xf numFmtId="172" fontId="6" fillId="30" borderId="31" xfId="0" applyNumberFormat="1" applyFont="1" applyFill="1" applyBorder="1" applyProtection="1"/>
    <xf numFmtId="172" fontId="6" fillId="30" borderId="21" xfId="0" applyNumberFormat="1" applyFont="1" applyFill="1" applyBorder="1" applyProtection="1"/>
    <xf numFmtId="172" fontId="6" fillId="30" borderId="42" xfId="0" applyNumberFormat="1" applyFont="1" applyFill="1" applyBorder="1" applyProtection="1"/>
    <xf numFmtId="0" fontId="7" fillId="0" borderId="11" xfId="0" applyFont="1" applyFill="1" applyBorder="1" applyAlignment="1" applyProtection="1">
      <alignment horizontal="left" indent="1"/>
    </xf>
    <xf numFmtId="172" fontId="7" fillId="0" borderId="30" xfId="0" applyNumberFormat="1" applyFont="1" applyFill="1" applyBorder="1" applyProtection="1"/>
    <xf numFmtId="172" fontId="7" fillId="0" borderId="29" xfId="0" applyNumberFormat="1" applyFont="1" applyFill="1" applyBorder="1" applyProtection="1"/>
    <xf numFmtId="172" fontId="7" fillId="0" borderId="48" xfId="0" applyNumberFormat="1" applyFont="1" applyFill="1" applyBorder="1" applyProtection="1"/>
    <xf numFmtId="0" fontId="7" fillId="0" borderId="11" xfId="0" applyFont="1" applyBorder="1" applyAlignment="1" applyProtection="1">
      <alignment horizontal="left" indent="1"/>
    </xf>
    <xf numFmtId="172" fontId="7" fillId="0" borderId="50" xfId="0" applyNumberFormat="1" applyFont="1" applyBorder="1" applyProtection="1"/>
    <xf numFmtId="0" fontId="6" fillId="0" borderId="0" xfId="0" applyFont="1" applyBorder="1" applyAlignment="1" applyProtection="1">
      <alignment horizontal="center"/>
    </xf>
    <xf numFmtId="0" fontId="6" fillId="0" borderId="0" xfId="0" quotePrefix="1" applyFont="1" applyBorder="1" applyAlignment="1" applyProtection="1">
      <alignment horizontal="left" wrapText="1"/>
    </xf>
    <xf numFmtId="0" fontId="10" fillId="0" borderId="0" xfId="0" applyFont="1" applyBorder="1" applyAlignment="1" applyProtection="1">
      <alignment horizontal="right"/>
    </xf>
    <xf numFmtId="0" fontId="10" fillId="0" borderId="0" xfId="0" applyFont="1" applyBorder="1" applyAlignment="1" applyProtection="1">
      <alignment horizontal="center"/>
    </xf>
    <xf numFmtId="165" fontId="10" fillId="0" borderId="0" xfId="28" applyNumberFormat="1" applyFont="1" applyBorder="1" applyAlignment="1" applyProtection="1">
      <alignment horizontal="right"/>
    </xf>
    <xf numFmtId="0" fontId="7" fillId="0" borderId="10" xfId="0" applyFont="1" applyFill="1" applyBorder="1" applyAlignment="1" applyProtection="1">
      <alignment horizontal="center" vertical="center"/>
    </xf>
    <xf numFmtId="0" fontId="6" fillId="0" borderId="10" xfId="0" applyFont="1" applyFill="1" applyBorder="1" applyAlignment="1" applyProtection="1">
      <alignment horizontal="center"/>
    </xf>
    <xf numFmtId="0" fontId="12" fillId="0" borderId="10" xfId="0" applyFont="1" applyBorder="1" applyAlignment="1" applyProtection="1">
      <alignment horizontal="center"/>
    </xf>
    <xf numFmtId="172" fontId="7" fillId="0" borderId="49" xfId="0" applyNumberFormat="1" applyFont="1" applyBorder="1" applyProtection="1"/>
    <xf numFmtId="172" fontId="7" fillId="0" borderId="53" xfId="0" applyNumberFormat="1" applyFont="1" applyBorder="1" applyProtection="1"/>
    <xf numFmtId="0" fontId="7" fillId="0" borderId="55" xfId="0" applyFont="1" applyBorder="1" applyProtection="1"/>
    <xf numFmtId="172" fontId="7" fillId="0" borderId="56" xfId="0" applyNumberFormat="1" applyFont="1" applyBorder="1" applyProtection="1"/>
    <xf numFmtId="172" fontId="7" fillId="0" borderId="57" xfId="0" applyNumberFormat="1" applyFont="1" applyBorder="1" applyProtection="1"/>
    <xf numFmtId="172" fontId="7" fillId="0" borderId="61" xfId="0" applyNumberFormat="1" applyFont="1" applyBorder="1" applyProtection="1"/>
    <xf numFmtId="0" fontId="8" fillId="0" borderId="0" xfId="0" applyFont="1" applyBorder="1" applyProtection="1"/>
    <xf numFmtId="169" fontId="8" fillId="0" borderId="0" xfId="0" applyNumberFormat="1" applyFont="1" applyBorder="1" applyProtection="1"/>
    <xf numFmtId="0" fontId="10" fillId="0" borderId="0" xfId="0" quotePrefix="1" applyFont="1" applyBorder="1" applyProtection="1"/>
    <xf numFmtId="165" fontId="6" fillId="0" borderId="0" xfId="28" applyNumberFormat="1" applyFont="1" applyBorder="1" applyProtection="1"/>
    <xf numFmtId="171" fontId="6" fillId="0" borderId="0" xfId="28" applyNumberFormat="1" applyFont="1" applyBorder="1" applyProtection="1"/>
    <xf numFmtId="172" fontId="7" fillId="25" borderId="21" xfId="0" applyNumberFormat="1" applyFont="1" applyFill="1" applyBorder="1" applyProtection="1"/>
    <xf numFmtId="0" fontId="6" fillId="0" borderId="15" xfId="0" applyFont="1" applyBorder="1" applyAlignment="1" applyProtection="1">
      <alignment horizontal="left" indent="1"/>
    </xf>
    <xf numFmtId="0" fontId="6" fillId="0" borderId="46" xfId="0" applyFont="1" applyBorder="1" applyAlignment="1" applyProtection="1">
      <alignment horizontal="center"/>
    </xf>
    <xf numFmtId="172" fontId="7" fillId="0" borderId="36" xfId="0" applyNumberFormat="1" applyFont="1" applyBorder="1" applyProtection="1"/>
    <xf numFmtId="172" fontId="7" fillId="0" borderId="35" xfId="0" applyNumberFormat="1" applyFont="1" applyBorder="1" applyProtection="1"/>
    <xf numFmtId="172" fontId="7" fillId="0" borderId="47" xfId="0" applyNumberFormat="1" applyFont="1" applyBorder="1" applyProtection="1"/>
    <xf numFmtId="0" fontId="7" fillId="25" borderId="11" xfId="0" applyFont="1" applyFill="1" applyBorder="1" applyAlignment="1" applyProtection="1">
      <alignment horizontal="left" vertical="top" wrapText="1"/>
    </xf>
    <xf numFmtId="0" fontId="6" fillId="25" borderId="11" xfId="0" applyFont="1" applyFill="1" applyBorder="1" applyAlignment="1" applyProtection="1">
      <alignment horizontal="left" vertical="top" wrapText="1"/>
    </xf>
    <xf numFmtId="0" fontId="6" fillId="25" borderId="10" xfId="0" applyFont="1" applyFill="1" applyBorder="1" applyAlignment="1" applyProtection="1">
      <alignment horizontal="left" vertical="top" wrapText="1"/>
    </xf>
    <xf numFmtId="0" fontId="6" fillId="25" borderId="11" xfId="0" applyFont="1" applyFill="1" applyBorder="1" applyAlignment="1" applyProtection="1">
      <alignment horizontal="left" wrapText="1"/>
    </xf>
    <xf numFmtId="0" fontId="6" fillId="25" borderId="10" xfId="0" applyFont="1" applyFill="1" applyBorder="1" applyAlignment="1" applyProtection="1">
      <alignment horizontal="left" wrapText="1"/>
    </xf>
    <xf numFmtId="0" fontId="9" fillId="25" borderId="10" xfId="0" applyFont="1" applyFill="1" applyBorder="1" applyAlignment="1" applyProtection="1">
      <alignment horizontal="left" wrapText="1"/>
    </xf>
    <xf numFmtId="0" fontId="6" fillId="25" borderId="15" xfId="0" applyFont="1" applyFill="1" applyBorder="1" applyAlignment="1" applyProtection="1">
      <alignment horizontal="left" wrapText="1"/>
    </xf>
    <xf numFmtId="0" fontId="9" fillId="25" borderId="46" xfId="0" applyFont="1" applyFill="1" applyBorder="1" applyAlignment="1" applyProtection="1">
      <alignment horizontal="left" wrapText="1"/>
    </xf>
    <xf numFmtId="172" fontId="6" fillId="25" borderId="36" xfId="0" applyNumberFormat="1" applyFont="1" applyFill="1" applyBorder="1" applyProtection="1"/>
    <xf numFmtId="172" fontId="6" fillId="25" borderId="35" xfId="0" applyNumberFormat="1" applyFont="1" applyFill="1" applyBorder="1" applyProtection="1"/>
    <xf numFmtId="172" fontId="6" fillId="25" borderId="47" xfId="0" applyNumberFormat="1" applyFont="1" applyFill="1" applyBorder="1" applyProtection="1"/>
    <xf numFmtId="0" fontId="11" fillId="0" borderId="0" xfId="0" applyFont="1" applyBorder="1" applyAlignment="1" applyProtection="1">
      <alignment horizontal="left" vertical="top" wrapText="1"/>
    </xf>
    <xf numFmtId="0" fontId="6" fillId="0" borderId="0" xfId="0" applyFont="1" applyBorder="1" applyAlignment="1" applyProtection="1">
      <alignment horizontal="left" vertical="top" wrapText="1"/>
    </xf>
    <xf numFmtId="166" fontId="6" fillId="0" borderId="0" xfId="28" applyNumberFormat="1" applyFont="1" applyBorder="1" applyAlignment="1" applyProtection="1">
      <alignment vertical="top" wrapText="1"/>
    </xf>
    <xf numFmtId="166" fontId="6" fillId="0" borderId="0" xfId="28" applyNumberFormat="1" applyFont="1" applyFill="1" applyBorder="1" applyAlignment="1" applyProtection="1">
      <alignment vertical="top" wrapText="1"/>
    </xf>
    <xf numFmtId="0" fontId="12" fillId="0" borderId="0" xfId="0" applyFont="1" applyBorder="1" applyProtection="1"/>
    <xf numFmtId="0" fontId="6" fillId="0" borderId="0" xfId="0" quotePrefix="1" applyFont="1" applyProtection="1"/>
    <xf numFmtId="0" fontId="6" fillId="0" borderId="51" xfId="0" applyFont="1" applyFill="1" applyBorder="1" applyAlignment="1" applyProtection="1">
      <alignment horizontal="center"/>
    </xf>
    <xf numFmtId="0" fontId="9" fillId="0" borderId="11" xfId="0" applyFont="1" applyBorder="1" applyAlignment="1" applyProtection="1">
      <alignment horizontal="left" wrapText="1"/>
    </xf>
    <xf numFmtId="0" fontId="6" fillId="0" borderId="10"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0" borderId="21" xfId="0" applyFont="1" applyFill="1" applyBorder="1" applyAlignment="1" applyProtection="1">
      <alignment horizontal="center" vertical="top" wrapText="1"/>
    </xf>
    <xf numFmtId="0" fontId="6" fillId="0" borderId="2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6" fillId="0" borderId="21" xfId="0" applyFont="1" applyBorder="1" applyAlignment="1" applyProtection="1">
      <alignment horizontal="center" vertical="top" wrapText="1"/>
    </xf>
    <xf numFmtId="168" fontId="6" fillId="0" borderId="21" xfId="41" applyNumberFormat="1" applyFont="1" applyFill="1" applyBorder="1" applyAlignment="1" applyProtection="1">
      <alignment horizontal="center" vertical="top" wrapText="1"/>
    </xf>
    <xf numFmtId="0" fontId="6" fillId="0" borderId="11" xfId="0" applyFont="1" applyFill="1" applyBorder="1" applyAlignment="1" applyProtection="1">
      <alignment horizontal="left" vertical="top" wrapText="1" indent="1"/>
    </xf>
    <xf numFmtId="0" fontId="6" fillId="0" borderId="11" xfId="41" applyNumberFormat="1" applyFont="1" applyFill="1" applyBorder="1" applyAlignment="1" applyProtection="1">
      <alignment horizontal="center" vertical="top" wrapText="1"/>
    </xf>
    <xf numFmtId="0" fontId="6" fillId="30" borderId="21" xfId="0" applyNumberFormat="1" applyFont="1" applyFill="1" applyBorder="1" applyAlignment="1" applyProtection="1">
      <alignment horizontal="center" vertical="top" wrapText="1"/>
    </xf>
    <xf numFmtId="0" fontId="6" fillId="30" borderId="20" xfId="0" applyNumberFormat="1" applyFont="1" applyFill="1" applyBorder="1" applyAlignment="1" applyProtection="1">
      <alignment horizontal="center" vertical="top" wrapText="1"/>
    </xf>
    <xf numFmtId="0" fontId="6" fillId="30" borderId="42" xfId="0" applyNumberFormat="1" applyFont="1" applyFill="1" applyBorder="1" applyAlignment="1" applyProtection="1">
      <alignment horizontal="center" vertical="top" wrapText="1"/>
    </xf>
    <xf numFmtId="0" fontId="6" fillId="0" borderId="21" xfId="41" applyNumberFormat="1" applyFont="1" applyFill="1" applyBorder="1" applyAlignment="1" applyProtection="1">
      <alignment horizontal="center" vertical="top" wrapText="1"/>
    </xf>
    <xf numFmtId="0" fontId="6" fillId="0" borderId="20" xfId="41" applyNumberFormat="1" applyFont="1" applyFill="1" applyBorder="1" applyAlignment="1" applyProtection="1">
      <alignment horizontal="center" vertical="top" wrapText="1"/>
    </xf>
    <xf numFmtId="0" fontId="6" fillId="0" borderId="12" xfId="41" applyNumberFormat="1" applyFont="1" applyFill="1" applyBorder="1" applyAlignment="1" applyProtection="1">
      <alignment horizontal="center" vertical="top" wrapText="1"/>
    </xf>
    <xf numFmtId="0" fontId="6" fillId="0" borderId="11" xfId="0" applyFont="1" applyBorder="1" applyAlignment="1" applyProtection="1">
      <alignment horizontal="left" vertical="top" wrapText="1" indent="1"/>
    </xf>
    <xf numFmtId="9" fontId="6" fillId="0" borderId="21" xfId="41" applyNumberFormat="1" applyFont="1" applyBorder="1" applyAlignment="1" applyProtection="1">
      <alignment horizontal="center" vertical="top" wrapText="1"/>
    </xf>
    <xf numFmtId="9" fontId="6" fillId="0" borderId="20" xfId="41" applyNumberFormat="1" applyFont="1" applyBorder="1" applyAlignment="1" applyProtection="1">
      <alignment horizontal="center" vertical="top" wrapText="1"/>
    </xf>
    <xf numFmtId="9" fontId="6" fillId="0" borderId="42" xfId="41" applyNumberFormat="1" applyFont="1" applyBorder="1" applyAlignment="1" applyProtection="1">
      <alignment horizontal="center" vertical="top" wrapText="1"/>
    </xf>
    <xf numFmtId="9" fontId="6" fillId="0" borderId="21" xfId="41" applyNumberFormat="1" applyFont="1" applyFill="1" applyBorder="1" applyAlignment="1" applyProtection="1">
      <alignment horizontal="center" vertical="top" wrapText="1"/>
    </xf>
    <xf numFmtId="9" fontId="6" fillId="0" borderId="20" xfId="41" applyNumberFormat="1" applyFont="1" applyFill="1" applyBorder="1" applyAlignment="1" applyProtection="1">
      <alignment horizontal="center" vertical="top" wrapText="1"/>
    </xf>
    <xf numFmtId="9" fontId="6" fillId="0" borderId="42" xfId="41" applyNumberFormat="1" applyFont="1" applyFill="1" applyBorder="1" applyAlignment="1" applyProtection="1">
      <alignment horizontal="center" vertical="top" wrapText="1"/>
    </xf>
    <xf numFmtId="168" fontId="6" fillId="0" borderId="20" xfId="41" applyNumberFormat="1" applyFont="1" applyFill="1" applyBorder="1" applyAlignment="1" applyProtection="1">
      <alignment horizontal="center" vertical="top" wrapText="1"/>
    </xf>
    <xf numFmtId="168" fontId="6" fillId="0" borderId="42" xfId="41" applyNumberFormat="1" applyFont="1" applyFill="1" applyBorder="1" applyAlignment="1" applyProtection="1">
      <alignment horizontal="center" vertical="top" wrapText="1"/>
    </xf>
    <xf numFmtId="0" fontId="6" fillId="0" borderId="20" xfId="0" applyFont="1" applyFill="1" applyBorder="1" applyAlignment="1" applyProtection="1">
      <alignment horizontal="center" vertical="top" wrapText="1"/>
    </xf>
    <xf numFmtId="0" fontId="6" fillId="0" borderId="42" xfId="0" applyFont="1" applyFill="1" applyBorder="1" applyAlignment="1" applyProtection="1">
      <alignment horizontal="center" vertical="top" wrapText="1"/>
    </xf>
    <xf numFmtId="0" fontId="6" fillId="0" borderId="11" xfId="0" applyFont="1" applyBorder="1" applyAlignment="1" applyProtection="1">
      <alignment horizontal="center" vertical="top" wrapText="1"/>
    </xf>
    <xf numFmtId="2" fontId="6" fillId="0" borderId="21" xfId="28" applyNumberFormat="1" applyFont="1" applyBorder="1" applyAlignment="1" applyProtection="1">
      <alignment horizontal="center" vertical="top" wrapText="1"/>
    </xf>
    <xf numFmtId="2" fontId="6" fillId="0" borderId="20" xfId="28" applyNumberFormat="1" applyFont="1" applyBorder="1" applyAlignment="1" applyProtection="1">
      <alignment horizontal="center" vertical="top" wrapText="1"/>
    </xf>
    <xf numFmtId="2" fontId="6" fillId="0" borderId="42" xfId="28" applyNumberFormat="1" applyFont="1" applyBorder="1" applyAlignment="1" applyProtection="1">
      <alignment horizontal="center" vertical="top" wrapText="1"/>
    </xf>
    <xf numFmtId="2" fontId="6" fillId="0" borderId="21" xfId="28" applyNumberFormat="1" applyFont="1" applyFill="1" applyBorder="1" applyAlignment="1" applyProtection="1">
      <alignment horizontal="center" vertical="top" wrapText="1"/>
    </xf>
    <xf numFmtId="2" fontId="6" fillId="0" borderId="20" xfId="28" applyNumberFormat="1" applyFont="1" applyFill="1" applyBorder="1" applyAlignment="1" applyProtection="1">
      <alignment horizontal="center" vertical="top" wrapText="1"/>
    </xf>
    <xf numFmtId="2" fontId="6" fillId="0" borderId="42" xfId="28" applyNumberFormat="1" applyFont="1" applyFill="1" applyBorder="1" applyAlignment="1" applyProtection="1">
      <alignment horizontal="center" vertical="top" wrapText="1"/>
    </xf>
    <xf numFmtId="9" fontId="6" fillId="29" borderId="21" xfId="0" applyNumberFormat="1" applyFont="1" applyFill="1" applyBorder="1" applyAlignment="1" applyProtection="1">
      <alignment horizontal="center" vertical="top" wrapText="1"/>
    </xf>
    <xf numFmtId="9" fontId="6" fillId="0" borderId="20" xfId="0" applyNumberFormat="1" applyFont="1" applyBorder="1" applyAlignment="1" applyProtection="1">
      <alignment horizontal="center" vertical="top" wrapText="1"/>
    </xf>
    <xf numFmtId="9" fontId="6" fillId="0" borderId="42" xfId="0" applyNumberFormat="1" applyFont="1" applyBorder="1" applyAlignment="1" applyProtection="1">
      <alignment horizontal="center" vertical="top" wrapText="1"/>
    </xf>
    <xf numFmtId="9" fontId="6" fillId="0" borderId="21" xfId="0" applyNumberFormat="1" applyFont="1" applyBorder="1" applyAlignment="1" applyProtection="1">
      <alignment horizontal="center" vertical="top" wrapText="1"/>
    </xf>
    <xf numFmtId="9" fontId="6" fillId="0" borderId="21" xfId="0" applyNumberFormat="1" applyFont="1" applyFill="1" applyBorder="1" applyAlignment="1" applyProtection="1">
      <alignment horizontal="center" vertical="top" wrapText="1"/>
    </xf>
    <xf numFmtId="9" fontId="6" fillId="0" borderId="20" xfId="0" applyNumberFormat="1" applyFont="1" applyFill="1" applyBorder="1" applyAlignment="1" applyProtection="1">
      <alignment horizontal="center" vertical="top" wrapText="1"/>
    </xf>
    <xf numFmtId="9" fontId="6" fillId="0" borderId="42" xfId="0" applyNumberFormat="1" applyFont="1" applyFill="1" applyBorder="1" applyAlignment="1" applyProtection="1">
      <alignment horizontal="center" vertical="top" wrapText="1"/>
    </xf>
    <xf numFmtId="168" fontId="6" fillId="0" borderId="21" xfId="0" applyNumberFormat="1" applyFont="1" applyFill="1" applyBorder="1" applyAlignment="1" applyProtection="1">
      <alignment horizontal="center" vertical="top" wrapText="1"/>
    </xf>
    <xf numFmtId="168" fontId="6" fillId="0" borderId="20" xfId="0" applyNumberFormat="1" applyFont="1" applyFill="1" applyBorder="1" applyAlignment="1" applyProtection="1">
      <alignment horizontal="center" vertical="top" wrapText="1"/>
    </xf>
    <xf numFmtId="168" fontId="6" fillId="0" borderId="42" xfId="0" applyNumberFormat="1" applyFont="1" applyFill="1" applyBorder="1" applyAlignment="1" applyProtection="1">
      <alignment horizontal="center" vertical="top" wrapText="1"/>
    </xf>
    <xf numFmtId="9" fontId="6" fillId="25" borderId="21" xfId="41" applyFont="1" applyFill="1" applyBorder="1" applyAlignment="1" applyProtection="1">
      <alignment horizontal="center" vertical="top" wrapText="1"/>
    </xf>
    <xf numFmtId="9" fontId="6" fillId="25" borderId="20" xfId="41" applyFont="1" applyFill="1" applyBorder="1" applyAlignment="1" applyProtection="1">
      <alignment horizontal="center" vertical="top" wrapText="1"/>
    </xf>
    <xf numFmtId="9" fontId="6" fillId="25" borderId="42" xfId="41" applyFont="1" applyFill="1" applyBorder="1" applyAlignment="1" applyProtection="1">
      <alignment horizontal="center" vertical="top" wrapText="1"/>
    </xf>
    <xf numFmtId="168" fontId="6" fillId="0" borderId="12" xfId="0" applyNumberFormat="1" applyFont="1" applyFill="1" applyBorder="1" applyAlignment="1" applyProtection="1">
      <alignment horizontal="center" vertical="top" wrapText="1"/>
    </xf>
    <xf numFmtId="168" fontId="6" fillId="0" borderId="11" xfId="0" applyNumberFormat="1" applyFont="1" applyFill="1" applyBorder="1" applyAlignment="1" applyProtection="1">
      <alignment horizontal="center" vertical="top" wrapText="1"/>
    </xf>
    <xf numFmtId="9" fontId="6" fillId="0" borderId="21" xfId="41" applyFont="1" applyFill="1" applyBorder="1" applyAlignment="1" applyProtection="1">
      <alignment horizontal="center" vertical="top" wrapText="1"/>
    </xf>
    <xf numFmtId="9" fontId="6" fillId="0" borderId="20" xfId="41" applyFont="1" applyFill="1" applyBorder="1" applyAlignment="1" applyProtection="1">
      <alignment horizontal="center" vertical="top" wrapText="1"/>
    </xf>
    <xf numFmtId="9" fontId="6" fillId="0" borderId="42" xfId="41" applyFont="1" applyFill="1" applyBorder="1" applyAlignment="1" applyProtection="1">
      <alignment horizontal="center" vertical="top" wrapText="1"/>
    </xf>
    <xf numFmtId="0" fontId="6" fillId="0" borderId="31" xfId="0" applyFont="1" applyFill="1" applyBorder="1" applyAlignment="1" applyProtection="1">
      <alignment horizontal="left" vertical="top" wrapText="1"/>
    </xf>
    <xf numFmtId="0" fontId="6" fillId="0" borderId="58" xfId="0" applyFont="1" applyFill="1" applyBorder="1" applyAlignment="1" applyProtection="1">
      <alignment horizontal="left" vertical="top" wrapText="1"/>
    </xf>
    <xf numFmtId="0" fontId="6" fillId="0" borderId="45" xfId="0" applyFont="1" applyFill="1" applyBorder="1" applyAlignment="1" applyProtection="1">
      <alignment horizontal="left" vertical="top" wrapText="1"/>
    </xf>
    <xf numFmtId="168" fontId="6" fillId="0" borderId="42" xfId="0" applyNumberFormat="1" applyFont="1" applyBorder="1" applyAlignment="1" applyProtection="1">
      <alignment horizontal="center" vertical="top" wrapText="1"/>
    </xf>
    <xf numFmtId="0" fontId="6" fillId="0" borderId="10" xfId="0" applyFont="1" applyFill="1" applyBorder="1" applyAlignment="1" applyProtection="1">
      <alignment horizontal="left" vertical="top" wrapText="1"/>
    </xf>
    <xf numFmtId="0" fontId="9" fillId="0" borderId="10" xfId="0" applyFont="1" applyBorder="1" applyAlignment="1" applyProtection="1">
      <alignment horizontal="left" wrapText="1"/>
    </xf>
    <xf numFmtId="168" fontId="6" fillId="0" borderId="21" xfId="0" applyNumberFormat="1" applyFont="1" applyBorder="1" applyAlignment="1" applyProtection="1">
      <alignment horizontal="center" vertical="top" wrapText="1"/>
    </xf>
    <xf numFmtId="168" fontId="6" fillId="0" borderId="20" xfId="0" applyNumberFormat="1" applyFont="1" applyBorder="1" applyAlignment="1" applyProtection="1">
      <alignment horizontal="center" vertical="top" wrapText="1"/>
    </xf>
    <xf numFmtId="166" fontId="6" fillId="0" borderId="21" xfId="28" applyNumberFormat="1" applyFont="1" applyBorder="1" applyAlignment="1" applyProtection="1">
      <alignment vertical="top" wrapText="1"/>
    </xf>
    <xf numFmtId="166" fontId="6" fillId="0" borderId="20" xfId="28" applyNumberFormat="1" applyFont="1" applyBorder="1" applyAlignment="1" applyProtection="1">
      <alignment vertical="top" wrapText="1"/>
    </xf>
    <xf numFmtId="166" fontId="6" fillId="0" borderId="42" xfId="28" applyNumberFormat="1" applyFont="1" applyBorder="1" applyAlignment="1" applyProtection="1">
      <alignment vertical="top" wrapText="1"/>
    </xf>
    <xf numFmtId="166" fontId="6" fillId="0" borderId="20" xfId="28" applyNumberFormat="1" applyFont="1" applyFill="1" applyBorder="1" applyAlignment="1" applyProtection="1">
      <alignment vertical="top" wrapText="1"/>
    </xf>
    <xf numFmtId="166" fontId="6" fillId="0" borderId="42" xfId="28" applyNumberFormat="1" applyFont="1" applyFill="1" applyBorder="1" applyAlignment="1" applyProtection="1">
      <alignment vertical="top" wrapText="1"/>
    </xf>
    <xf numFmtId="166" fontId="6" fillId="0" borderId="21" xfId="28" applyNumberFormat="1" applyFont="1" applyFill="1" applyBorder="1" applyAlignment="1" applyProtection="1">
      <alignment vertical="top" wrapText="1"/>
    </xf>
    <xf numFmtId="0" fontId="6" fillId="0" borderId="15" xfId="0" applyFont="1" applyBorder="1" applyAlignment="1" applyProtection="1">
      <alignment horizontal="left" vertical="top" wrapText="1" indent="1"/>
    </xf>
    <xf numFmtId="0" fontId="6" fillId="0" borderId="46" xfId="0" applyFont="1" applyBorder="1" applyAlignment="1" applyProtection="1">
      <alignment horizontal="left" vertical="top" wrapText="1"/>
    </xf>
    <xf numFmtId="0" fontId="6" fillId="0" borderId="15" xfId="0" applyFont="1" applyBorder="1" applyAlignment="1" applyProtection="1">
      <alignment horizontal="left" vertical="top" wrapText="1"/>
    </xf>
    <xf numFmtId="9" fontId="6" fillId="0" borderId="36" xfId="41" applyFont="1" applyBorder="1" applyAlignment="1" applyProtection="1">
      <alignment horizontal="center" vertical="top" wrapText="1"/>
    </xf>
    <xf numFmtId="166" fontId="6" fillId="0" borderId="35" xfId="28" applyNumberFormat="1" applyFont="1" applyBorder="1" applyAlignment="1" applyProtection="1">
      <alignment vertical="top" wrapText="1"/>
    </xf>
    <xf numFmtId="166" fontId="6" fillId="0" borderId="47" xfId="28" applyNumberFormat="1" applyFont="1" applyBorder="1" applyAlignment="1" applyProtection="1">
      <alignment vertical="top" wrapText="1"/>
    </xf>
    <xf numFmtId="166" fontId="6" fillId="0" borderId="36" xfId="28" applyNumberFormat="1" applyFont="1" applyFill="1" applyBorder="1" applyAlignment="1" applyProtection="1">
      <alignment vertical="top" wrapText="1"/>
    </xf>
    <xf numFmtId="166" fontId="6" fillId="0" borderId="35" xfId="28" applyNumberFormat="1" applyFont="1" applyFill="1" applyBorder="1" applyAlignment="1" applyProtection="1">
      <alignment vertical="top" wrapText="1"/>
    </xf>
    <xf numFmtId="166" fontId="6" fillId="0" borderId="47" xfId="28" applyNumberFormat="1" applyFont="1" applyFill="1" applyBorder="1" applyAlignment="1" applyProtection="1">
      <alignment vertical="top" wrapText="1"/>
    </xf>
    <xf numFmtId="169" fontId="6" fillId="25" borderId="0" xfId="0" applyNumberFormat="1" applyFont="1" applyFill="1" applyBorder="1" applyProtection="1"/>
    <xf numFmtId="9" fontId="6" fillId="25" borderId="0" xfId="41" applyFont="1" applyFill="1" applyBorder="1" applyAlignment="1" applyProtection="1">
      <alignment horizontal="center"/>
    </xf>
    <xf numFmtId="0" fontId="7" fillId="0" borderId="71" xfId="0" applyFont="1" applyFill="1" applyBorder="1" applyAlignment="1" applyProtection="1">
      <alignment horizontal="center" vertical="center"/>
    </xf>
    <xf numFmtId="0" fontId="7" fillId="0" borderId="71"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35" xfId="0" applyFont="1" applyFill="1" applyBorder="1" applyAlignment="1" applyProtection="1">
      <alignment horizontal="center" vertical="top" wrapText="1"/>
    </xf>
    <xf numFmtId="0" fontId="7" fillId="0" borderId="20"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78" xfId="0" applyFont="1" applyFill="1" applyBorder="1" applyAlignment="1" applyProtection="1">
      <alignment horizontal="center" vertical="center" wrapText="1"/>
    </xf>
    <xf numFmtId="0" fontId="6" fillId="25" borderId="11" xfId="0" applyFont="1" applyFill="1" applyBorder="1" applyProtection="1"/>
    <xf numFmtId="169" fontId="6" fillId="25" borderId="20" xfId="0" applyNumberFormat="1" applyFont="1" applyFill="1" applyBorder="1" applyProtection="1"/>
    <xf numFmtId="169" fontId="6" fillId="25" borderId="42" xfId="0" applyNumberFormat="1" applyFont="1" applyFill="1" applyBorder="1" applyProtection="1"/>
    <xf numFmtId="175" fontId="6" fillId="30" borderId="42" xfId="0" applyNumberFormat="1" applyFont="1" applyFill="1" applyBorder="1" applyAlignment="1" applyProtection="1">
      <alignment horizontal="center"/>
    </xf>
    <xf numFmtId="172" fontId="6" fillId="30" borderId="21" xfId="0" applyNumberFormat="1" applyFont="1" applyFill="1" applyBorder="1" applyAlignment="1" applyProtection="1"/>
    <xf numFmtId="172" fontId="6" fillId="30" borderId="52" xfId="0" applyNumberFormat="1" applyFont="1" applyFill="1" applyBorder="1" applyAlignment="1" applyProtection="1"/>
    <xf numFmtId="172" fontId="6" fillId="30" borderId="20" xfId="0" applyNumberFormat="1" applyFont="1" applyFill="1" applyBorder="1" applyAlignment="1" applyProtection="1"/>
    <xf numFmtId="0" fontId="7" fillId="29" borderId="63" xfId="0" applyFont="1" applyFill="1" applyBorder="1" applyAlignment="1" applyProtection="1">
      <alignment horizontal="center"/>
    </xf>
    <xf numFmtId="0" fontId="7" fillId="29" borderId="23" xfId="0" applyFont="1" applyFill="1" applyBorder="1" applyAlignment="1" applyProtection="1">
      <alignment horizontal="center"/>
    </xf>
    <xf numFmtId="0" fontId="7" fillId="29" borderId="50" xfId="0" applyFont="1" applyFill="1" applyBorder="1" applyAlignment="1" applyProtection="1">
      <alignment horizontal="center"/>
    </xf>
    <xf numFmtId="172" fontId="7" fillId="29" borderId="50" xfId="0" applyNumberFormat="1" applyFont="1" applyFill="1" applyBorder="1" applyProtection="1"/>
    <xf numFmtId="175" fontId="6" fillId="0" borderId="47" xfId="0" applyNumberFormat="1" applyFont="1" applyBorder="1" applyAlignment="1" applyProtection="1">
      <alignment horizontal="center"/>
    </xf>
    <xf numFmtId="172" fontId="7" fillId="0" borderId="24" xfId="0" applyNumberFormat="1" applyFont="1" applyBorder="1" applyAlignment="1" applyProtection="1"/>
    <xf numFmtId="172" fontId="7" fillId="0" borderId="70" xfId="0" applyNumberFormat="1" applyFont="1" applyBorder="1" applyAlignment="1" applyProtection="1"/>
    <xf numFmtId="172" fontId="7" fillId="0" borderId="23" xfId="0" applyNumberFormat="1" applyFont="1" applyBorder="1" applyAlignment="1" applyProtection="1"/>
    <xf numFmtId="172" fontId="7" fillId="0" borderId="50" xfId="0" applyNumberFormat="1" applyFont="1" applyBorder="1" applyAlignment="1" applyProtection="1"/>
    <xf numFmtId="172" fontId="6" fillId="0" borderId="56" xfId="0" applyNumberFormat="1" applyFont="1" applyBorder="1" applyAlignment="1" applyProtection="1">
      <alignment horizontal="center"/>
    </xf>
    <xf numFmtId="172" fontId="6" fillId="0" borderId="57" xfId="0" applyNumberFormat="1" applyFont="1" applyBorder="1" applyAlignment="1" applyProtection="1">
      <alignment horizontal="center"/>
    </xf>
    <xf numFmtId="172" fontId="6" fillId="0" borderId="61" xfId="0" applyNumberFormat="1" applyFont="1" applyBorder="1" applyAlignment="1" applyProtection="1">
      <alignment horizontal="center"/>
    </xf>
    <xf numFmtId="172" fontId="7" fillId="0" borderId="54" xfId="0" applyNumberFormat="1" applyFont="1" applyBorder="1" applyProtection="1"/>
    <xf numFmtId="172" fontId="7" fillId="0" borderId="31" xfId="0" applyNumberFormat="1" applyFont="1" applyBorder="1" applyProtection="1"/>
    <xf numFmtId="172" fontId="7" fillId="0" borderId="52" xfId="0" applyNumberFormat="1" applyFont="1" applyBorder="1" applyProtection="1"/>
    <xf numFmtId="168" fontId="7" fillId="0" borderId="42" xfId="41" applyNumberFormat="1" applyFont="1" applyFill="1" applyBorder="1" applyAlignment="1" applyProtection="1">
      <alignment vertical="top" wrapText="1"/>
    </xf>
    <xf numFmtId="0" fontId="7" fillId="0" borderId="66" xfId="0" applyFont="1" applyBorder="1" applyProtection="1"/>
    <xf numFmtId="172" fontId="7" fillId="0" borderId="30" xfId="0" applyNumberFormat="1" applyFont="1" applyBorder="1" applyProtection="1"/>
    <xf numFmtId="172" fontId="7" fillId="0" borderId="29" xfId="0" applyNumberFormat="1" applyFont="1" applyBorder="1" applyProtection="1"/>
    <xf numFmtId="172" fontId="7" fillId="0" borderId="45" xfId="0" applyNumberFormat="1" applyFont="1" applyBorder="1" applyProtection="1"/>
    <xf numFmtId="172" fontId="7" fillId="0" borderId="48" xfId="0" applyNumberFormat="1" applyFont="1" applyBorder="1" applyProtection="1"/>
    <xf numFmtId="172" fontId="7" fillId="0" borderId="68" xfId="0" applyNumberFormat="1" applyFont="1" applyBorder="1" applyProtection="1"/>
    <xf numFmtId="0" fontId="6" fillId="0" borderId="65" xfId="0" applyFont="1" applyBorder="1" applyProtection="1"/>
    <xf numFmtId="0" fontId="6" fillId="0" borderId="65" xfId="0" applyFont="1" applyBorder="1" applyAlignment="1" applyProtection="1">
      <alignment horizontal="center"/>
    </xf>
    <xf numFmtId="172" fontId="6" fillId="0" borderId="65" xfId="0" applyNumberFormat="1" applyFont="1" applyBorder="1" applyProtection="1"/>
    <xf numFmtId="0" fontId="5" fillId="0" borderId="13" xfId="0" applyFont="1" applyFill="1" applyBorder="1" applyAlignment="1" applyProtection="1">
      <alignment horizontal="left"/>
    </xf>
    <xf numFmtId="49" fontId="7" fillId="0" borderId="34" xfId="0" applyNumberFormat="1" applyFont="1" applyFill="1" applyBorder="1" applyAlignment="1" applyProtection="1">
      <alignment horizontal="center" vertical="center" wrapText="1"/>
    </xf>
    <xf numFmtId="0" fontId="7" fillId="0" borderId="33" xfId="0" applyFont="1" applyFill="1" applyBorder="1" applyAlignment="1" applyProtection="1">
      <alignment vertical="center"/>
    </xf>
    <xf numFmtId="0" fontId="7" fillId="0" borderId="35" xfId="0" applyFont="1" applyFill="1" applyBorder="1" applyAlignment="1" applyProtection="1">
      <alignment horizontal="center" vertical="center"/>
    </xf>
    <xf numFmtId="0" fontId="7" fillId="0" borderId="35"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1" xfId="0" applyNumberFormat="1" applyFont="1" applyFill="1" applyBorder="1" applyProtection="1"/>
    <xf numFmtId="173" fontId="6" fillId="0" borderId="20" xfId="28" applyNumberFormat="1" applyFont="1" applyBorder="1" applyProtection="1"/>
    <xf numFmtId="173" fontId="6" fillId="0" borderId="12" xfId="28" applyNumberFormat="1" applyFont="1" applyBorder="1" applyProtection="1"/>
    <xf numFmtId="173" fontId="6" fillId="0" borderId="11" xfId="28" applyNumberFormat="1" applyFont="1" applyBorder="1" applyProtection="1"/>
    <xf numFmtId="173" fontId="6" fillId="0" borderId="42" xfId="28" applyNumberFormat="1" applyFont="1" applyBorder="1" applyProtection="1"/>
    <xf numFmtId="173" fontId="6" fillId="0" borderId="0" xfId="28" applyNumberFormat="1" applyFont="1" applyBorder="1" applyProtection="1"/>
    <xf numFmtId="173" fontId="6" fillId="25" borderId="20" xfId="28" applyNumberFormat="1" applyFont="1" applyFill="1" applyBorder="1" applyProtection="1"/>
    <xf numFmtId="173" fontId="6" fillId="25" borderId="12" xfId="28" applyNumberFormat="1" applyFont="1" applyFill="1" applyBorder="1" applyProtection="1"/>
    <xf numFmtId="173" fontId="6" fillId="25" borderId="11" xfId="28" applyNumberFormat="1" applyFont="1" applyFill="1" applyBorder="1" applyProtection="1"/>
    <xf numFmtId="173" fontId="6" fillId="25" borderId="42" xfId="28" applyNumberFormat="1" applyFont="1" applyFill="1" applyBorder="1" applyProtection="1"/>
    <xf numFmtId="173" fontId="6" fillId="25" borderId="0" xfId="28" applyNumberFormat="1" applyFont="1" applyFill="1" applyBorder="1" applyProtection="1"/>
    <xf numFmtId="0" fontId="10" fillId="0" borderId="11" xfId="0" applyNumberFormat="1" applyFont="1" applyFill="1" applyBorder="1" applyAlignment="1" applyProtection="1">
      <alignment horizontal="left" indent="2"/>
    </xf>
    <xf numFmtId="0" fontId="7" fillId="0" borderId="22" xfId="0" applyNumberFormat="1" applyFont="1" applyFill="1" applyBorder="1" applyProtection="1"/>
    <xf numFmtId="173" fontId="7" fillId="0" borderId="23" xfId="28" applyNumberFormat="1" applyFont="1" applyBorder="1" applyProtection="1"/>
    <xf numFmtId="173" fontId="7" fillId="0" borderId="27" xfId="28" applyNumberFormat="1" applyFont="1" applyBorder="1" applyProtection="1"/>
    <xf numFmtId="173" fontId="7" fillId="0" borderId="24" xfId="28" applyNumberFormat="1" applyFont="1" applyBorder="1" applyProtection="1"/>
    <xf numFmtId="173" fontId="7" fillId="0" borderId="50" xfId="28" applyNumberFormat="1" applyFont="1" applyBorder="1" applyProtection="1"/>
    <xf numFmtId="173" fontId="7" fillId="0" borderId="70" xfId="28" applyNumberFormat="1" applyFont="1" applyBorder="1" applyProtection="1"/>
    <xf numFmtId="0" fontId="7" fillId="0" borderId="11" xfId="0" applyNumberFormat="1" applyFont="1" applyFill="1" applyBorder="1" applyAlignment="1" applyProtection="1">
      <alignment horizontal="left" indent="1"/>
    </xf>
    <xf numFmtId="174" fontId="7" fillId="0" borderId="20" xfId="28" applyNumberFormat="1" applyFont="1" applyBorder="1" applyProtection="1"/>
    <xf numFmtId="174" fontId="6" fillId="0" borderId="33" xfId="41" applyNumberFormat="1" applyFont="1" applyBorder="1" applyAlignment="1" applyProtection="1">
      <alignment horizontal="center"/>
    </xf>
    <xf numFmtId="174" fontId="6" fillId="0" borderId="41" xfId="41" applyNumberFormat="1" applyFont="1" applyBorder="1" applyAlignment="1" applyProtection="1">
      <alignment horizontal="center"/>
    </xf>
    <xf numFmtId="174" fontId="6" fillId="0" borderId="11" xfId="41" applyNumberFormat="1" applyFont="1" applyBorder="1" applyAlignment="1" applyProtection="1">
      <alignment horizontal="center"/>
    </xf>
    <xf numFmtId="174" fontId="6" fillId="0" borderId="20" xfId="41" applyNumberFormat="1" applyFont="1" applyBorder="1" applyAlignment="1" applyProtection="1">
      <alignment horizontal="center"/>
    </xf>
    <xf numFmtId="174" fontId="6" fillId="0" borderId="42" xfId="41" applyNumberFormat="1" applyFont="1" applyBorder="1" applyAlignment="1" applyProtection="1">
      <alignment horizontal="center"/>
    </xf>
    <xf numFmtId="174" fontId="6" fillId="0" borderId="0" xfId="41" applyNumberFormat="1" applyFont="1" applyBorder="1" applyAlignment="1" applyProtection="1">
      <alignment horizontal="center"/>
    </xf>
    <xf numFmtId="174" fontId="6" fillId="0" borderId="12" xfId="41" applyNumberFormat="1" applyFont="1" applyBorder="1" applyAlignment="1" applyProtection="1">
      <alignment horizontal="center"/>
    </xf>
    <xf numFmtId="173" fontId="7" fillId="25" borderId="20" xfId="28" applyNumberFormat="1" applyFont="1" applyFill="1" applyBorder="1" applyProtection="1"/>
    <xf numFmtId="173" fontId="7" fillId="25" borderId="20" xfId="28" applyNumberFormat="1" applyFont="1" applyFill="1" applyBorder="1" applyAlignment="1" applyProtection="1">
      <alignment horizontal="center"/>
    </xf>
    <xf numFmtId="173" fontId="7" fillId="25" borderId="12" xfId="28" applyNumberFormat="1" applyFont="1" applyFill="1" applyBorder="1" applyAlignment="1" applyProtection="1">
      <alignment horizontal="center"/>
    </xf>
    <xf numFmtId="173" fontId="7" fillId="25" borderId="11" xfId="41" applyNumberFormat="1" applyFont="1" applyFill="1" applyBorder="1" applyAlignment="1" applyProtection="1">
      <alignment horizontal="center"/>
    </xf>
    <xf numFmtId="173" fontId="7" fillId="25" borderId="20" xfId="41" applyNumberFormat="1" applyFont="1" applyFill="1" applyBorder="1" applyAlignment="1" applyProtection="1">
      <alignment horizontal="center"/>
    </xf>
    <xf numFmtId="173" fontId="7" fillId="25" borderId="42" xfId="41" applyNumberFormat="1" applyFont="1" applyFill="1" applyBorder="1" applyAlignment="1" applyProtection="1">
      <alignment horizontal="center"/>
    </xf>
    <xf numFmtId="173" fontId="7" fillId="25" borderId="0" xfId="41" applyNumberFormat="1" applyFont="1" applyFill="1" applyBorder="1" applyAlignment="1" applyProtection="1">
      <alignment horizontal="center"/>
    </xf>
    <xf numFmtId="173" fontId="7" fillId="25" borderId="12" xfId="41" applyNumberFormat="1" applyFont="1" applyFill="1" applyBorder="1" applyAlignment="1" applyProtection="1">
      <alignment horizontal="center"/>
    </xf>
    <xf numFmtId="0" fontId="6" fillId="0" borderId="15" xfId="0" applyNumberFormat="1" applyFont="1" applyBorder="1" applyAlignment="1" applyProtection="1">
      <alignment horizontal="left" indent="1"/>
    </xf>
    <xf numFmtId="0" fontId="6" fillId="0" borderId="35" xfId="0" applyNumberFormat="1" applyFont="1" applyBorder="1" applyAlignment="1" applyProtection="1">
      <alignment horizontal="center"/>
    </xf>
    <xf numFmtId="173" fontId="7" fillId="25" borderId="35" xfId="28" applyNumberFormat="1" applyFont="1" applyFill="1" applyBorder="1" applyProtection="1"/>
    <xf numFmtId="173" fontId="7" fillId="25" borderId="35" xfId="28" applyNumberFormat="1" applyFont="1" applyFill="1" applyBorder="1" applyAlignment="1" applyProtection="1">
      <alignment horizontal="center"/>
    </xf>
    <xf numFmtId="173" fontId="7" fillId="25" borderId="16" xfId="28" applyNumberFormat="1" applyFont="1" applyFill="1" applyBorder="1" applyAlignment="1" applyProtection="1">
      <alignment horizontal="center"/>
    </xf>
    <xf numFmtId="173" fontId="7" fillId="25" borderId="15" xfId="41" applyNumberFormat="1" applyFont="1" applyFill="1" applyBorder="1" applyAlignment="1" applyProtection="1">
      <alignment horizontal="center"/>
    </xf>
    <xf numFmtId="173" fontId="7" fillId="25" borderId="35" xfId="41" applyNumberFormat="1" applyFont="1" applyFill="1" applyBorder="1" applyAlignment="1" applyProtection="1">
      <alignment horizontal="center"/>
    </xf>
    <xf numFmtId="173" fontId="7" fillId="25" borderId="47" xfId="41" applyNumberFormat="1" applyFont="1" applyFill="1" applyBorder="1" applyAlignment="1" applyProtection="1">
      <alignment horizontal="center"/>
    </xf>
    <xf numFmtId="173" fontId="7" fillId="25" borderId="13" xfId="41" applyNumberFormat="1" applyFont="1" applyFill="1" applyBorder="1" applyAlignment="1" applyProtection="1">
      <alignment horizontal="center"/>
    </xf>
    <xf numFmtId="173" fontId="7" fillId="25" borderId="16" xfId="41" applyNumberFormat="1" applyFont="1" applyFill="1" applyBorder="1" applyAlignment="1" applyProtection="1">
      <alignment horizontal="center"/>
    </xf>
    <xf numFmtId="0" fontId="6" fillId="0" borderId="0" xfId="0" applyNumberFormat="1" applyFont="1" applyBorder="1" applyProtection="1"/>
    <xf numFmtId="0" fontId="7" fillId="0" borderId="45" xfId="0" applyFont="1" applyFill="1" applyBorder="1" applyAlignment="1" applyProtection="1">
      <alignment horizontal="center" vertical="center" wrapText="1"/>
    </xf>
    <xf numFmtId="9" fontId="7" fillId="0" borderId="45" xfId="41" applyFont="1" applyFill="1" applyBorder="1" applyAlignment="1" applyProtection="1">
      <alignment horizontal="center" vertical="center" wrapText="1"/>
    </xf>
    <xf numFmtId="0" fontId="7" fillId="0" borderId="51" xfId="0" applyFont="1" applyFill="1" applyBorder="1" applyAlignment="1" applyProtection="1">
      <alignment horizontal="left"/>
    </xf>
    <xf numFmtId="0" fontId="7" fillId="0" borderId="56" xfId="0" applyFont="1" applyFill="1" applyBorder="1" applyAlignment="1" applyProtection="1">
      <alignment horizontal="center" vertical="top" wrapText="1"/>
    </xf>
    <xf numFmtId="0" fontId="7" fillId="0" borderId="57" xfId="0" applyFont="1" applyFill="1" applyBorder="1" applyAlignment="1" applyProtection="1">
      <alignment horizontal="center" vertical="top" wrapText="1"/>
    </xf>
    <xf numFmtId="0" fontId="7" fillId="0" borderId="58" xfId="0" applyFont="1" applyFill="1" applyBorder="1" applyAlignment="1" applyProtection="1">
      <alignment horizontal="center" vertical="top" wrapText="1"/>
    </xf>
    <xf numFmtId="172" fontId="6" fillId="0" borderId="31" xfId="0" applyNumberFormat="1" applyFont="1" applyBorder="1" applyProtection="1"/>
    <xf numFmtId="172" fontId="6" fillId="25" borderId="31" xfId="0" applyNumberFormat="1" applyFont="1" applyFill="1" applyBorder="1" applyProtection="1"/>
    <xf numFmtId="172" fontId="6" fillId="0" borderId="59" xfId="0" applyNumberFormat="1" applyFont="1" applyBorder="1" applyProtection="1"/>
    <xf numFmtId="172" fontId="6" fillId="0" borderId="30" xfId="0" applyNumberFormat="1" applyFont="1" applyBorder="1" applyProtection="1"/>
    <xf numFmtId="172" fontId="6" fillId="0" borderId="29" xfId="0" applyNumberFormat="1" applyFont="1" applyBorder="1" applyProtection="1"/>
    <xf numFmtId="172" fontId="6" fillId="0" borderId="48" xfId="0" applyNumberFormat="1" applyFont="1" applyBorder="1" applyProtection="1"/>
    <xf numFmtId="172" fontId="6" fillId="0" borderId="0" xfId="0" applyNumberFormat="1" applyFont="1" applyProtection="1"/>
    <xf numFmtId="172" fontId="7" fillId="30" borderId="29" xfId="0" applyNumberFormat="1" applyFont="1" applyFill="1" applyBorder="1" applyProtection="1"/>
    <xf numFmtId="172" fontId="7" fillId="30" borderId="20" xfId="0" applyNumberFormat="1" applyFont="1" applyFill="1" applyBorder="1" applyProtection="1"/>
    <xf numFmtId="172" fontId="6" fillId="30" borderId="29" xfId="0" applyNumberFormat="1" applyFont="1" applyFill="1" applyBorder="1" applyProtection="1"/>
    <xf numFmtId="172" fontId="6" fillId="0" borderId="27" xfId="0" applyNumberFormat="1" applyFont="1" applyBorder="1" applyProtection="1"/>
    <xf numFmtId="172" fontId="6" fillId="0" borderId="24" xfId="0" applyNumberFormat="1" applyFont="1" applyBorder="1" applyProtection="1"/>
    <xf numFmtId="172" fontId="6" fillId="0" borderId="23" xfId="0" applyNumberFormat="1" applyFont="1" applyBorder="1" applyProtection="1"/>
    <xf numFmtId="172" fontId="6" fillId="0" borderId="50" xfId="0" applyNumberFormat="1" applyFont="1" applyBorder="1" applyProtection="1"/>
    <xf numFmtId="0" fontId="6" fillId="0" borderId="68" xfId="0" applyFont="1" applyBorder="1" applyProtection="1"/>
    <xf numFmtId="0" fontId="6" fillId="0" borderId="29" xfId="0" applyFont="1" applyBorder="1" applyProtection="1"/>
    <xf numFmtId="0" fontId="6" fillId="0" borderId="48" xfId="0" applyFont="1" applyBorder="1" applyProtection="1"/>
    <xf numFmtId="0" fontId="6" fillId="0" borderId="30" xfId="0" applyFont="1" applyBorder="1" applyProtection="1"/>
    <xf numFmtId="172" fontId="6" fillId="0" borderId="54" xfId="0" applyNumberFormat="1" applyFont="1" applyBorder="1" applyProtection="1"/>
    <xf numFmtId="172" fontId="6" fillId="0" borderId="26" xfId="0" applyNumberFormat="1" applyFont="1" applyBorder="1" applyProtection="1"/>
    <xf numFmtId="172" fontId="6" fillId="0" borderId="25" xfId="0" applyNumberFormat="1" applyFont="1" applyBorder="1" applyProtection="1"/>
    <xf numFmtId="172" fontId="6" fillId="0" borderId="43" xfId="0" applyNumberFormat="1" applyFont="1" applyBorder="1" applyProtection="1"/>
    <xf numFmtId="172" fontId="6" fillId="0" borderId="45" xfId="0" applyNumberFormat="1" applyFont="1" applyBorder="1" applyProtection="1"/>
    <xf numFmtId="172" fontId="6" fillId="0" borderId="78" xfId="0" applyNumberFormat="1" applyFont="1" applyBorder="1" applyProtection="1"/>
    <xf numFmtId="172" fontId="6" fillId="0" borderId="36" xfId="0" applyNumberFormat="1" applyFont="1" applyBorder="1" applyProtection="1"/>
    <xf numFmtId="172" fontId="6" fillId="0" borderId="35" xfId="0" applyNumberFormat="1" applyFont="1" applyBorder="1" applyProtection="1"/>
    <xf numFmtId="172" fontId="6" fillId="0" borderId="47" xfId="0" applyNumberFormat="1" applyFont="1" applyBorder="1" applyProtection="1"/>
    <xf numFmtId="0" fontId="7" fillId="0" borderId="64"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5"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172" fontId="6" fillId="30" borderId="12" xfId="0" applyNumberFormat="1" applyFont="1" applyFill="1" applyBorder="1" applyProtection="1"/>
    <xf numFmtId="172" fontId="6" fillId="30" borderId="11" xfId="0" applyNumberFormat="1" applyFont="1" applyFill="1" applyBorder="1" applyProtection="1"/>
    <xf numFmtId="172" fontId="6" fillId="30" borderId="52" xfId="0" applyNumberFormat="1" applyFont="1" applyFill="1" applyBorder="1" applyProtection="1"/>
    <xf numFmtId="172" fontId="7" fillId="30" borderId="72" xfId="0" applyNumberFormat="1" applyFont="1" applyFill="1" applyBorder="1" applyProtection="1"/>
    <xf numFmtId="172" fontId="7" fillId="30" borderId="66" xfId="0" applyNumberFormat="1" applyFont="1" applyFill="1" applyBorder="1" applyProtection="1"/>
    <xf numFmtId="172" fontId="7" fillId="30" borderId="59" xfId="0" applyNumberFormat="1" applyFont="1" applyFill="1" applyBorder="1" applyProtection="1"/>
    <xf numFmtId="172" fontId="7" fillId="30" borderId="12" xfId="0" applyNumberFormat="1" applyFont="1" applyFill="1" applyBorder="1" applyProtection="1"/>
    <xf numFmtId="172" fontId="7" fillId="30" borderId="11" xfId="0" applyNumberFormat="1" applyFont="1" applyFill="1" applyBorder="1" applyProtection="1"/>
    <xf numFmtId="172" fontId="7" fillId="30" borderId="0" xfId="0" applyNumberFormat="1" applyFont="1" applyFill="1" applyBorder="1" applyProtection="1"/>
    <xf numFmtId="172" fontId="6" fillId="30" borderId="72" xfId="0" applyNumberFormat="1" applyFont="1" applyFill="1" applyBorder="1" applyProtection="1"/>
    <xf numFmtId="172" fontId="6" fillId="30" borderId="66" xfId="0" applyNumberFormat="1" applyFont="1" applyFill="1" applyBorder="1" applyProtection="1"/>
    <xf numFmtId="172" fontId="6" fillId="30" borderId="59" xfId="0" applyNumberFormat="1" applyFont="1" applyFill="1" applyBorder="1" applyProtection="1"/>
    <xf numFmtId="0" fontId="7" fillId="0" borderId="22" xfId="0" applyNumberFormat="1" applyFont="1" applyBorder="1" applyProtection="1"/>
    <xf numFmtId="0" fontId="6" fillId="0" borderId="23" xfId="0" applyNumberFormat="1" applyFont="1" applyBorder="1" applyAlignment="1" applyProtection="1">
      <alignment horizontal="center"/>
    </xf>
    <xf numFmtId="172" fontId="7" fillId="0" borderId="73" xfId="0" applyNumberFormat="1" applyFont="1" applyBorder="1" applyProtection="1"/>
    <xf numFmtId="172" fontId="7" fillId="0" borderId="22" xfId="0" applyNumberFormat="1" applyFont="1" applyBorder="1" applyProtection="1"/>
    <xf numFmtId="172" fontId="7" fillId="0" borderId="63" xfId="0" applyNumberFormat="1" applyFont="1" applyBorder="1" applyProtection="1"/>
    <xf numFmtId="0" fontId="9" fillId="0" borderId="64" xfId="0" applyNumberFormat="1" applyFont="1" applyBorder="1" applyProtection="1"/>
    <xf numFmtId="0" fontId="7" fillId="0" borderId="38"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11" xfId="0" applyFont="1" applyFill="1" applyBorder="1" applyAlignment="1" applyProtection="1">
      <alignment horizontal="left" vertical="center"/>
    </xf>
    <xf numFmtId="0" fontId="6" fillId="0" borderId="42" xfId="0" applyNumberFormat="1" applyFont="1" applyFill="1" applyBorder="1" applyAlignment="1" applyProtection="1">
      <alignment horizontal="center" vertical="center"/>
    </xf>
    <xf numFmtId="0" fontId="7" fillId="0" borderId="72" xfId="0" applyFont="1" applyFill="1" applyBorder="1" applyAlignment="1" applyProtection="1">
      <alignment horizontal="center" vertical="center" wrapText="1"/>
    </xf>
    <xf numFmtId="0" fontId="6" fillId="0" borderId="61" xfId="0" applyFont="1" applyBorder="1" applyAlignment="1" applyProtection="1">
      <alignment horizontal="center"/>
    </xf>
    <xf numFmtId="0" fontId="6" fillId="0" borderId="35" xfId="0" applyFont="1" applyBorder="1" applyProtection="1"/>
    <xf numFmtId="0" fontId="6" fillId="0" borderId="47" xfId="0" applyFont="1" applyBorder="1" applyProtection="1"/>
    <xf numFmtId="0" fontId="6" fillId="0" borderId="16" xfId="0" applyFont="1" applyBorder="1" applyProtection="1"/>
    <xf numFmtId="0" fontId="7" fillId="0" borderId="11" xfId="0" applyNumberFormat="1" applyFont="1" applyBorder="1" applyProtection="1"/>
    <xf numFmtId="172" fontId="7" fillId="0" borderId="20" xfId="0" applyNumberFormat="1" applyFont="1" applyBorder="1" applyAlignment="1" applyProtection="1">
      <alignment horizontal="center"/>
    </xf>
    <xf numFmtId="172" fontId="7" fillId="0" borderId="0" xfId="0" applyNumberFormat="1" applyFont="1" applyBorder="1" applyAlignment="1" applyProtection="1">
      <alignment horizontal="center"/>
    </xf>
    <xf numFmtId="172" fontId="7" fillId="0" borderId="11" xfId="0" applyNumberFormat="1" applyFont="1" applyBorder="1" applyAlignment="1" applyProtection="1">
      <alignment horizontal="center"/>
    </xf>
    <xf numFmtId="172" fontId="7" fillId="0" borderId="12" xfId="0" applyNumberFormat="1" applyFont="1" applyBorder="1" applyAlignment="1" applyProtection="1">
      <alignment horizontal="center"/>
    </xf>
    <xf numFmtId="172" fontId="7" fillId="0" borderId="10" xfId="0" applyNumberFormat="1" applyFont="1" applyBorder="1" applyAlignment="1" applyProtection="1">
      <alignment horizontal="center"/>
    </xf>
    <xf numFmtId="0" fontId="10" fillId="30" borderId="11" xfId="0" applyNumberFormat="1" applyFont="1" applyFill="1" applyBorder="1" applyAlignment="1" applyProtection="1">
      <alignment horizontal="left" indent="1"/>
    </xf>
    <xf numFmtId="172" fontId="7" fillId="30" borderId="20" xfId="0" applyNumberFormat="1" applyFont="1" applyFill="1" applyBorder="1" applyAlignment="1" applyProtection="1">
      <alignment horizontal="center"/>
    </xf>
    <xf numFmtId="172" fontId="7" fillId="30" borderId="0" xfId="0" applyNumberFormat="1" applyFont="1" applyFill="1" applyBorder="1" applyAlignment="1" applyProtection="1">
      <alignment horizontal="center"/>
    </xf>
    <xf numFmtId="172" fontId="7" fillId="30" borderId="11" xfId="0" applyNumberFormat="1" applyFont="1" applyFill="1" applyBorder="1" applyAlignment="1" applyProtection="1">
      <alignment horizontal="center"/>
    </xf>
    <xf numFmtId="172" fontId="7" fillId="30" borderId="12" xfId="0" applyNumberFormat="1" applyFont="1" applyFill="1" applyBorder="1" applyAlignment="1" applyProtection="1">
      <alignment horizontal="center"/>
    </xf>
    <xf numFmtId="172" fontId="6" fillId="0" borderId="10" xfId="0" applyNumberFormat="1" applyFont="1" applyBorder="1" applyProtection="1"/>
    <xf numFmtId="172" fontId="7" fillId="0" borderId="59" xfId="0" applyNumberFormat="1" applyFont="1" applyBorder="1" applyProtection="1"/>
    <xf numFmtId="172" fontId="7" fillId="0" borderId="66" xfId="0" applyNumberFormat="1" applyFont="1" applyBorder="1" applyProtection="1"/>
    <xf numFmtId="172" fontId="7" fillId="0" borderId="72" xfId="0" applyNumberFormat="1" applyFont="1" applyBorder="1" applyProtection="1"/>
    <xf numFmtId="172" fontId="6" fillId="0" borderId="67" xfId="0" applyNumberFormat="1" applyFont="1" applyBorder="1" applyProtection="1"/>
    <xf numFmtId="172" fontId="6" fillId="0" borderId="66" xfId="0" applyNumberFormat="1" applyFont="1" applyBorder="1" applyProtection="1"/>
    <xf numFmtId="172" fontId="6" fillId="0" borderId="72" xfId="0" applyNumberFormat="1" applyFont="1" applyBorder="1" applyProtection="1"/>
    <xf numFmtId="172" fontId="6" fillId="0" borderId="10" xfId="0" applyNumberFormat="1" applyFont="1" applyFill="1" applyBorder="1" applyProtection="1"/>
    <xf numFmtId="172" fontId="6" fillId="0" borderId="32" xfId="0" applyNumberFormat="1" applyFont="1" applyBorder="1" applyProtection="1"/>
    <xf numFmtId="0" fontId="10" fillId="0" borderId="0" xfId="0" applyFont="1" applyAlignment="1" applyProtection="1">
      <alignment horizontal="right"/>
    </xf>
    <xf numFmtId="164" fontId="6" fillId="0" borderId="0" xfId="28" applyFont="1" applyProtection="1"/>
    <xf numFmtId="167" fontId="6" fillId="0" borderId="0" xfId="0" applyNumberFormat="1" applyFont="1" applyProtection="1"/>
    <xf numFmtId="0" fontId="6" fillId="0" borderId="0" xfId="0" applyFont="1" applyBorder="1" applyAlignment="1" applyProtection="1"/>
    <xf numFmtId="0" fontId="7" fillId="0" borderId="34" xfId="0" applyFont="1" applyFill="1" applyBorder="1" applyAlignment="1" applyProtection="1">
      <alignment horizontal="left" vertical="center"/>
    </xf>
    <xf numFmtId="0" fontId="7" fillId="0" borderId="33" xfId="0" applyFont="1" applyFill="1" applyBorder="1" applyAlignment="1" applyProtection="1">
      <alignment horizontal="center" vertical="center" wrapText="1"/>
    </xf>
    <xf numFmtId="0" fontId="7" fillId="0" borderId="33" xfId="0" applyFont="1" applyFill="1" applyBorder="1" applyAlignment="1" applyProtection="1">
      <alignment horizontal="center" wrapText="1"/>
    </xf>
    <xf numFmtId="0" fontId="7" fillId="0" borderId="71" xfId="0" applyFont="1" applyFill="1" applyBorder="1" applyAlignment="1" applyProtection="1">
      <alignment horizontal="center" wrapText="1"/>
    </xf>
    <xf numFmtId="0" fontId="6" fillId="0" borderId="0" xfId="0" applyFont="1" applyAlignment="1" applyProtection="1">
      <alignment horizontal="center" vertical="center"/>
    </xf>
    <xf numFmtId="0" fontId="7" fillId="0" borderId="34" xfId="0" applyNumberFormat="1" applyFont="1" applyFill="1" applyBorder="1" applyProtection="1"/>
    <xf numFmtId="0" fontId="7" fillId="0" borderId="20" xfId="0" applyNumberFormat="1" applyFont="1" applyFill="1" applyBorder="1" applyAlignment="1" applyProtection="1">
      <alignment horizontal="center"/>
    </xf>
    <xf numFmtId="173" fontId="7" fillId="0" borderId="20" xfId="28" applyNumberFormat="1" applyFont="1" applyFill="1" applyBorder="1" applyAlignment="1" applyProtection="1">
      <alignment horizontal="center"/>
    </xf>
    <xf numFmtId="0" fontId="10" fillId="0" borderId="20" xfId="0" applyNumberFormat="1" applyFont="1" applyFill="1" applyBorder="1" applyAlignment="1" applyProtection="1">
      <alignment horizontal="center"/>
    </xf>
    <xf numFmtId="0" fontId="10" fillId="0" borderId="0" xfId="0" applyNumberFormat="1" applyFont="1" applyFill="1" applyBorder="1" applyAlignment="1" applyProtection="1">
      <alignment horizontal="center"/>
    </xf>
    <xf numFmtId="0" fontId="10" fillId="0" borderId="31" xfId="0" applyNumberFormat="1" applyFont="1" applyFill="1" applyBorder="1" applyAlignment="1" applyProtection="1">
      <alignment horizontal="center"/>
    </xf>
    <xf numFmtId="0" fontId="10" fillId="0" borderId="42" xfId="0" applyNumberFormat="1" applyFont="1" applyFill="1" applyBorder="1" applyAlignment="1" applyProtection="1">
      <alignment horizontal="center"/>
    </xf>
    <xf numFmtId="0" fontId="10" fillId="0" borderId="11" xfId="0" applyNumberFormat="1" applyFont="1" applyFill="1" applyBorder="1" applyAlignment="1" applyProtection="1">
      <alignment horizontal="left" indent="1"/>
    </xf>
    <xf numFmtId="0" fontId="10" fillId="0" borderId="11" xfId="0" applyNumberFormat="1" applyFont="1" applyFill="1" applyBorder="1" applyProtection="1"/>
    <xf numFmtId="0" fontId="7" fillId="30" borderId="11" xfId="0" applyNumberFormat="1" applyFont="1" applyFill="1" applyBorder="1" applyProtection="1"/>
    <xf numFmtId="0" fontId="7" fillId="30" borderId="20" xfId="0" applyNumberFormat="1" applyFont="1" applyFill="1" applyBorder="1" applyAlignment="1" applyProtection="1">
      <alignment horizontal="center"/>
    </xf>
    <xf numFmtId="173" fontId="7" fillId="30" borderId="20" xfId="28" applyNumberFormat="1" applyFont="1" applyFill="1" applyBorder="1" applyAlignment="1" applyProtection="1">
      <alignment horizontal="center"/>
    </xf>
    <xf numFmtId="0" fontId="10" fillId="30" borderId="20" xfId="0" applyNumberFormat="1" applyFont="1" applyFill="1" applyBorder="1" applyAlignment="1" applyProtection="1">
      <alignment horizontal="center"/>
    </xf>
    <xf numFmtId="0" fontId="10" fillId="30" borderId="0" xfId="0" applyNumberFormat="1" applyFont="1" applyFill="1" applyBorder="1" applyAlignment="1" applyProtection="1">
      <alignment horizontal="center"/>
    </xf>
    <xf numFmtId="0" fontId="6" fillId="30" borderId="20" xfId="0" applyNumberFormat="1" applyFont="1" applyFill="1" applyBorder="1" applyProtection="1"/>
    <xf numFmtId="0" fontId="10" fillId="30" borderId="42" xfId="0" applyNumberFormat="1" applyFont="1" applyFill="1" applyBorder="1" applyAlignment="1" applyProtection="1">
      <alignment horizontal="center"/>
    </xf>
    <xf numFmtId="0" fontId="6" fillId="30" borderId="11" xfId="0" applyNumberFormat="1" applyFont="1" applyFill="1" applyBorder="1" applyAlignment="1" applyProtection="1">
      <alignment horizontal="left" indent="1"/>
    </xf>
    <xf numFmtId="173" fontId="6" fillId="30" borderId="20" xfId="28" applyNumberFormat="1" applyFont="1" applyFill="1" applyBorder="1" applyAlignment="1" applyProtection="1">
      <alignment horizontal="center"/>
    </xf>
    <xf numFmtId="0" fontId="6" fillId="30" borderId="11" xfId="0" applyNumberFormat="1" applyFont="1" applyFill="1" applyBorder="1" applyProtection="1"/>
    <xf numFmtId="173" fontId="6" fillId="30" borderId="20" xfId="0" applyNumberFormat="1" applyFont="1" applyFill="1" applyBorder="1" applyProtection="1"/>
    <xf numFmtId="0" fontId="7" fillId="0" borderId="64" xfId="0" applyFont="1" applyFill="1" applyBorder="1" applyAlignment="1" applyProtection="1">
      <alignment horizontal="center" vertical="center" wrapText="1"/>
    </xf>
    <xf numFmtId="9" fontId="7" fillId="0" borderId="19" xfId="41" applyFont="1" applyFill="1" applyBorder="1" applyAlignment="1" applyProtection="1">
      <alignment horizontal="center" vertical="top" wrapText="1"/>
    </xf>
    <xf numFmtId="9" fontId="7" fillId="0" borderId="33" xfId="41" applyFont="1" applyFill="1" applyBorder="1" applyAlignment="1" applyProtection="1">
      <alignment horizontal="center" vertical="top" wrapText="1"/>
    </xf>
    <xf numFmtId="0" fontId="7" fillId="0" borderId="11" xfId="0" applyFont="1" applyFill="1" applyBorder="1" applyAlignment="1" applyProtection="1">
      <alignment horizontal="center" vertical="center" wrapText="1"/>
    </xf>
    <xf numFmtId="9" fontId="7" fillId="0" borderId="20" xfId="41" applyFont="1" applyFill="1" applyBorder="1" applyAlignment="1" applyProtection="1">
      <alignment horizontal="center" vertical="center" wrapText="1"/>
    </xf>
    <xf numFmtId="9" fontId="7" fillId="0" borderId="20" xfId="41" applyFont="1" applyFill="1" applyBorder="1" applyAlignment="1" applyProtection="1">
      <alignment horizontal="center" vertical="top" wrapText="1"/>
    </xf>
    <xf numFmtId="0" fontId="7" fillId="0" borderId="55" xfId="0" applyFont="1" applyFill="1" applyBorder="1" applyAlignment="1" applyProtection="1">
      <alignment horizontal="left" wrapText="1"/>
    </xf>
    <xf numFmtId="0" fontId="6" fillId="0" borderId="56" xfId="0" applyFont="1" applyBorder="1" applyAlignment="1" applyProtection="1">
      <alignment horizontal="center" wrapText="1"/>
    </xf>
    <xf numFmtId="9" fontId="7" fillId="0" borderId="57" xfId="41" applyFont="1" applyFill="1" applyBorder="1" applyAlignment="1" applyProtection="1">
      <alignment horizontal="center" vertical="top" wrapText="1"/>
    </xf>
    <xf numFmtId="0" fontId="6" fillId="25" borderId="66" xfId="0" applyFont="1" applyFill="1" applyBorder="1" applyProtection="1"/>
    <xf numFmtId="0" fontId="6" fillId="0" borderId="30" xfId="0" applyFont="1" applyFill="1" applyBorder="1" applyAlignment="1" applyProtection="1">
      <alignment horizontal="center"/>
    </xf>
    <xf numFmtId="169" fontId="6" fillId="25" borderId="29" xfId="0" applyNumberFormat="1" applyFont="1" applyFill="1" applyBorder="1" applyAlignment="1" applyProtection="1">
      <alignment horizontal="center"/>
    </xf>
    <xf numFmtId="172" fontId="6" fillId="25" borderId="48" xfId="0" applyNumberFormat="1" applyFont="1" applyFill="1" applyBorder="1" applyProtection="1"/>
    <xf numFmtId="0" fontId="6" fillId="0" borderId="21" xfId="0" applyFont="1" applyFill="1" applyBorder="1" applyAlignment="1" applyProtection="1">
      <alignment horizontal="center"/>
    </xf>
    <xf numFmtId="169" fontId="6" fillId="25" borderId="20" xfId="0" applyNumberFormat="1" applyFont="1" applyFill="1" applyBorder="1" applyAlignment="1" applyProtection="1">
      <alignment horizontal="center"/>
    </xf>
    <xf numFmtId="0" fontId="6" fillId="0" borderId="24" xfId="0" applyFont="1" applyBorder="1" applyAlignment="1" applyProtection="1">
      <alignment horizontal="center"/>
    </xf>
    <xf numFmtId="0" fontId="6" fillId="29" borderId="23" xfId="0" applyFont="1" applyFill="1" applyBorder="1" applyAlignment="1" applyProtection="1">
      <alignment horizontal="center"/>
    </xf>
    <xf numFmtId="0" fontId="3" fillId="28" borderId="75" xfId="0" applyFont="1" applyFill="1" applyBorder="1" applyAlignment="1">
      <alignment horizontal="center"/>
    </xf>
    <xf numFmtId="0" fontId="3" fillId="28" borderId="76" xfId="0" applyFont="1" applyFill="1" applyBorder="1" applyAlignment="1">
      <alignment horizontal="center"/>
    </xf>
    <xf numFmtId="0" fontId="3" fillId="28" borderId="17" xfId="0" applyFont="1" applyFill="1" applyBorder="1" applyAlignment="1">
      <alignment horizontal="center"/>
    </xf>
    <xf numFmtId="0" fontId="3" fillId="24" borderId="75" xfId="0" applyFont="1" applyFill="1" applyBorder="1" applyAlignment="1">
      <alignment horizontal="center"/>
    </xf>
    <xf numFmtId="0" fontId="3" fillId="24" borderId="17" xfId="0" applyFont="1" applyFill="1" applyBorder="1" applyAlignment="1">
      <alignment horizontal="center"/>
    </xf>
    <xf numFmtId="0" fontId="7" fillId="0" borderId="77"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10" fillId="0" borderId="0" xfId="0" quotePrefix="1" applyFont="1" applyBorder="1" applyAlignment="1" applyProtection="1">
      <alignment horizontal="left" wrapText="1"/>
    </xf>
    <xf numFmtId="0" fontId="36" fillId="0" borderId="37" xfId="0" applyFont="1" applyBorder="1" applyAlignment="1" applyProtection="1">
      <alignment horizontal="center" vertical="center" wrapText="1"/>
    </xf>
    <xf numFmtId="0" fontId="36" fillId="0" borderId="38" xfId="0" applyFont="1" applyBorder="1" applyAlignment="1" applyProtection="1">
      <alignment horizontal="center" vertical="center" wrapText="1"/>
    </xf>
    <xf numFmtId="9" fontId="7" fillId="0" borderId="29" xfId="41" applyFont="1" applyFill="1" applyBorder="1" applyAlignment="1" applyProtection="1">
      <alignment horizontal="center" vertical="center" wrapText="1"/>
    </xf>
    <xf numFmtId="9" fontId="7" fillId="0" borderId="57" xfId="41"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9" fontId="7" fillId="0" borderId="56" xfId="41"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6" fillId="0" borderId="21" xfId="0" applyFont="1" applyBorder="1" applyAlignment="1" applyProtection="1">
      <alignment horizontal="left" vertical="center" wrapText="1" indent="1"/>
    </xf>
    <xf numFmtId="0" fontId="6" fillId="0" borderId="56" xfId="0" applyFont="1" applyBorder="1" applyAlignment="1" applyProtection="1">
      <alignment horizontal="left" vertical="center" wrapText="1" indent="1"/>
    </xf>
    <xf numFmtId="0" fontId="6" fillId="0" borderId="30" xfId="0" applyFont="1" applyBorder="1" applyAlignment="1" applyProtection="1">
      <alignment horizontal="left" vertical="center" wrapText="1" indent="1"/>
    </xf>
    <xf numFmtId="0" fontId="7" fillId="0" borderId="64"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41"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59" xfId="0" applyFont="1" applyFill="1" applyBorder="1" applyAlignment="1" applyProtection="1">
      <alignment horizontal="center" vertical="top" wrapText="1"/>
    </xf>
    <xf numFmtId="0" fontId="7" fillId="0" borderId="72" xfId="0" applyFont="1" applyFill="1" applyBorder="1" applyAlignment="1" applyProtection="1">
      <alignment horizontal="center" vertical="top" wrapText="1"/>
    </xf>
    <xf numFmtId="0" fontId="7" fillId="0" borderId="1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36" fillId="0" borderId="56" xfId="0" applyFont="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10" fillId="0" borderId="0" xfId="0" applyNumberFormat="1" applyFont="1" applyBorder="1" applyAlignment="1" applyProtection="1">
      <alignment wrapText="1"/>
    </xf>
    <xf numFmtId="0" fontId="1" fillId="0" borderId="0" xfId="0" applyFont="1" applyAlignment="1" applyProtection="1">
      <alignment wrapText="1"/>
    </xf>
    <xf numFmtId="9" fontId="7" fillId="0" borderId="21" xfId="41" applyFont="1" applyFill="1" applyBorder="1" applyAlignment="1" applyProtection="1">
      <alignment horizontal="center" vertical="center" wrapText="1"/>
    </xf>
    <xf numFmtId="9" fontId="7" fillId="0" borderId="31" xfId="41" applyFont="1" applyFill="1" applyBorder="1" applyAlignment="1" applyProtection="1">
      <alignment horizontal="center" vertical="center" wrapText="1"/>
    </xf>
    <xf numFmtId="9" fontId="7" fillId="0" borderId="58" xfId="41"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33" xfId="0" applyFont="1" applyFill="1" applyBorder="1" applyAlignment="1" applyProtection="1">
      <alignment horizontal="center" vertical="top" wrapText="1"/>
    </xf>
    <xf numFmtId="0" fontId="7" fillId="0" borderId="20" xfId="0" applyFont="1" applyFill="1" applyBorder="1" applyAlignment="1" applyProtection="1">
      <alignment horizontal="center" vertical="top" wrapText="1"/>
    </xf>
    <xf numFmtId="0" fontId="7" fillId="0" borderId="57" xfId="0" applyFont="1" applyFill="1" applyBorder="1" applyAlignment="1" applyProtection="1">
      <alignment horizontal="center" vertical="top" wrapText="1"/>
    </xf>
    <xf numFmtId="0" fontId="7" fillId="0" borderId="41" xfId="0" applyFont="1" applyFill="1" applyBorder="1" applyAlignment="1" applyProtection="1">
      <alignment horizontal="center" vertical="top" wrapText="1"/>
    </xf>
    <xf numFmtId="0" fontId="7" fillId="0" borderId="42" xfId="0" applyFont="1" applyFill="1" applyBorder="1" applyAlignment="1" applyProtection="1">
      <alignment horizontal="center" vertical="top" wrapText="1"/>
    </xf>
    <xf numFmtId="0" fontId="7" fillId="0" borderId="61" xfId="0" applyFont="1" applyFill="1" applyBorder="1" applyAlignment="1" applyProtection="1">
      <alignment horizontal="center" vertical="top" wrapText="1"/>
    </xf>
    <xf numFmtId="0" fontId="7" fillId="0" borderId="21" xfId="0" applyFont="1" applyFill="1" applyBorder="1" applyAlignment="1" applyProtection="1">
      <alignment horizontal="center" vertical="center" wrapText="1"/>
    </xf>
    <xf numFmtId="0" fontId="17" fillId="25" borderId="79" xfId="0" applyFont="1" applyFill="1" applyBorder="1" applyAlignment="1" applyProtection="1">
      <alignment horizontal="left" vertical="top" wrapText="1"/>
      <protection locked="0"/>
    </xf>
    <xf numFmtId="0" fontId="17" fillId="30" borderId="79" xfId="46" applyFont="1" applyFill="1" applyBorder="1" applyAlignment="1" applyProtection="1">
      <alignment horizontal="left" vertical="top" wrapText="1"/>
      <protection locked="0"/>
    </xf>
    <xf numFmtId="172" fontId="41" fillId="25" borderId="21" xfId="0" applyNumberFormat="1" applyFont="1" applyFill="1" applyBorder="1"/>
    <xf numFmtId="172" fontId="41" fillId="25" borderId="20" xfId="0" applyNumberFormat="1" applyFont="1" applyFill="1" applyBorder="1"/>
    <xf numFmtId="172" fontId="41" fillId="25" borderId="42" xfId="0" applyNumberFormat="1" applyFont="1" applyFill="1" applyBorder="1"/>
    <xf numFmtId="172" fontId="41" fillId="25" borderId="36" xfId="0" applyNumberFormat="1" applyFont="1" applyFill="1" applyBorder="1"/>
    <xf numFmtId="172" fontId="41" fillId="25" borderId="35" xfId="0" applyNumberFormat="1" applyFont="1" applyFill="1" applyBorder="1"/>
    <xf numFmtId="172" fontId="41" fillId="25" borderId="47" xfId="0" applyNumberFormat="1" applyFont="1" applyFill="1" applyBorder="1"/>
    <xf numFmtId="43" fontId="0" fillId="0" borderId="0" xfId="0" applyNumberFormat="1" applyProtection="1"/>
    <xf numFmtId="2" fontId="6" fillId="0" borderId="21" xfId="0" applyNumberFormat="1" applyFont="1" applyBorder="1" applyProtection="1"/>
    <xf numFmtId="2" fontId="6" fillId="0" borderId="20" xfId="0" applyNumberFormat="1" applyFont="1" applyBorder="1" applyProtection="1"/>
    <xf numFmtId="2" fontId="6" fillId="0" borderId="31" xfId="0" applyNumberFormat="1" applyFont="1" applyBorder="1" applyProtection="1"/>
    <xf numFmtId="169" fontId="6" fillId="25" borderId="21" xfId="41" applyNumberFormat="1" applyFont="1" applyFill="1" applyBorder="1" applyAlignment="1" applyProtection="1">
      <alignment horizontal="center" vertical="top" wrapText="1"/>
    </xf>
    <xf numFmtId="169" fontId="6" fillId="25" borderId="20" xfId="41" applyNumberFormat="1" applyFont="1" applyFill="1" applyBorder="1" applyAlignment="1" applyProtection="1">
      <alignment horizontal="center" vertical="top" wrapText="1"/>
    </xf>
    <xf numFmtId="169" fontId="6" fillId="25" borderId="42" xfId="41" applyNumberFormat="1" applyFont="1" applyFill="1" applyBorder="1" applyAlignment="1" applyProtection="1">
      <alignment horizontal="center" vertical="top" wrapText="1"/>
    </xf>
    <xf numFmtId="0" fontId="7" fillId="0" borderId="22" xfId="0" applyFont="1" applyFill="1" applyBorder="1" applyAlignment="1" applyProtection="1">
      <alignment horizontal="center" vertical="center" wrapText="1"/>
    </xf>
    <xf numFmtId="172" fontId="7" fillId="0" borderId="31" xfId="0" applyNumberFormat="1" applyFont="1" applyBorder="1" applyAlignment="1" applyProtection="1">
      <alignment horizontal="center"/>
    </xf>
    <xf numFmtId="0" fontId="7" fillId="0" borderId="32" xfId="0" applyFont="1" applyFill="1" applyBorder="1" applyAlignment="1" applyProtection="1">
      <alignment horizontal="center" vertical="center" wrapText="1"/>
    </xf>
    <xf numFmtId="172" fontId="6" fillId="30" borderId="10" xfId="0" applyNumberFormat="1" applyFont="1" applyFill="1" applyBorder="1" applyProtection="1"/>
    <xf numFmtId="0" fontId="5" fillId="0" borderId="64" xfId="0" applyFont="1" applyFill="1" applyBorder="1" applyAlignment="1" applyProtection="1">
      <alignment horizontal="left"/>
    </xf>
    <xf numFmtId="0" fontId="6" fillId="0" borderId="18" xfId="0" applyFont="1" applyBorder="1" applyProtection="1"/>
    <xf numFmtId="0" fontId="7" fillId="0" borderId="11" xfId="0" applyFont="1" applyBorder="1" applyAlignment="1" applyProtection="1">
      <alignment horizontal="center" vertical="center"/>
    </xf>
    <xf numFmtId="0" fontId="7" fillId="0" borderId="24" xfId="0" applyNumberFormat="1" applyFont="1" applyBorder="1" applyProtection="1"/>
    <xf numFmtId="169" fontId="7" fillId="0" borderId="27" xfId="0" applyNumberFormat="1" applyFont="1" applyBorder="1" applyProtection="1"/>
    <xf numFmtId="169" fontId="7" fillId="0" borderId="63" xfId="0" applyNumberFormat="1" applyFont="1" applyBorder="1" applyProtection="1"/>
    <xf numFmtId="169" fontId="7" fillId="0" borderId="73" xfId="0" applyNumberFormat="1" applyFont="1" applyBorder="1" applyProtection="1"/>
    <xf numFmtId="172" fontId="7" fillId="0" borderId="27" xfId="0" applyNumberFormat="1" applyFont="1" applyBorder="1" applyProtection="1"/>
    <xf numFmtId="172" fontId="7" fillId="0" borderId="32" xfId="0" applyNumberFormat="1" applyFont="1" applyBorder="1" applyProtection="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5" xr:uid="{00000000-0005-0000-0000-000026000000}"/>
    <cellStyle name="Normal 6 2 2 2" xfId="46" xr:uid="{1B4EEC62-F1A2-4B05-B572-E32FFD7BFA85}"/>
    <cellStyle name="Normal_Final cover - LG Reporting" xfId="38" xr:uid="{00000000-0005-0000-0000-00002700000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Lines="6" dropStyle="combo" dx="22" fmlaLink="$X$33" fmlaRange="$X$17:$X$26" noThreeD="1" sel="9" val="4"/>
</file>

<file path=xl/ctrlProps/ctrlProp3.xml><?xml version="1.0" encoding="utf-8"?>
<formControlPr xmlns="http://schemas.microsoft.com/office/spreadsheetml/2009/9/main" objectType="Drop" dropLines="10" dropStyle="combo" dx="22" fmlaLink="'Lookup and lists'!$B$27" fmlaRange="'Lookup and lists (2)'!$B$29:$B$286" noThreeD="1" sel="41" val="40"/>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8.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a16="http://schemas.microsoft.com/office/drawing/2014/main" id="{00000000-0008-0000-0000-000029640000}"/>
            </a:ext>
          </a:extLst>
        </xdr:cNvPr>
        <xdr:cNvGrpSpPr>
          <a:grpSpLocks/>
        </xdr:cNvGrpSpPr>
      </xdr:nvGrpSpPr>
      <xdr:grpSpPr bwMode="auto">
        <a:xfrm>
          <a:off x="0" y="9525"/>
          <a:ext cx="7911433" cy="6441792"/>
          <a:chOff x="0" y="1"/>
          <a:chExt cx="791" cy="672"/>
        </a:xfrm>
      </xdr:grpSpPr>
      <xdr:grpSp>
        <xdr:nvGrpSpPr>
          <xdr:cNvPr id="25644" name="Group 12">
            <a:extLst>
              <a:ext uri="{FF2B5EF4-FFF2-40B4-BE49-F238E27FC236}">
                <a16:creationId xmlns:a16="http://schemas.microsoft.com/office/drawing/2014/main"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a16="http://schemas.microsoft.com/office/drawing/2014/main"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a16="http://schemas.microsoft.com/office/drawing/2014/main"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a16="http://schemas.microsoft.com/office/drawing/2014/main"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a16="http://schemas.microsoft.com/office/drawing/2014/main"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a16="http://schemas.microsoft.com/office/drawing/2014/main"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a16="http://schemas.microsoft.com/office/drawing/2014/main"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a16="http://schemas.microsoft.com/office/drawing/2014/main"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a16="http://schemas.microsoft.com/office/drawing/2014/main"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a16="http://schemas.microsoft.com/office/drawing/2014/main"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a16="http://schemas.microsoft.com/office/drawing/2014/main"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a16="http://schemas.microsoft.com/office/drawing/2014/main"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a16="http://schemas.microsoft.com/office/drawing/2014/main"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138545</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a16="http://schemas.microsoft.com/office/drawing/2014/main" id="{00000000-0008-0000-0000-00001B0C0000}"/>
            </a:ext>
          </a:extLst>
        </xdr:cNvPr>
        <xdr:cNvSpPr txBox="1">
          <a:spLocks noChangeArrowheads="1"/>
        </xdr:cNvSpPr>
      </xdr:nvSpPr>
      <xdr:spPr bwMode="auto">
        <a:xfrm>
          <a:off x="6044045" y="1941195"/>
          <a:ext cx="1379061" cy="2151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106680</xdr:rowOff>
        </xdr:from>
        <xdr:to>
          <xdr:col>2</xdr:col>
          <xdr:colOff>1897380</xdr:colOff>
          <xdr:row>3</xdr:row>
          <xdr:rowOff>7620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a16="http://schemas.microsoft.com/office/drawing/2014/main" id="{00000000-0008-0000-03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a16="http://schemas.microsoft.com/office/drawing/2014/main" id="{00000000-0008-0000-03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00000000-0008-0000-03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a16="http://schemas.microsoft.com/office/drawing/2014/main" id="{00000000-0008-0000-03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a16="http://schemas.microsoft.com/office/drawing/2014/main" id="{00000000-0008-0000-03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a16="http://schemas.microsoft.com/office/drawing/2014/main" id="{00000000-0008-0000-03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a16="http://schemas.microsoft.com/office/drawing/2014/main" id="{00000000-0008-0000-03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a16="http://schemas.microsoft.com/office/drawing/2014/main" id="{00000000-0008-0000-03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a16="http://schemas.microsoft.com/office/drawing/2014/main" id="{00000000-0008-0000-03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a16="http://schemas.microsoft.com/office/drawing/2014/main" id="{00000000-0008-0000-03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editAs="oneCell">
    <xdr:from>
      <xdr:col>3</xdr:col>
      <xdr:colOff>469900</xdr:colOff>
      <xdr:row>8</xdr:row>
      <xdr:rowOff>25400</xdr:rowOff>
    </xdr:from>
    <xdr:to>
      <xdr:col>8</xdr:col>
      <xdr:colOff>0</xdr:colOff>
      <xdr:row>9</xdr:row>
      <xdr:rowOff>127000</xdr:rowOff>
    </xdr:to>
    <xdr:sp macro="" textlink="">
      <xdr:nvSpPr>
        <xdr:cNvPr id="5137" name="TextBox1" hidden="1">
          <a:extLst>
            <a:ext uri="{63B3BB69-23CF-44E3-9099-C40C66FF867C}">
              <a14:compatExt xmlns:a14="http://schemas.microsoft.com/office/drawing/2010/main"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236220</xdr:colOff>
          <xdr:row>19</xdr:row>
          <xdr:rowOff>30480</xdr:rowOff>
        </xdr:from>
        <xdr:to>
          <xdr:col>6</xdr:col>
          <xdr:colOff>495300</xdr:colOff>
          <xdr:row>20</xdr:row>
          <xdr:rowOff>45720</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a16="http://schemas.microsoft.com/office/drawing/2014/main" id="{00000000-0008-0000-0300-000015680000}"/>
                </a:ext>
              </a:extLst>
            </xdr:cNvPr>
            <xdr:cNvPicPr preferRelativeResize="0">
              <a:picLocks noChangeArrowheads="1" noChangeShapeType="1"/>
              <a:extLst>
                <a:ext uri="{84589F7E-364E-4C9E-8A38-B11213B215E9}">
                  <a14:cameraTool cellRange="FinYear" spid="_x0000_s26773"/>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215900</xdr:colOff>
      <xdr:row>10</xdr:row>
      <xdr:rowOff>127000</xdr:rowOff>
    </xdr:from>
    <xdr:to>
      <xdr:col>9</xdr:col>
      <xdr:colOff>368300</xdr:colOff>
      <xdr:row>12</xdr:row>
      <xdr:rowOff>63500</xdr:rowOff>
    </xdr:to>
    <xdr:sp macro="" textlink="">
      <xdr:nvSpPr>
        <xdr:cNvPr id="5142" name="TextBox3" hidden="1">
          <a:extLst>
            <a:ext uri="{63B3BB69-23CF-44E3-9099-C40C66FF867C}">
              <a14:compatExt xmlns:a14="http://schemas.microsoft.com/office/drawing/2010/main"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215900</xdr:colOff>
      <xdr:row>13</xdr:row>
      <xdr:rowOff>50800</xdr:rowOff>
    </xdr:from>
    <xdr:to>
      <xdr:col>7</xdr:col>
      <xdr:colOff>88900</xdr:colOff>
      <xdr:row>14</xdr:row>
      <xdr:rowOff>139700</xdr:rowOff>
    </xdr:to>
    <xdr:sp macro="" textlink="">
      <xdr:nvSpPr>
        <xdr:cNvPr id="5143" name="TextBox4" hidden="1">
          <a:extLst>
            <a:ext uri="{63B3BB69-23CF-44E3-9099-C40C66FF867C}">
              <a14:compatExt xmlns:a14="http://schemas.microsoft.com/office/drawing/2010/main"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241300</xdr:colOff>
      <xdr:row>15</xdr:row>
      <xdr:rowOff>127000</xdr:rowOff>
    </xdr:from>
    <xdr:to>
      <xdr:col>9</xdr:col>
      <xdr:colOff>406400</xdr:colOff>
      <xdr:row>17</xdr:row>
      <xdr:rowOff>63500</xdr:rowOff>
    </xdr:to>
    <xdr:sp macro="" textlink="">
      <xdr:nvSpPr>
        <xdr:cNvPr id="5144" name="TextBox5" hidden="1">
          <a:extLst>
            <a:ext uri="{63B3BB69-23CF-44E3-9099-C40C66FF867C}">
              <a14:compatExt xmlns:a14="http://schemas.microsoft.com/office/drawing/2010/main"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13</xdr:row>
      <xdr:rowOff>88900</xdr:rowOff>
    </xdr:from>
    <xdr:to>
      <xdr:col>10</xdr:col>
      <xdr:colOff>482600</xdr:colOff>
      <xdr:row>15</xdr:row>
      <xdr:rowOff>25400</xdr:rowOff>
    </xdr:to>
    <xdr:sp macro="" textlink="">
      <xdr:nvSpPr>
        <xdr:cNvPr id="5145" name="TextBox6" hidden="1">
          <a:extLst>
            <a:ext uri="{63B3BB69-23CF-44E3-9099-C40C66FF867C}">
              <a14:compatExt xmlns:a14="http://schemas.microsoft.com/office/drawing/2010/main"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596900</xdr:colOff>
      <xdr:row>34</xdr:row>
      <xdr:rowOff>101600</xdr:rowOff>
    </xdr:from>
    <xdr:to>
      <xdr:col>4</xdr:col>
      <xdr:colOff>88900</xdr:colOff>
      <xdr:row>36</xdr:row>
      <xdr:rowOff>25400</xdr:rowOff>
    </xdr:to>
    <xdr:sp macro="" textlink="">
      <xdr:nvSpPr>
        <xdr:cNvPr id="5146" name="ToggleReferenceColumns" hidden="1">
          <a:extLst>
            <a:ext uri="{63B3BB69-23CF-44E3-9099-C40C66FF867C}">
              <a14:compatExt xmlns:a14="http://schemas.microsoft.com/office/drawing/2010/main"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584200</xdr:colOff>
      <xdr:row>36</xdr:row>
      <xdr:rowOff>127000</xdr:rowOff>
    </xdr:from>
    <xdr:to>
      <xdr:col>4</xdr:col>
      <xdr:colOff>88900</xdr:colOff>
      <xdr:row>38</xdr:row>
      <xdr:rowOff>88900</xdr:rowOff>
    </xdr:to>
    <xdr:sp macro="" textlink="">
      <xdr:nvSpPr>
        <xdr:cNvPr id="5147" name="TogglePreAuditColums" hidden="1">
          <a:extLst>
            <a:ext uri="{63B3BB69-23CF-44E3-9099-C40C66FF867C}">
              <a14:compatExt xmlns:a14="http://schemas.microsoft.com/office/drawing/2010/main"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368300</xdr:colOff>
      <xdr:row>29</xdr:row>
      <xdr:rowOff>101600</xdr:rowOff>
    </xdr:from>
    <xdr:to>
      <xdr:col>3</xdr:col>
      <xdr:colOff>241300</xdr:colOff>
      <xdr:row>31</xdr:row>
      <xdr:rowOff>0</xdr:rowOff>
    </xdr:to>
    <xdr:sp macro="" textlink="">
      <xdr:nvSpPr>
        <xdr:cNvPr id="5148" name="ToggleHiddenColumns" hidden="1">
          <a:extLst>
            <a:ext uri="{63B3BB69-23CF-44E3-9099-C40C66FF867C}">
              <a14:compatExt xmlns:a14="http://schemas.microsoft.com/office/drawing/2010/main"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a16="http://schemas.microsoft.com/office/drawing/2014/main" id="{00000000-0008-0000-03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a16="http://schemas.microsoft.com/office/drawing/2014/main" id="{00000000-0008-0000-03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a16="http://schemas.microsoft.com/office/drawing/2014/main" id="{00000000-0008-0000-03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a16="http://schemas.microsoft.com/office/drawing/2014/main" id="{00000000-0008-0000-03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464820</xdr:colOff>
          <xdr:row>5</xdr:row>
          <xdr:rowOff>30480</xdr:rowOff>
        </xdr:from>
        <xdr:to>
          <xdr:col>7</xdr:col>
          <xdr:colOff>601980</xdr:colOff>
          <xdr:row>6</xdr:row>
          <xdr:rowOff>38100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596900</xdr:colOff>
      <xdr:row>34</xdr:row>
      <xdr:rowOff>101600</xdr:rowOff>
    </xdr:from>
    <xdr:to>
      <xdr:col>4</xdr:col>
      <xdr:colOff>88900</xdr:colOff>
      <xdr:row>36</xdr:row>
      <xdr:rowOff>25400</xdr:rowOff>
    </xdr:to>
    <xdr:pic>
      <xdr:nvPicPr>
        <xdr:cNvPr id="8" name="ToggleReferenceColumns">
          <a:extLst>
            <a:ext uri="{FF2B5EF4-FFF2-40B4-BE49-F238E27FC236}">
              <a16:creationId xmlns:a16="http://schemas.microsoft.com/office/drawing/2014/main" id="{00000000-0008-0000-0300-000008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900" y="5715000"/>
          <a:ext cx="2184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584200</xdr:colOff>
      <xdr:row>36</xdr:row>
      <xdr:rowOff>127000</xdr:rowOff>
    </xdr:from>
    <xdr:to>
      <xdr:col>4</xdr:col>
      <xdr:colOff>88900</xdr:colOff>
      <xdr:row>38</xdr:row>
      <xdr:rowOff>88900</xdr:rowOff>
    </xdr:to>
    <xdr:pic>
      <xdr:nvPicPr>
        <xdr:cNvPr id="9" name="TogglePreAuditColums">
          <a:extLst>
            <a:ext uri="{FF2B5EF4-FFF2-40B4-BE49-F238E27FC236}">
              <a16:creationId xmlns:a16="http://schemas.microsoft.com/office/drawing/2014/main" id="{00000000-0008-0000-0300-000009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4200" y="6070600"/>
          <a:ext cx="21971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543560</xdr:colOff>
      <xdr:row>42</xdr:row>
      <xdr:rowOff>71120</xdr:rowOff>
    </xdr:from>
    <xdr:to>
      <xdr:col>3</xdr:col>
      <xdr:colOff>416560</xdr:colOff>
      <xdr:row>43</xdr:row>
      <xdr:rowOff>137160</xdr:rowOff>
    </xdr:to>
    <xdr:pic>
      <xdr:nvPicPr>
        <xdr:cNvPr id="10" name="ToggleHiddenColumns">
          <a:extLst>
            <a:ext uri="{FF2B5EF4-FFF2-40B4-BE49-F238E27FC236}">
              <a16:creationId xmlns:a16="http://schemas.microsoft.com/office/drawing/2014/main" id="{00000000-0008-0000-0300-00000A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3560" y="7112000"/>
          <a:ext cx="1701800" cy="2336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198120</xdr:colOff>
          <xdr:row>10</xdr:row>
          <xdr:rowOff>121920</xdr:rowOff>
        </xdr:from>
        <xdr:to>
          <xdr:col>11</xdr:col>
          <xdr:colOff>441960</xdr:colOff>
          <xdr:row>12</xdr:row>
          <xdr:rowOff>83820</xdr:rowOff>
        </xdr:to>
        <xdr:sp macro="" textlink="">
          <xdr:nvSpPr>
            <xdr:cNvPr id="26755" name="TextBox2" hidden="1">
              <a:extLst>
                <a:ext uri="{63B3BB69-23CF-44E3-9099-C40C66FF867C}">
                  <a14:compatExt spid="_x0000_s26755"/>
                </a:ext>
                <a:ext uri="{FF2B5EF4-FFF2-40B4-BE49-F238E27FC236}">
                  <a16:creationId xmlns:a16="http://schemas.microsoft.com/office/drawing/2014/main" id="{00000000-0008-0000-0300-00008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13</xdr:row>
          <xdr:rowOff>45720</xdr:rowOff>
        </xdr:from>
        <xdr:to>
          <xdr:col>8</xdr:col>
          <xdr:colOff>99060</xdr:colOff>
          <xdr:row>14</xdr:row>
          <xdr:rowOff>106680</xdr:rowOff>
        </xdr:to>
        <xdr:sp macro="" textlink="">
          <xdr:nvSpPr>
            <xdr:cNvPr id="26756" name="TextBox3" hidden="1">
              <a:extLst>
                <a:ext uri="{63B3BB69-23CF-44E3-9099-C40C66FF867C}">
                  <a14:compatExt spid="_x0000_s26756"/>
                </a:ext>
                <a:ext uri="{FF2B5EF4-FFF2-40B4-BE49-F238E27FC236}">
                  <a16:creationId xmlns:a16="http://schemas.microsoft.com/office/drawing/2014/main" id="{00000000-0008-0000-0300-00008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13</xdr:row>
          <xdr:rowOff>38100</xdr:rowOff>
        </xdr:from>
        <xdr:to>
          <xdr:col>11</xdr:col>
          <xdr:colOff>525780</xdr:colOff>
          <xdr:row>14</xdr:row>
          <xdr:rowOff>121920</xdr:rowOff>
        </xdr:to>
        <xdr:sp macro="" textlink="">
          <xdr:nvSpPr>
            <xdr:cNvPr id="26757" name="TextBox4" hidden="1">
              <a:extLst>
                <a:ext uri="{63B3BB69-23CF-44E3-9099-C40C66FF867C}">
                  <a14:compatExt spid="_x0000_s26757"/>
                </a:ext>
                <a:ext uri="{FF2B5EF4-FFF2-40B4-BE49-F238E27FC236}">
                  <a16:creationId xmlns:a16="http://schemas.microsoft.com/office/drawing/2014/main" id="{00000000-0008-0000-0300-00008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xdr:row>
          <xdr:rowOff>144780</xdr:rowOff>
        </xdr:from>
        <xdr:to>
          <xdr:col>12</xdr:col>
          <xdr:colOff>83820</xdr:colOff>
          <xdr:row>17</xdr:row>
          <xdr:rowOff>60960</xdr:rowOff>
        </xdr:to>
        <xdr:sp macro="" textlink="">
          <xdr:nvSpPr>
            <xdr:cNvPr id="26758" name="TextBox5" hidden="1">
              <a:extLst>
                <a:ext uri="{63B3BB69-23CF-44E3-9099-C40C66FF867C}">
                  <a14:compatExt spid="_x0000_s26758"/>
                </a:ext>
                <a:ext uri="{FF2B5EF4-FFF2-40B4-BE49-F238E27FC236}">
                  <a16:creationId xmlns:a16="http://schemas.microsoft.com/office/drawing/2014/main" id="{00000000-0008-0000-0300-00008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83820</xdr:rowOff>
        </xdr:from>
        <xdr:to>
          <xdr:col>11</xdr:col>
          <xdr:colOff>457200</xdr:colOff>
          <xdr:row>9</xdr:row>
          <xdr:rowOff>106680</xdr:rowOff>
        </xdr:to>
        <xdr:sp macro="" textlink="">
          <xdr:nvSpPr>
            <xdr:cNvPr id="26764" name="Entityname" hidden="1">
              <a:extLst>
                <a:ext uri="{63B3BB69-23CF-44E3-9099-C40C66FF867C}">
                  <a14:compatExt spid="_x0000_s26764"/>
                </a:ext>
                <a:ext uri="{FF2B5EF4-FFF2-40B4-BE49-F238E27FC236}">
                  <a16:creationId xmlns:a16="http://schemas.microsoft.com/office/drawing/2014/main" id="{00000000-0008-0000-0300-00008C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antfiles\mscoa\Schedules%20to%20align%20to%20mSCOA\A1%20Schedule%20-%20mSCOA%20vs%206.2%20-%2025%20January%202018%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nam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sheetData sheetId="3">
        <row r="16">
          <cell r="AC16" t="str">
            <v>Spatial integration</v>
          </cell>
        </row>
      </sheetData>
      <sheetData sheetId="4">
        <row r="2">
          <cell r="A2" t="str">
            <v>Vote 1 - [NAME OF VOTE 1]</v>
          </cell>
        </row>
        <row r="3">
          <cell r="A3" t="str">
            <v>Vote 2 - [NAME OF VOTE 2]</v>
          </cell>
          <cell r="D3" t="str">
            <v>1.1 - [Name of sub-vote]</v>
          </cell>
        </row>
        <row r="4">
          <cell r="A4" t="str">
            <v>Vote 3 - [NAME OF VOTE 3]</v>
          </cell>
          <cell r="D4" t="str">
            <v>1.2 - [Name of sub-vote]</v>
          </cell>
        </row>
        <row r="5">
          <cell r="A5" t="str">
            <v>Vote 4 - [NAME OF VOTE 4]</v>
          </cell>
          <cell r="D5" t="str">
            <v>1.3 - [Name of sub-vote]</v>
          </cell>
        </row>
        <row r="6">
          <cell r="A6" t="str">
            <v>Vote 5 - [NAME OF VOTE 5]</v>
          </cell>
          <cell r="D6" t="str">
            <v>1.4 - [Name of sub-vote]</v>
          </cell>
        </row>
        <row r="7">
          <cell r="A7" t="str">
            <v>Vote 6 - [NAME OF VOTE 6]</v>
          </cell>
          <cell r="D7" t="str">
            <v>1.5 - [Name of sub-vote]</v>
          </cell>
        </row>
        <row r="8">
          <cell r="A8" t="str">
            <v>Vote 7 - [NAME OF VOTE 7]</v>
          </cell>
          <cell r="D8" t="str">
            <v>1.6 - [Name of sub-vote]</v>
          </cell>
        </row>
        <row r="9">
          <cell r="A9" t="str">
            <v>Vote 8 - [NAME OF VOTE 8]</v>
          </cell>
          <cell r="D9" t="str">
            <v>1.7 - [Name of sub-vote]</v>
          </cell>
        </row>
        <row r="10">
          <cell r="A10" t="str">
            <v>Vote 9 - [NAME OF VOTE 9]</v>
          </cell>
          <cell r="D10" t="str">
            <v>1.8 - [Name of sub-vote]</v>
          </cell>
        </row>
        <row r="11">
          <cell r="A11" t="str">
            <v>Vote 10 - [NAME OF VOTE 10]</v>
          </cell>
          <cell r="D11" t="str">
            <v>1.9 - [Name of sub-vote]</v>
          </cell>
        </row>
        <row r="12">
          <cell r="A12" t="str">
            <v>Vote 11 - [NAME OF VOTE 11]</v>
          </cell>
          <cell r="D12" t="str">
            <v>1.10 - [Name of sub-vote]</v>
          </cell>
        </row>
        <row r="13">
          <cell r="A13" t="str">
            <v>Vote 12 - [NAME OF VOTE 12]</v>
          </cell>
        </row>
        <row r="14">
          <cell r="A14" t="str">
            <v>Vote 13 - [NAME OF VOTE 13]</v>
          </cell>
          <cell r="D14" t="str">
            <v>2.1 - [Name of sub-vote]</v>
          </cell>
        </row>
        <row r="15">
          <cell r="A15" t="str">
            <v>Vote 14 - [NAME OF VOTE 14]</v>
          </cell>
          <cell r="D15" t="str">
            <v>2.2 - [Name of sub-vote]</v>
          </cell>
        </row>
        <row r="16">
          <cell r="A16" t="str">
            <v>Vote 15 - [NAME OF VOTE 15]</v>
          </cell>
          <cell r="D16" t="str">
            <v>2.3 - [Name of sub-vote]</v>
          </cell>
        </row>
        <row r="17">
          <cell r="D17" t="str">
            <v>2.4 - [Name of sub-vote]</v>
          </cell>
        </row>
        <row r="18">
          <cell r="D18" t="str">
            <v>2.5 - [Name of sub-vote]</v>
          </cell>
        </row>
        <row r="19">
          <cell r="D19" t="str">
            <v>2.6 - [Name of sub-vote]</v>
          </cell>
        </row>
        <row r="20">
          <cell r="D20" t="str">
            <v>2.7 - [Name of sub-vote]</v>
          </cell>
        </row>
        <row r="21">
          <cell r="D21" t="str">
            <v>2.8 - [Name of sub-vote]</v>
          </cell>
        </row>
        <row r="22">
          <cell r="D22" t="str">
            <v>2.9 - [Name of sub-vote]</v>
          </cell>
        </row>
        <row r="23">
          <cell r="D23" t="str">
            <v>2.10 - [Name of sub-vote]</v>
          </cell>
        </row>
        <row r="25">
          <cell r="D25" t="str">
            <v>3.1 - [Name of sub-vote]</v>
          </cell>
        </row>
        <row r="26">
          <cell r="D26" t="str">
            <v>3.2 - [Name of sub-vote]</v>
          </cell>
        </row>
        <row r="27">
          <cell r="D27" t="str">
            <v>3.3 - [Name of sub-vote]</v>
          </cell>
        </row>
        <row r="28">
          <cell r="D28" t="str">
            <v>3.4 - [Name of sub-vote]</v>
          </cell>
        </row>
        <row r="29">
          <cell r="D29" t="str">
            <v>3.5 - [Name of sub-vote]</v>
          </cell>
        </row>
        <row r="30">
          <cell r="D30" t="str">
            <v>3.6 - [Name of sub-vote]</v>
          </cell>
        </row>
        <row r="31">
          <cell r="D31" t="str">
            <v>3.7 - [Name of sub-vote]</v>
          </cell>
        </row>
        <row r="32">
          <cell r="D32" t="str">
            <v>3.8 - [Name of sub-vote]</v>
          </cell>
        </row>
        <row r="33">
          <cell r="D33" t="str">
            <v>3.9 - [Name of sub-vote]</v>
          </cell>
        </row>
        <row r="34">
          <cell r="D34" t="str">
            <v>3.10 - [Name of sub-vote]</v>
          </cell>
        </row>
        <row r="36">
          <cell r="D36" t="str">
            <v>4.1 - [Name of sub-vote]</v>
          </cell>
        </row>
        <row r="37">
          <cell r="D37" t="str">
            <v>4.2 - [Name of sub-vote]</v>
          </cell>
        </row>
        <row r="38">
          <cell r="D38" t="str">
            <v>4.3 - [Name of sub-vote]</v>
          </cell>
        </row>
        <row r="39">
          <cell r="D39" t="str">
            <v>4.4 - [Name of sub-vote]</v>
          </cell>
        </row>
        <row r="40">
          <cell r="D40" t="str">
            <v>4.5 - [Name of sub-vote]</v>
          </cell>
        </row>
        <row r="41">
          <cell r="D41" t="str">
            <v>4.6 - [Name of sub-vote]</v>
          </cell>
        </row>
        <row r="42">
          <cell r="D42" t="str">
            <v>4.7 - [Name of sub-vote]</v>
          </cell>
        </row>
        <row r="43">
          <cell r="D43" t="str">
            <v>4.8 - [Name of sub-vote]</v>
          </cell>
        </row>
        <row r="44">
          <cell r="D44" t="str">
            <v>4.9 - [Name of sub-vote]</v>
          </cell>
        </row>
        <row r="45">
          <cell r="D45" t="str">
            <v>4.10 - [Name of sub-vote]</v>
          </cell>
        </row>
        <row r="47">
          <cell r="D47" t="str">
            <v>5.1 - [Name of sub-vote]</v>
          </cell>
        </row>
        <row r="48">
          <cell r="D48" t="str">
            <v>5.2 - [Name of sub-vote]</v>
          </cell>
        </row>
        <row r="49">
          <cell r="D49" t="str">
            <v>5.3 - [Name of sub-vote]</v>
          </cell>
        </row>
        <row r="50">
          <cell r="D50" t="str">
            <v>5.4 - [Name of sub-vote]</v>
          </cell>
        </row>
        <row r="51">
          <cell r="D51" t="str">
            <v>5.5 - [Name of sub-vote]</v>
          </cell>
        </row>
        <row r="52">
          <cell r="D52" t="str">
            <v>5.6 - [Name of sub-vote]</v>
          </cell>
        </row>
        <row r="53">
          <cell r="D53" t="str">
            <v>5.7 - [Name of sub-vote]</v>
          </cell>
        </row>
        <row r="54">
          <cell r="D54" t="str">
            <v>5.8 - [Name of sub-vote]</v>
          </cell>
        </row>
        <row r="55">
          <cell r="D55" t="str">
            <v>5.9 - [Name of sub-vote]</v>
          </cell>
        </row>
        <row r="56">
          <cell r="D56" t="str">
            <v>5.10 - [Name of sub-vote]</v>
          </cell>
        </row>
        <row r="58">
          <cell r="D58" t="str">
            <v>6.1 - [Name of sub-vote]</v>
          </cell>
        </row>
        <row r="59">
          <cell r="D59" t="str">
            <v>6.2 - [Name of sub-vote]</v>
          </cell>
        </row>
        <row r="60">
          <cell r="D60" t="str">
            <v>6.3 - [Name of sub-vote]</v>
          </cell>
        </row>
        <row r="61">
          <cell r="D61" t="str">
            <v>6.4 - [Name of sub-vote]</v>
          </cell>
        </row>
        <row r="62">
          <cell r="D62" t="str">
            <v>6.5 - [Name of sub-vote]</v>
          </cell>
        </row>
        <row r="63">
          <cell r="D63" t="str">
            <v>6.6 - [Name of sub-vote]</v>
          </cell>
        </row>
        <row r="64">
          <cell r="D64" t="str">
            <v>6.7 - [Name of sub-vote]</v>
          </cell>
        </row>
        <row r="65">
          <cell r="D65" t="str">
            <v>6.8 - [Name of sub-vote]</v>
          </cell>
        </row>
        <row r="66">
          <cell r="D66" t="str">
            <v>6.9 - [Name of sub-vote]</v>
          </cell>
        </row>
        <row r="67">
          <cell r="D67" t="str">
            <v>6.10 - [Name of sub-vote]</v>
          </cell>
        </row>
        <row r="69">
          <cell r="D69" t="str">
            <v>7.1 - [Name of sub-vote]</v>
          </cell>
        </row>
        <row r="70">
          <cell r="D70" t="str">
            <v>7.2 - [Name of sub-vote]</v>
          </cell>
        </row>
        <row r="71">
          <cell r="D71" t="str">
            <v>7.3 - [Name of sub-vote]</v>
          </cell>
        </row>
        <row r="72">
          <cell r="D72" t="str">
            <v>7.4 - [Name of sub-vote]</v>
          </cell>
        </row>
        <row r="73">
          <cell r="D73" t="str">
            <v>7.5 - [Name of sub-vote]</v>
          </cell>
        </row>
        <row r="74">
          <cell r="D74" t="str">
            <v>7.6 - [Name of sub-vote]</v>
          </cell>
        </row>
        <row r="75">
          <cell r="D75" t="str">
            <v>7.7 - [Name of sub-vote]</v>
          </cell>
        </row>
        <row r="76">
          <cell r="D76" t="str">
            <v>7.8 - [Name of sub-vote]</v>
          </cell>
        </row>
        <row r="77">
          <cell r="D77" t="str">
            <v>7.9 - [Name of sub-vote]</v>
          </cell>
        </row>
        <row r="78">
          <cell r="D78" t="str">
            <v>7.10 - [Name of sub-vote]</v>
          </cell>
        </row>
        <row r="80">
          <cell r="D80" t="str">
            <v>8.1 - [Name of sub-vote]</v>
          </cell>
        </row>
        <row r="81">
          <cell r="D81" t="str">
            <v>8.2 - [Name of sub-vote]</v>
          </cell>
        </row>
        <row r="82">
          <cell r="D82" t="str">
            <v>8.3 - [Name of sub-vote]</v>
          </cell>
        </row>
        <row r="83">
          <cell r="D83" t="str">
            <v>8.4 - [Name of sub-vote]</v>
          </cell>
        </row>
        <row r="84">
          <cell r="D84" t="str">
            <v>8.5 - [Name of sub-vote]</v>
          </cell>
        </row>
        <row r="85">
          <cell r="D85" t="str">
            <v>8.6 - [Name of sub-vote]</v>
          </cell>
        </row>
        <row r="86">
          <cell r="D86" t="str">
            <v>8.7 - [Name of sub-vote]</v>
          </cell>
        </row>
        <row r="87">
          <cell r="D87" t="str">
            <v>8.8 - [Name of sub-vote]</v>
          </cell>
        </row>
        <row r="88">
          <cell r="D88" t="str">
            <v>8.9 - [Name of sub-vote]</v>
          </cell>
        </row>
        <row r="89">
          <cell r="D89" t="str">
            <v>8.10 - [Name of sub-vote]</v>
          </cell>
        </row>
        <row r="91">
          <cell r="D91" t="str">
            <v>9.1 - [Name of sub-vote]</v>
          </cell>
        </row>
        <row r="92">
          <cell r="D92" t="str">
            <v>9.2 - [Name of sub-vote]</v>
          </cell>
        </row>
        <row r="93">
          <cell r="D93" t="str">
            <v>9.3 - [Name of sub-vote]</v>
          </cell>
        </row>
        <row r="94">
          <cell r="D94" t="str">
            <v>9.4 - [Name of sub-vote]</v>
          </cell>
        </row>
        <row r="95">
          <cell r="D95" t="str">
            <v>9.5 - [Name of sub-vote]</v>
          </cell>
        </row>
        <row r="96">
          <cell r="D96" t="str">
            <v>9.6 - [Name of sub-vote]</v>
          </cell>
        </row>
        <row r="97">
          <cell r="D97" t="str">
            <v>9.7 - [Name of sub-vote]</v>
          </cell>
        </row>
        <row r="98">
          <cell r="D98" t="str">
            <v>9.8 - [Name of sub-vote]</v>
          </cell>
        </row>
        <row r="99">
          <cell r="D99" t="str">
            <v>9.9 - [Name of sub-vote]</v>
          </cell>
        </row>
        <row r="100">
          <cell r="D100" t="str">
            <v>9.10 - [Name of sub-vote]</v>
          </cell>
        </row>
        <row r="102">
          <cell r="D102" t="str">
            <v>10.1 - [Name of sub-vote]</v>
          </cell>
        </row>
        <row r="103">
          <cell r="D103" t="str">
            <v>10.2 - [Name of sub-vote]</v>
          </cell>
        </row>
        <row r="104">
          <cell r="D104" t="str">
            <v>10.3 - [Name of sub-vote]</v>
          </cell>
        </row>
        <row r="105">
          <cell r="D105" t="str">
            <v>10.4 - [Name of sub-vote]</v>
          </cell>
        </row>
        <row r="106">
          <cell r="D106" t="str">
            <v>10.5 - [Name of sub-vote]</v>
          </cell>
        </row>
        <row r="107">
          <cell r="D107" t="str">
            <v>10.6 - [Name of sub-vote]</v>
          </cell>
        </row>
        <row r="108">
          <cell r="D108" t="str">
            <v>10.7 - [Name of sub-vote]</v>
          </cell>
        </row>
        <row r="109">
          <cell r="D109" t="str">
            <v>10.8 - [Name of sub-vote]</v>
          </cell>
        </row>
        <row r="110">
          <cell r="D110" t="str">
            <v>10.9 - [Name of sub-vote]</v>
          </cell>
        </row>
        <row r="111">
          <cell r="D111" t="str">
            <v>10.10 - [Name of sub-vote]</v>
          </cell>
        </row>
        <row r="113">
          <cell r="D113" t="str">
            <v>11.1 - [Name of sub-vote]</v>
          </cell>
        </row>
        <row r="114">
          <cell r="D114" t="str">
            <v>11.2 - [Name of sub-vote]</v>
          </cell>
        </row>
        <row r="115">
          <cell r="D115" t="str">
            <v>11.3 - [Name of sub-vote]</v>
          </cell>
        </row>
        <row r="116">
          <cell r="D116" t="str">
            <v>11.4 - [Name of sub-vote]</v>
          </cell>
        </row>
        <row r="117">
          <cell r="D117" t="str">
            <v>11.5 - [Name of sub-vote]</v>
          </cell>
        </row>
        <row r="118">
          <cell r="D118" t="str">
            <v>11.6 - [Name of sub-vote]</v>
          </cell>
        </row>
        <row r="119">
          <cell r="D119" t="str">
            <v>11.7 - [Name of sub-vote]</v>
          </cell>
        </row>
        <row r="120">
          <cell r="D120" t="str">
            <v>11.8 - [Name of sub-vote]</v>
          </cell>
        </row>
        <row r="121">
          <cell r="D121" t="str">
            <v>11.9 - [Name of sub-vote]</v>
          </cell>
        </row>
        <row r="122">
          <cell r="D122" t="str">
            <v>11.10 - [Name of sub-vote]</v>
          </cell>
        </row>
        <row r="124">
          <cell r="D124" t="str">
            <v>12.1 - [Name of sub-vote]</v>
          </cell>
        </row>
        <row r="125">
          <cell r="D125" t="str">
            <v>12.2 - [Name of sub-vote]</v>
          </cell>
        </row>
        <row r="126">
          <cell r="D126" t="str">
            <v>12.3 - [Name of sub-vote]</v>
          </cell>
        </row>
        <row r="127">
          <cell r="D127" t="str">
            <v>12.4 - [Name of sub-vote]</v>
          </cell>
        </row>
        <row r="128">
          <cell r="D128" t="str">
            <v>12.5 - [Name of sub-vote]</v>
          </cell>
        </row>
        <row r="129">
          <cell r="D129" t="str">
            <v>12.6 - [Name of sub-vote]</v>
          </cell>
        </row>
        <row r="130">
          <cell r="D130" t="str">
            <v>12.7 - [Name of sub-vote]</v>
          </cell>
        </row>
        <row r="131">
          <cell r="D131" t="str">
            <v>12.8 - [Name of sub-vote]</v>
          </cell>
        </row>
        <row r="132">
          <cell r="D132" t="str">
            <v>12.9 - [Name of sub-vote]</v>
          </cell>
        </row>
        <row r="133">
          <cell r="D133" t="str">
            <v>12.10 - [Name of sub-vote]</v>
          </cell>
        </row>
        <row r="135">
          <cell r="D135" t="str">
            <v>13.1 - [Name of sub-vote]</v>
          </cell>
        </row>
        <row r="136">
          <cell r="D136" t="str">
            <v>13.2 - [Name of sub-vote]</v>
          </cell>
        </row>
        <row r="137">
          <cell r="D137" t="str">
            <v>13.3 - [Name of sub-vote]</v>
          </cell>
        </row>
        <row r="138">
          <cell r="D138" t="str">
            <v>13.4 - [Name of sub-vote]</v>
          </cell>
        </row>
        <row r="139">
          <cell r="D139" t="str">
            <v>13.5 - [Name of sub-vote]</v>
          </cell>
        </row>
        <row r="140">
          <cell r="D140" t="str">
            <v>13.6 - [Name of sub-vote]</v>
          </cell>
        </row>
        <row r="141">
          <cell r="D141" t="str">
            <v>13.7 - [Name of sub-vote]</v>
          </cell>
        </row>
        <row r="142">
          <cell r="D142" t="str">
            <v>13.8 - [Name of sub-vote]</v>
          </cell>
        </row>
        <row r="143">
          <cell r="D143" t="str">
            <v>13.9 - [Name of sub-vote]</v>
          </cell>
        </row>
        <row r="144">
          <cell r="D144" t="str">
            <v>13.10 - [Name of sub-vote]</v>
          </cell>
        </row>
        <row r="146">
          <cell r="D146" t="str">
            <v>14.1 - [Name of sub-vote]</v>
          </cell>
        </row>
        <row r="147">
          <cell r="D147" t="str">
            <v>14.2 - [Name of sub-vote]</v>
          </cell>
        </row>
        <row r="148">
          <cell r="D148" t="str">
            <v>14.3 - [Name of sub-vote]</v>
          </cell>
        </row>
        <row r="149">
          <cell r="D149" t="str">
            <v>14.4 - [Name of sub-vote]</v>
          </cell>
        </row>
        <row r="150">
          <cell r="D150" t="str">
            <v>14.5 - [Name of sub-vote]</v>
          </cell>
        </row>
        <row r="151">
          <cell r="D151" t="str">
            <v>14.6 - [Name of sub-vote]</v>
          </cell>
        </row>
        <row r="152">
          <cell r="D152" t="str">
            <v>14.7 - [Name of sub-vote]</v>
          </cell>
        </row>
        <row r="153">
          <cell r="D153" t="str">
            <v>14.8 - [Name of sub-vote]</v>
          </cell>
        </row>
        <row r="154">
          <cell r="D154" t="str">
            <v>14.9 - [Name of sub-vote]</v>
          </cell>
        </row>
        <row r="155">
          <cell r="D155" t="str">
            <v>14.10 - [Name of sub-vote]</v>
          </cell>
        </row>
        <row r="157">
          <cell r="D157" t="str">
            <v>15.1 - [Name of sub-vote]</v>
          </cell>
        </row>
        <row r="158">
          <cell r="D158" t="str">
            <v>15.2 - [Name of sub-vote]</v>
          </cell>
        </row>
        <row r="159">
          <cell r="D159" t="str">
            <v>15.3 - [Name of sub-vote]</v>
          </cell>
        </row>
        <row r="160">
          <cell r="D160" t="str">
            <v>15.4 - [Name of sub-vote]</v>
          </cell>
        </row>
        <row r="161">
          <cell r="D161" t="str">
            <v>15.5 - [Name of sub-vote]</v>
          </cell>
        </row>
        <row r="162">
          <cell r="D162" t="str">
            <v>15.6 - [Name of sub-vote]</v>
          </cell>
        </row>
        <row r="163">
          <cell r="D163" t="str">
            <v>15.7 - [Name of sub-vote]</v>
          </cell>
        </row>
        <row r="164">
          <cell r="D164" t="str">
            <v>15.8 - [Name of sub-vote]</v>
          </cell>
        </row>
        <row r="165">
          <cell r="D165" t="str">
            <v>15.9 - [Name of sub-vote]</v>
          </cell>
        </row>
        <row r="166">
          <cell r="D166" t="str">
            <v>15.10 - [Name of sub-vote]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3" Type="http://schemas.openxmlformats.org/officeDocument/2006/relationships/vmlDrawing" Target="../drawings/vmlDrawing2.vml"/><Relationship Id="rId7" Type="http://schemas.openxmlformats.org/officeDocument/2006/relationships/image" Target="../media/image10.emf"/><Relationship Id="rId12" Type="http://schemas.openxmlformats.org/officeDocument/2006/relationships/control" Target="../activeX/activeX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ctrlProp" Target="../ctrlProps/ctrlProp3.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6"/>
  </sheetPr>
  <dimension ref="A1"/>
  <sheetViews>
    <sheetView showGridLines="0" zoomScale="110" workbookViewId="0"/>
  </sheetViews>
  <sheetFormatPr defaultColWidth="8" defaultRowHeight="13.8" x14ac:dyDescent="0.3"/>
  <cols>
    <col min="1" max="16384" width="8" style="138"/>
  </cols>
  <sheetData>
    <row r="1" spans="1:1" x14ac:dyDescent="0.3">
      <c r="A1" s="138" t="str">
        <f>'Lookup and lists'!B28</f>
        <v>MAN Mangaung</v>
      </c>
    </row>
  </sheetData>
  <sheetProtection sheet="1" objects="1" scenarios="1"/>
  <phoneticPr fontId="18" type="noConversion"/>
  <pageMargins left="0.75" right="0.75" top="1" bottom="1" header="0.5" footer="0.5"/>
  <pageSetup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0">
    <tabColor indexed="40"/>
    <pageSetUpPr fitToPage="1"/>
  </sheetPr>
  <dimension ref="A1:N104"/>
  <sheetViews>
    <sheetView workbookViewId="0">
      <pane ySplit="1" topLeftCell="A58" activePane="bottomLeft" state="frozen"/>
      <selection activeCell="B76" sqref="B76"/>
      <selection pane="bottomLeft" activeCell="B76" sqref="B76"/>
    </sheetView>
  </sheetViews>
  <sheetFormatPr defaultColWidth="9.109375" defaultRowHeight="10.199999999999999" x14ac:dyDescent="0.2"/>
  <cols>
    <col min="1" max="1" width="10.6640625" style="6" customWidth="1"/>
    <col min="2" max="2" width="68.6640625" style="1" bestFit="1" customWidth="1"/>
    <col min="3" max="3" width="28.88671875" style="1" bestFit="1" customWidth="1"/>
    <col min="4" max="4" width="16.109375" style="1" customWidth="1"/>
    <col min="5" max="8" width="9.109375" style="6"/>
    <col min="9" max="16384" width="9.109375" style="1"/>
  </cols>
  <sheetData>
    <row r="1" spans="1:4" x14ac:dyDescent="0.2">
      <c r="A1" s="649" t="s">
        <v>158</v>
      </c>
      <c r="B1" s="650"/>
      <c r="C1" s="650"/>
      <c r="D1" s="651"/>
    </row>
    <row r="2" spans="1:4" x14ac:dyDescent="0.2">
      <c r="A2" s="10" t="s">
        <v>341</v>
      </c>
      <c r="B2" s="164" t="str">
        <f>HLOOKUP(MTREF,Headings,2)</f>
        <v>2019/20</v>
      </c>
      <c r="C2" s="165" t="s">
        <v>477</v>
      </c>
      <c r="D2" s="160"/>
    </row>
    <row r="3" spans="1:4" x14ac:dyDescent="0.2">
      <c r="A3" s="2" t="s">
        <v>110</v>
      </c>
      <c r="B3" s="166" t="str">
        <f>HLOOKUP(MTREF,Headings,3)</f>
        <v>2018/19</v>
      </c>
      <c r="C3" s="167" t="s">
        <v>478</v>
      </c>
      <c r="D3" s="161"/>
    </row>
    <row r="4" spans="1:4" x14ac:dyDescent="0.2">
      <c r="A4" s="2" t="s">
        <v>173</v>
      </c>
      <c r="B4" s="166" t="str">
        <f>HLOOKUP(MTREF,Headings,4)</f>
        <v>2017/18</v>
      </c>
      <c r="C4" s="167" t="s">
        <v>479</v>
      </c>
      <c r="D4" s="161"/>
    </row>
    <row r="5" spans="1:4" x14ac:dyDescent="0.2">
      <c r="A5" s="2" t="s">
        <v>358</v>
      </c>
      <c r="B5" s="167" t="str">
        <f>HLOOKUP(MTREF,Headings,5)</f>
        <v>Current Year 2020/21</v>
      </c>
      <c r="C5" s="167" t="s">
        <v>480</v>
      </c>
      <c r="D5" s="161"/>
    </row>
    <row r="6" spans="1:4" x14ac:dyDescent="0.2">
      <c r="A6" s="2" t="s">
        <v>197</v>
      </c>
      <c r="B6" s="166" t="str">
        <f>HLOOKUP(MTREF,Headings,6)</f>
        <v>2020/21</v>
      </c>
      <c r="C6" s="167" t="s">
        <v>480</v>
      </c>
      <c r="D6" s="161"/>
    </row>
    <row r="7" spans="1:4" x14ac:dyDescent="0.2">
      <c r="A7" s="2" t="s">
        <v>359</v>
      </c>
      <c r="B7" s="167" t="str">
        <f>HLOOKUP(MTREF,Headings,7)</f>
        <v>2021/22 Medium Term Revenue &amp; Expenditure Framework</v>
      </c>
      <c r="C7" s="167" t="s">
        <v>481</v>
      </c>
      <c r="D7" s="161"/>
    </row>
    <row r="8" spans="1:4" x14ac:dyDescent="0.2">
      <c r="A8" s="2" t="s">
        <v>408</v>
      </c>
      <c r="B8" s="4" t="s">
        <v>303</v>
      </c>
      <c r="C8" s="4"/>
      <c r="D8" s="8"/>
    </row>
    <row r="9" spans="1:4" x14ac:dyDescent="0.2">
      <c r="A9" s="2" t="s">
        <v>360</v>
      </c>
      <c r="B9" s="4" t="s">
        <v>129</v>
      </c>
      <c r="C9" s="4"/>
      <c r="D9" s="8"/>
    </row>
    <row r="10" spans="1:4" x14ac:dyDescent="0.2">
      <c r="A10" s="2" t="s">
        <v>361</v>
      </c>
      <c r="B10" s="4" t="s">
        <v>69</v>
      </c>
      <c r="C10" s="4"/>
      <c r="D10" s="8"/>
    </row>
    <row r="11" spans="1:4" x14ac:dyDescent="0.2">
      <c r="A11" s="2" t="s">
        <v>86</v>
      </c>
      <c r="B11" s="4" t="s">
        <v>87</v>
      </c>
      <c r="C11" s="4"/>
      <c r="D11" s="8"/>
    </row>
    <row r="12" spans="1:4" x14ac:dyDescent="0.2">
      <c r="A12" s="2" t="s">
        <v>403</v>
      </c>
      <c r="B12" s="4" t="s">
        <v>404</v>
      </c>
      <c r="C12" s="4"/>
      <c r="D12" s="8"/>
    </row>
    <row r="13" spans="1:4" x14ac:dyDescent="0.2">
      <c r="A13" s="2" t="s">
        <v>362</v>
      </c>
      <c r="B13" s="4" t="s">
        <v>134</v>
      </c>
      <c r="C13" s="4"/>
      <c r="D13" s="8"/>
    </row>
    <row r="14" spans="1:4" x14ac:dyDescent="0.2">
      <c r="A14" s="2" t="s">
        <v>363</v>
      </c>
      <c r="B14" s="4" t="s">
        <v>304</v>
      </c>
      <c r="C14" s="4"/>
      <c r="D14" s="8"/>
    </row>
    <row r="15" spans="1:4" x14ac:dyDescent="0.2">
      <c r="A15" s="2" t="s">
        <v>364</v>
      </c>
      <c r="B15" s="4" t="s">
        <v>305</v>
      </c>
      <c r="C15" s="4"/>
      <c r="D15" s="8"/>
    </row>
    <row r="16" spans="1:4" x14ac:dyDescent="0.2">
      <c r="A16" s="2" t="s">
        <v>365</v>
      </c>
      <c r="B16" s="167" t="str">
        <f>HLOOKUP(MTREF,Headings,8)</f>
        <v>Budget Year 2021/22</v>
      </c>
      <c r="C16" s="167" t="s">
        <v>482</v>
      </c>
      <c r="D16" s="13" t="s">
        <v>206</v>
      </c>
    </row>
    <row r="17" spans="1:4" x14ac:dyDescent="0.2">
      <c r="A17" s="2" t="s">
        <v>366</v>
      </c>
      <c r="B17" s="167" t="str">
        <f>HLOOKUP(MTREF,Headings,9)</f>
        <v>Budget Year +1 2022/23</v>
      </c>
      <c r="C17" s="167" t="s">
        <v>483</v>
      </c>
      <c r="D17" s="13" t="s">
        <v>207</v>
      </c>
    </row>
    <row r="18" spans="1:4" x14ac:dyDescent="0.2">
      <c r="A18" s="2" t="s">
        <v>368</v>
      </c>
      <c r="B18" s="167" t="str">
        <f>HLOOKUP(MTREF,Headings,10)</f>
        <v>Budget Year +2 2023/24</v>
      </c>
      <c r="C18" s="167" t="s">
        <v>484</v>
      </c>
      <c r="D18" s="13" t="s">
        <v>208</v>
      </c>
    </row>
    <row r="19" spans="1:4" x14ac:dyDescent="0.2">
      <c r="A19" s="2" t="s">
        <v>369</v>
      </c>
      <c r="B19" s="167" t="str">
        <f>HLOOKUP(MTREF,Headings,11)</f>
        <v>Forecast 2024/25</v>
      </c>
      <c r="C19" s="167" t="s">
        <v>485</v>
      </c>
      <c r="D19" s="13" t="s">
        <v>209</v>
      </c>
    </row>
    <row r="20" spans="1:4" x14ac:dyDescent="0.2">
      <c r="A20" s="2" t="s">
        <v>370</v>
      </c>
      <c r="B20" s="167" t="str">
        <f>HLOOKUP(MTREF,Headings,12)</f>
        <v>Forecast 2025/26</v>
      </c>
      <c r="C20" s="167" t="s">
        <v>486</v>
      </c>
      <c r="D20" s="13" t="s">
        <v>210</v>
      </c>
    </row>
    <row r="21" spans="1:4" x14ac:dyDescent="0.2">
      <c r="A21" s="2" t="s">
        <v>371</v>
      </c>
      <c r="B21" s="167" t="str">
        <f>HLOOKUP(MTREF,Headings,13)</f>
        <v>Forecast 2026/27</v>
      </c>
      <c r="C21" s="167" t="s">
        <v>486</v>
      </c>
      <c r="D21" s="13" t="s">
        <v>211</v>
      </c>
    </row>
    <row r="22" spans="1:4" x14ac:dyDescent="0.2">
      <c r="A22" s="2" t="s">
        <v>372</v>
      </c>
      <c r="B22" s="167" t="str">
        <f>HLOOKUP(MTREF,Headings,14)</f>
        <v>Forecast 2027/28</v>
      </c>
      <c r="C22" s="167" t="s">
        <v>486</v>
      </c>
      <c r="D22" s="13" t="s">
        <v>212</v>
      </c>
    </row>
    <row r="23" spans="1:4" x14ac:dyDescent="0.2">
      <c r="A23" s="2" t="s">
        <v>373</v>
      </c>
      <c r="B23" s="167" t="str">
        <f>HLOOKUP(MTREF,Headings,15)</f>
        <v>Forecast 2028/29</v>
      </c>
      <c r="C23" s="167" t="s">
        <v>486</v>
      </c>
      <c r="D23" s="13" t="s">
        <v>213</v>
      </c>
    </row>
    <row r="24" spans="1:4" x14ac:dyDescent="0.2">
      <c r="A24" s="2" t="s">
        <v>374</v>
      </c>
      <c r="B24" s="167" t="str">
        <f>HLOOKUP(MTREF,Headings,16)</f>
        <v>Forecast 2029/30</v>
      </c>
      <c r="C24" s="167" t="s">
        <v>486</v>
      </c>
      <c r="D24" s="13" t="s">
        <v>214</v>
      </c>
    </row>
    <row r="25" spans="1:4" x14ac:dyDescent="0.2">
      <c r="A25" s="2" t="s">
        <v>375</v>
      </c>
      <c r="B25" s="167" t="str">
        <f>HLOOKUP(MTREF,Headings,17)</f>
        <v>Forecast 2030/31</v>
      </c>
      <c r="C25" s="167" t="s">
        <v>486</v>
      </c>
      <c r="D25" s="13" t="s">
        <v>143</v>
      </c>
    </row>
    <row r="26" spans="1:4" x14ac:dyDescent="0.2">
      <c r="A26" s="2" t="s">
        <v>376</v>
      </c>
      <c r="B26" s="167" t="str">
        <f>HLOOKUP(MTREF,Headings,18)</f>
        <v>Forecast 2031/32</v>
      </c>
      <c r="C26" s="167" t="s">
        <v>486</v>
      </c>
      <c r="D26" s="13" t="s">
        <v>41</v>
      </c>
    </row>
    <row r="27" spans="1:4" x14ac:dyDescent="0.2">
      <c r="A27" s="2" t="s">
        <v>377</v>
      </c>
      <c r="B27" s="167" t="str">
        <f>HLOOKUP(MTREF,Headings,19)</f>
        <v>Forecast 2032/33</v>
      </c>
      <c r="C27" s="167" t="s">
        <v>486</v>
      </c>
      <c r="D27" s="13" t="s">
        <v>42</v>
      </c>
    </row>
    <row r="28" spans="1:4" x14ac:dyDescent="0.2">
      <c r="A28" s="2" t="s">
        <v>378</v>
      </c>
      <c r="B28" s="167" t="str">
        <f>HLOOKUP(MTREF,Headings,20)</f>
        <v>Forecast 2033/34</v>
      </c>
      <c r="C28" s="167" t="s">
        <v>486</v>
      </c>
      <c r="D28" s="13" t="s">
        <v>43</v>
      </c>
    </row>
    <row r="29" spans="1:4" x14ac:dyDescent="0.2">
      <c r="A29" s="2" t="s">
        <v>379</v>
      </c>
      <c r="B29" s="167" t="str">
        <f>HLOOKUP(MTREF,Headings,21)</f>
        <v>Forecast 2034/35</v>
      </c>
      <c r="C29" s="167" t="s">
        <v>486</v>
      </c>
      <c r="D29" s="13" t="s">
        <v>44</v>
      </c>
    </row>
    <row r="30" spans="1:4" x14ac:dyDescent="0.2">
      <c r="A30" s="2" t="s">
        <v>380</v>
      </c>
      <c r="B30" s="167" t="str">
        <f>HLOOKUP(MTREF,Headings,22)</f>
        <v>Forecast 2035/36</v>
      </c>
      <c r="C30" s="167" t="s">
        <v>486</v>
      </c>
      <c r="D30" s="13" t="s">
        <v>45</v>
      </c>
    </row>
    <row r="31" spans="1:4" x14ac:dyDescent="0.2">
      <c r="A31" s="2" t="s">
        <v>145</v>
      </c>
      <c r="B31" s="4" t="s">
        <v>188</v>
      </c>
      <c r="C31" s="4"/>
      <c r="D31" s="13" t="s">
        <v>146</v>
      </c>
    </row>
    <row r="32" spans="1:4" x14ac:dyDescent="0.2">
      <c r="A32" s="2" t="s">
        <v>83</v>
      </c>
      <c r="B32" s="4" t="s">
        <v>5</v>
      </c>
      <c r="C32" s="4"/>
      <c r="D32" s="13" t="s">
        <v>84</v>
      </c>
    </row>
    <row r="33" spans="1:4" x14ac:dyDescent="0.2">
      <c r="A33" s="2" t="s">
        <v>174</v>
      </c>
      <c r="B33" s="4" t="s">
        <v>175</v>
      </c>
      <c r="C33" s="4"/>
      <c r="D33" s="13" t="s">
        <v>176</v>
      </c>
    </row>
    <row r="34" spans="1:4" x14ac:dyDescent="0.2">
      <c r="A34" s="2" t="s">
        <v>177</v>
      </c>
      <c r="B34" s="4" t="s">
        <v>101</v>
      </c>
      <c r="C34" s="4"/>
      <c r="D34" s="13"/>
    </row>
    <row r="35" spans="1:4" x14ac:dyDescent="0.2">
      <c r="A35" s="2" t="s">
        <v>161</v>
      </c>
      <c r="B35" s="4" t="s">
        <v>162</v>
      </c>
      <c r="C35" s="4"/>
      <c r="D35" s="13"/>
    </row>
    <row r="36" spans="1:4" x14ac:dyDescent="0.2">
      <c r="A36" s="2" t="s">
        <v>98</v>
      </c>
      <c r="B36" s="4" t="s">
        <v>334</v>
      </c>
      <c r="C36" s="4"/>
      <c r="D36" s="13" t="s">
        <v>99</v>
      </c>
    </row>
    <row r="37" spans="1:4" x14ac:dyDescent="0.2">
      <c r="A37" s="2" t="s">
        <v>256</v>
      </c>
      <c r="B37" s="167" t="str">
        <f>HLOOKUP(MTREF,Headings,23)</f>
        <v>Annual target 2021/22</v>
      </c>
      <c r="C37" s="4"/>
      <c r="D37" s="13"/>
    </row>
    <row r="38" spans="1:4" x14ac:dyDescent="0.2">
      <c r="A38" s="2" t="s">
        <v>257</v>
      </c>
      <c r="B38" s="167" t="str">
        <f>HLOOKUP(MTREF,Headings,24)</f>
        <v>Revised target 2021/22</v>
      </c>
      <c r="C38" s="4"/>
      <c r="D38" s="13"/>
    </row>
    <row r="39" spans="1:4" x14ac:dyDescent="0.2">
      <c r="A39" s="2" t="s">
        <v>258</v>
      </c>
      <c r="B39" s="4" t="s">
        <v>72</v>
      </c>
      <c r="C39" s="4"/>
      <c r="D39" s="13"/>
    </row>
    <row r="40" spans="1:4" x14ac:dyDescent="0.2">
      <c r="A40" s="2" t="s">
        <v>259</v>
      </c>
      <c r="B40" s="4" t="s">
        <v>136</v>
      </c>
      <c r="C40" s="4"/>
      <c r="D40" s="13"/>
    </row>
    <row r="41" spans="1:4" x14ac:dyDescent="0.2">
      <c r="A41" s="2" t="s">
        <v>260</v>
      </c>
      <c r="B41" s="4" t="s">
        <v>137</v>
      </c>
      <c r="C41" s="4"/>
      <c r="D41" s="13"/>
    </row>
    <row r="42" spans="1:4" x14ac:dyDescent="0.2">
      <c r="A42" s="2" t="s">
        <v>261</v>
      </c>
      <c r="B42" s="4" t="s">
        <v>70</v>
      </c>
      <c r="C42" s="4"/>
      <c r="D42" s="13"/>
    </row>
    <row r="43" spans="1:4" x14ac:dyDescent="0.2">
      <c r="A43" s="2" t="s">
        <v>71</v>
      </c>
      <c r="B43" s="4" t="s">
        <v>115</v>
      </c>
      <c r="C43" s="4"/>
      <c r="D43" s="13"/>
    </row>
    <row r="44" spans="1:4" x14ac:dyDescent="0.2">
      <c r="A44" s="2" t="s">
        <v>236</v>
      </c>
      <c r="B44" s="4" t="s">
        <v>189</v>
      </c>
      <c r="C44" s="4"/>
      <c r="D44" s="13"/>
    </row>
    <row r="45" spans="1:4" x14ac:dyDescent="0.2">
      <c r="A45" s="2" t="s">
        <v>237</v>
      </c>
      <c r="B45" s="4" t="s">
        <v>190</v>
      </c>
      <c r="C45" s="4"/>
      <c r="D45" s="13"/>
    </row>
    <row r="46" spans="1:4" x14ac:dyDescent="0.2">
      <c r="A46" s="2" t="s">
        <v>238</v>
      </c>
      <c r="B46" s="4" t="s">
        <v>243</v>
      </c>
      <c r="C46" s="4"/>
      <c r="D46" s="13"/>
    </row>
    <row r="47" spans="1:4" x14ac:dyDescent="0.2">
      <c r="A47" s="2" t="s">
        <v>242</v>
      </c>
      <c r="B47" s="4" t="s">
        <v>225</v>
      </c>
      <c r="C47" s="4"/>
      <c r="D47" s="13"/>
    </row>
    <row r="48" spans="1:4" x14ac:dyDescent="0.2">
      <c r="A48" s="2" t="s">
        <v>57</v>
      </c>
      <c r="B48" s="7" t="s">
        <v>226</v>
      </c>
      <c r="C48" s="4"/>
      <c r="D48" s="13"/>
    </row>
    <row r="49" spans="1:4" x14ac:dyDescent="0.2">
      <c r="A49" s="2" t="s">
        <v>58</v>
      </c>
      <c r="B49" s="7" t="s">
        <v>272</v>
      </c>
      <c r="C49" s="4"/>
      <c r="D49" s="13"/>
    </row>
    <row r="50" spans="1:4" x14ac:dyDescent="0.2">
      <c r="A50" s="2" t="s">
        <v>59</v>
      </c>
      <c r="B50" s="7" t="s">
        <v>38</v>
      </c>
      <c r="C50" s="4"/>
      <c r="D50" s="13"/>
    </row>
    <row r="51" spans="1:4" x14ac:dyDescent="0.2">
      <c r="A51" s="2" t="s">
        <v>271</v>
      </c>
      <c r="B51" s="7" t="str">
        <f>Head3&amp;" Summary"</f>
        <v>2021/22 Medium Term Revenue &amp; Expenditure Framework Summary</v>
      </c>
      <c r="C51" s="4"/>
      <c r="D51" s="13"/>
    </row>
    <row r="52" spans="1:4" x14ac:dyDescent="0.2">
      <c r="A52" s="2" t="s">
        <v>138</v>
      </c>
      <c r="B52" s="7" t="s">
        <v>141</v>
      </c>
      <c r="C52" s="4"/>
      <c r="D52" s="13"/>
    </row>
    <row r="53" spans="1:4" x14ac:dyDescent="0.2">
      <c r="A53" s="2" t="s">
        <v>139</v>
      </c>
      <c r="B53" s="7" t="s">
        <v>140</v>
      </c>
      <c r="C53" s="4"/>
      <c r="D53" s="13"/>
    </row>
    <row r="54" spans="1:4" x14ac:dyDescent="0.2">
      <c r="A54" s="2" t="s">
        <v>355</v>
      </c>
      <c r="B54" s="15" t="s">
        <v>29</v>
      </c>
      <c r="C54" s="16"/>
      <c r="D54" s="13"/>
    </row>
    <row r="55" spans="1:4" x14ac:dyDescent="0.2">
      <c r="A55" s="2" t="s">
        <v>160</v>
      </c>
      <c r="B55" s="7" t="s">
        <v>148</v>
      </c>
      <c r="C55" s="4"/>
      <c r="D55" s="13"/>
    </row>
    <row r="56" spans="1:4" x14ac:dyDescent="0.2">
      <c r="A56" s="2" t="s">
        <v>105</v>
      </c>
      <c r="B56" s="7" t="s">
        <v>7</v>
      </c>
      <c r="C56" s="4"/>
      <c r="D56" s="13"/>
    </row>
    <row r="57" spans="1:4" x14ac:dyDescent="0.2">
      <c r="A57" s="2" t="s">
        <v>152</v>
      </c>
      <c r="B57" s="7" t="s">
        <v>154</v>
      </c>
      <c r="C57" s="4"/>
      <c r="D57" s="13"/>
    </row>
    <row r="58" spans="1:4" x14ac:dyDescent="0.2">
      <c r="A58" s="2" t="s">
        <v>153</v>
      </c>
      <c r="B58" s="7" t="s">
        <v>299</v>
      </c>
      <c r="C58" s="4"/>
      <c r="D58" s="13"/>
    </row>
    <row r="59" spans="1:4" x14ac:dyDescent="0.2">
      <c r="A59" s="2" t="s">
        <v>294</v>
      </c>
      <c r="B59" s="7" t="s">
        <v>298</v>
      </c>
      <c r="C59" s="4"/>
      <c r="D59" s="13"/>
    </row>
    <row r="60" spans="1:4" x14ac:dyDescent="0.2">
      <c r="A60" s="2" t="s">
        <v>295</v>
      </c>
      <c r="B60" s="7" t="s">
        <v>27</v>
      </c>
      <c r="C60" s="4"/>
      <c r="D60" s="13"/>
    </row>
    <row r="61" spans="1:4" x14ac:dyDescent="0.2">
      <c r="A61" s="2" t="s">
        <v>296</v>
      </c>
      <c r="B61" s="7" t="s">
        <v>300</v>
      </c>
      <c r="C61" s="4"/>
      <c r="D61" s="13"/>
    </row>
    <row r="62" spans="1:4" x14ac:dyDescent="0.2">
      <c r="A62" s="2" t="s">
        <v>297</v>
      </c>
      <c r="B62" s="7" t="s">
        <v>400</v>
      </c>
      <c r="C62" s="4"/>
      <c r="D62" s="13"/>
    </row>
    <row r="63" spans="1:4" x14ac:dyDescent="0.2">
      <c r="A63" s="2" t="s">
        <v>179</v>
      </c>
      <c r="B63" s="7" t="s">
        <v>26</v>
      </c>
      <c r="C63" s="4"/>
      <c r="D63" s="13"/>
    </row>
    <row r="64" spans="1:4" x14ac:dyDescent="0.2">
      <c r="A64" s="2" t="s">
        <v>279</v>
      </c>
      <c r="B64" s="7" t="s">
        <v>280</v>
      </c>
      <c r="C64" s="4"/>
      <c r="D64" s="13"/>
    </row>
    <row r="65" spans="1:14" x14ac:dyDescent="0.2">
      <c r="A65" s="2" t="s">
        <v>223</v>
      </c>
      <c r="B65" s="7" t="s">
        <v>224</v>
      </c>
      <c r="C65" s="4"/>
      <c r="D65" s="13"/>
    </row>
    <row r="66" spans="1:14" x14ac:dyDescent="0.2">
      <c r="A66" s="2" t="s">
        <v>405</v>
      </c>
      <c r="B66" s="7" t="s">
        <v>406</v>
      </c>
      <c r="C66" s="4"/>
      <c r="D66" s="13"/>
    </row>
    <row r="67" spans="1:14" x14ac:dyDescent="0.2">
      <c r="A67" s="2" t="s">
        <v>407</v>
      </c>
      <c r="B67" s="7" t="s">
        <v>147</v>
      </c>
      <c r="C67" s="4"/>
      <c r="D67" s="13"/>
    </row>
    <row r="68" spans="1:14" x14ac:dyDescent="0.2">
      <c r="A68" s="2" t="s">
        <v>318</v>
      </c>
      <c r="B68" s="7" t="s">
        <v>316</v>
      </c>
      <c r="C68" s="4"/>
      <c r="D68" s="13"/>
    </row>
    <row r="69" spans="1:14" x14ac:dyDescent="0.2">
      <c r="A69" s="2" t="s">
        <v>319</v>
      </c>
      <c r="B69" s="7" t="s">
        <v>317</v>
      </c>
      <c r="C69" s="4"/>
      <c r="D69" s="13"/>
    </row>
    <row r="70" spans="1:14" x14ac:dyDescent="0.2">
      <c r="A70" s="2" t="s">
        <v>320</v>
      </c>
      <c r="B70" s="7" t="s">
        <v>322</v>
      </c>
      <c r="C70" s="4"/>
      <c r="D70" s="13"/>
    </row>
    <row r="71" spans="1:14" x14ac:dyDescent="0.2">
      <c r="A71" s="2" t="s">
        <v>321</v>
      </c>
      <c r="B71" s="7" t="s">
        <v>169</v>
      </c>
      <c r="C71" s="4"/>
      <c r="D71" s="13"/>
    </row>
    <row r="72" spans="1:14" x14ac:dyDescent="0.2">
      <c r="A72" s="2" t="s">
        <v>170</v>
      </c>
      <c r="B72" s="7" t="s">
        <v>198</v>
      </c>
      <c r="C72" s="4"/>
      <c r="D72" s="13"/>
    </row>
    <row r="73" spans="1:14" x14ac:dyDescent="0.2">
      <c r="A73" s="2" t="s">
        <v>171</v>
      </c>
      <c r="B73" s="7" t="s">
        <v>199</v>
      </c>
      <c r="C73" s="4"/>
      <c r="D73" s="13"/>
    </row>
    <row r="74" spans="1:14" x14ac:dyDescent="0.2">
      <c r="A74" s="2" t="s">
        <v>201</v>
      </c>
      <c r="B74" s="7" t="s">
        <v>200</v>
      </c>
      <c r="C74" s="4"/>
      <c r="D74" s="13"/>
    </row>
    <row r="75" spans="1:14" ht="13.2" x14ac:dyDescent="0.25">
      <c r="A75" s="649" t="s">
        <v>245</v>
      </c>
      <c r="B75" s="650"/>
      <c r="C75" s="650"/>
      <c r="D75" s="651"/>
      <c r="E75"/>
      <c r="F75"/>
      <c r="G75"/>
      <c r="H75"/>
      <c r="I75"/>
      <c r="J75"/>
      <c r="K75"/>
      <c r="L75"/>
      <c r="M75"/>
      <c r="N75"/>
    </row>
    <row r="76" spans="1:14" ht="13.2" x14ac:dyDescent="0.25">
      <c r="A76" s="52" t="s">
        <v>172</v>
      </c>
      <c r="B76" s="50" t="s">
        <v>1167</v>
      </c>
      <c r="C76" s="50"/>
      <c r="D76" s="18"/>
      <c r="E76"/>
      <c r="F76"/>
      <c r="G76"/>
      <c r="H76"/>
      <c r="I76"/>
      <c r="J76"/>
      <c r="K76"/>
      <c r="L76"/>
      <c r="M76"/>
      <c r="N76"/>
    </row>
    <row r="77" spans="1:14" ht="13.2" x14ac:dyDescent="0.25">
      <c r="A77" s="12" t="s">
        <v>54</v>
      </c>
      <c r="B77" s="53"/>
      <c r="C77" s="53"/>
      <c r="D77" s="14"/>
      <c r="E77"/>
      <c r="F77"/>
      <c r="G77"/>
      <c r="H77"/>
      <c r="I77"/>
      <c r="J77"/>
      <c r="K77"/>
      <c r="L77"/>
      <c r="M77"/>
      <c r="N77"/>
    </row>
    <row r="78" spans="1:14" x14ac:dyDescent="0.2">
      <c r="A78" s="652" t="s">
        <v>166</v>
      </c>
      <c r="B78" s="653"/>
      <c r="C78" s="17"/>
      <c r="D78" s="17" t="s">
        <v>415</v>
      </c>
    </row>
    <row r="79" spans="1:14" x14ac:dyDescent="0.2">
      <c r="A79" s="11"/>
      <c r="B79" s="5" t="s">
        <v>241</v>
      </c>
      <c r="C79" s="5"/>
      <c r="D79" s="13"/>
    </row>
    <row r="80" spans="1:14" x14ac:dyDescent="0.2">
      <c r="A80" s="49" t="s">
        <v>181</v>
      </c>
      <c r="B80" s="50" t="str">
        <f>entity&amp;" - "&amp;D80&amp;"Budget Summary"</f>
        <v>Centlec (Soc) Ltd - Table D1 Budget Summary</v>
      </c>
      <c r="C80" s="50"/>
      <c r="D80" s="18" t="s">
        <v>488</v>
      </c>
    </row>
    <row r="81" spans="1:4" x14ac:dyDescent="0.2">
      <c r="A81" s="11" t="s">
        <v>191</v>
      </c>
      <c r="B81" s="4" t="str">
        <f>entity&amp;" - "&amp;D81&amp;"Budgeted Financial Performance (revenue and expenditure)"</f>
        <v>Centlec (Soc) Ltd - Table D2 Budgeted Financial Performance (revenue and expenditure)</v>
      </c>
      <c r="C81" s="4"/>
      <c r="D81" s="13" t="s">
        <v>489</v>
      </c>
    </row>
    <row r="82" spans="1:4" x14ac:dyDescent="0.2">
      <c r="A82" s="11" t="s">
        <v>410</v>
      </c>
      <c r="B82" s="4" t="s">
        <v>414</v>
      </c>
      <c r="C82" s="4"/>
      <c r="D82" s="13"/>
    </row>
    <row r="83" spans="1:4" x14ac:dyDescent="0.2">
      <c r="A83" s="11" t="s">
        <v>192</v>
      </c>
      <c r="B83" s="4" t="str">
        <f>entity&amp;" - "&amp;D83&amp;"Capital Budget by asset class and funding"</f>
        <v>Centlec (Soc) Ltd - Table D3 Capital Budget by asset class and funding</v>
      </c>
      <c r="C83" s="4"/>
      <c r="D83" s="13" t="s">
        <v>490</v>
      </c>
    </row>
    <row r="84" spans="1:4" x14ac:dyDescent="0.2">
      <c r="A84" s="11" t="s">
        <v>193</v>
      </c>
      <c r="B84" s="4" t="str">
        <f>entity&amp;" - "&amp;D84&amp; "Budgeted Financial Position"</f>
        <v>Centlec (Soc) Ltd - Table D4 Budgeted Financial Position</v>
      </c>
      <c r="C84" s="4"/>
      <c r="D84" s="13" t="s">
        <v>491</v>
      </c>
    </row>
    <row r="85" spans="1:4" x14ac:dyDescent="0.2">
      <c r="A85" s="12" t="s">
        <v>194</v>
      </c>
      <c r="B85" s="9" t="str">
        <f>entity&amp;" - "&amp;D85&amp; "Budgeted Cash Flow"</f>
        <v>Centlec (Soc) Ltd - Table D5 Budgeted Cash Flow</v>
      </c>
      <c r="C85" s="9"/>
      <c r="D85" s="14" t="s">
        <v>492</v>
      </c>
    </row>
    <row r="86" spans="1:4" x14ac:dyDescent="0.2">
      <c r="A86" s="11" t="s">
        <v>196</v>
      </c>
      <c r="B86" s="4" t="str">
        <f>entity&amp;" - "&amp;D86&amp;"Measurable performance targets"</f>
        <v>Centlec (Soc) Ltd - Supporting Table SD1 Measurable performance targets</v>
      </c>
      <c r="C86" s="4"/>
      <c r="D86" s="13" t="s">
        <v>544</v>
      </c>
    </row>
    <row r="87" spans="1:4" x14ac:dyDescent="0.2">
      <c r="A87" s="11" t="s">
        <v>219</v>
      </c>
      <c r="B87" s="4" t="str">
        <f>entity&amp;" - "&amp;D87&amp; " Financial and non-financial indicators"</f>
        <v>Centlec (Soc) Ltd - Supporting Table SD2 Financial and non-financial indicators</v>
      </c>
      <c r="C87" s="4"/>
      <c r="D87" s="13" t="s">
        <v>545</v>
      </c>
    </row>
    <row r="88" spans="1:4" x14ac:dyDescent="0.2">
      <c r="A88" s="11" t="s">
        <v>195</v>
      </c>
      <c r="B88" s="4" t="str">
        <f>entity&amp;" - "&amp;D88&amp;" Budgeted Investment Portfolio"</f>
        <v>Centlec (Soc) Ltd - Supporting Table SD3 Budgeted Investment Portfolio</v>
      </c>
      <c r="C88" s="4"/>
      <c r="D88" s="13" t="s">
        <v>546</v>
      </c>
    </row>
    <row r="89" spans="1:4" x14ac:dyDescent="0.2">
      <c r="A89" s="11" t="s">
        <v>766</v>
      </c>
      <c r="B89" s="4" t="str">
        <f>entity&amp;" - "&amp;D89&amp;" Board member allowances and staff benefits"</f>
        <v>Centlec (Soc) Ltd - Supporting Table SD4 Board member allowances and staff benefits</v>
      </c>
      <c r="C89" s="4"/>
      <c r="D89" s="13" t="s">
        <v>547</v>
      </c>
    </row>
    <row r="90" spans="1:4" x14ac:dyDescent="0.2">
      <c r="A90" s="11" t="s">
        <v>767</v>
      </c>
      <c r="B90" s="4" t="str">
        <f>entity&amp;" - "&amp;D90&amp;" Summary of personnel numbers"</f>
        <v>Centlec (Soc) Ltd - Supporting Table SD5 Summary of personnel numbers</v>
      </c>
      <c r="C90" s="4"/>
      <c r="D90" s="13" t="s">
        <v>548</v>
      </c>
    </row>
    <row r="91" spans="1:4" x14ac:dyDescent="0.2">
      <c r="A91" s="11" t="s">
        <v>332</v>
      </c>
      <c r="B91" s="4" t="str">
        <f>entity&amp;" - "&amp;D91&amp;" Budgeted monthly cash and revenue/expenditure"</f>
        <v>Centlec (Soc) Ltd - Supporting Table SD6 Budgeted monthly cash and revenue/expenditure</v>
      </c>
      <c r="C91" s="4"/>
      <c r="D91" s="13" t="s">
        <v>549</v>
      </c>
    </row>
    <row r="92" spans="1:4" x14ac:dyDescent="0.2">
      <c r="A92" s="11" t="s">
        <v>768</v>
      </c>
      <c r="B92" s="4" t="str">
        <f>entity&amp;" - "&amp;D92&amp;" Capital expenditure on new assets by asset class"</f>
        <v>Centlec (Soc) Ltd - Supporting Table SD7a Capital expenditure on new assets by asset class</v>
      </c>
      <c r="C92" s="4"/>
      <c r="D92" s="13" t="s">
        <v>773</v>
      </c>
    </row>
    <row r="93" spans="1:4" x14ac:dyDescent="0.2">
      <c r="A93" s="11" t="s">
        <v>769</v>
      </c>
      <c r="B93" s="4" t="str">
        <f>entity&amp;" - "&amp;D93&amp;" Capital expenditure on renewal of existing assets by asset class"</f>
        <v>Centlec (Soc) Ltd - Supporting Table SD7b Capital expenditure on renewal of existing assets by asset class</v>
      </c>
      <c r="C93" s="4"/>
      <c r="D93" s="13" t="s">
        <v>774</v>
      </c>
    </row>
    <row r="94" spans="1:4" x14ac:dyDescent="0.2">
      <c r="A94" s="11" t="s">
        <v>770</v>
      </c>
      <c r="B94" s="4" t="str">
        <f>entity&amp;" - "&amp;D94&amp;" Expenditure on repairs and maintenance by asset class"</f>
        <v>Centlec (Soc) Ltd - Supporting Table SD7c Expenditure on repairs and maintenance by asset class</v>
      </c>
      <c r="C94" s="4"/>
      <c r="D94" s="13" t="s">
        <v>775</v>
      </c>
    </row>
    <row r="95" spans="1:4" x14ac:dyDescent="0.2">
      <c r="A95" s="182" t="s">
        <v>966</v>
      </c>
      <c r="B95" s="4" t="str">
        <f>entity&amp;" - "&amp;D95&amp;" Depreciation by asset class"</f>
        <v>Centlec (Soc) Ltd - Supporting Table SD7d Depreciation by asset class</v>
      </c>
      <c r="C95" s="4"/>
      <c r="D95" s="183" t="s">
        <v>968</v>
      </c>
    </row>
    <row r="96" spans="1:4" x14ac:dyDescent="0.2">
      <c r="A96" s="182" t="s">
        <v>967</v>
      </c>
      <c r="B96" s="4" t="str">
        <f>entity&amp;" - "&amp;D96&amp;" Capital expenditure on upgrading of existing assets by asset class"</f>
        <v>Centlec (Soc) Ltd - Supporting Table SD7e Capital expenditure on upgrading of existing assets by asset class</v>
      </c>
      <c r="C96" s="4"/>
      <c r="D96" s="183" t="s">
        <v>969</v>
      </c>
    </row>
    <row r="97" spans="1:4" x14ac:dyDescent="0.2">
      <c r="A97" s="11" t="s">
        <v>771</v>
      </c>
      <c r="B97" s="4" t="str">
        <f>entity&amp;" - "&amp;D97&amp;" Future financial implications of the capital expenditure budget"</f>
        <v>Centlec (Soc) Ltd - Supporting Table SD8 Future financial implications of the capital expenditure budget</v>
      </c>
      <c r="C97" s="4"/>
      <c r="D97" s="13" t="s">
        <v>776</v>
      </c>
    </row>
    <row r="98" spans="1:4" x14ac:dyDescent="0.2">
      <c r="A98" s="11" t="s">
        <v>772</v>
      </c>
      <c r="B98" s="4" t="str">
        <f>entity&amp;" - "&amp;D98&amp;" Detailed capital budget"</f>
        <v>Centlec (Soc) Ltd - Supporting Table SD9 Detailed capital budget</v>
      </c>
      <c r="C98" s="4"/>
      <c r="D98" s="13" t="s">
        <v>550</v>
      </c>
    </row>
    <row r="99" spans="1:4" x14ac:dyDescent="0.2">
      <c r="A99" s="11" t="s">
        <v>383</v>
      </c>
      <c r="B99" s="4" t="str">
        <f>entity&amp;" - "&amp;D99&amp;" Long term contracts"</f>
        <v>Centlec (Soc) Ltd - Supporting Table SD10 Long term contracts</v>
      </c>
      <c r="C99" s="4"/>
      <c r="D99" s="13" t="s">
        <v>551</v>
      </c>
    </row>
    <row r="100" spans="1:4" x14ac:dyDescent="0.2">
      <c r="A100" s="12" t="s">
        <v>384</v>
      </c>
      <c r="B100" s="9" t="str">
        <f>entity&amp;" - "&amp;D100&amp;" External mechanisms"</f>
        <v>Centlec (Soc) Ltd - Supporting Table SD11 External mechanisms</v>
      </c>
      <c r="C100" s="9"/>
      <c r="D100" s="13" t="s">
        <v>552</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106680</xdr:rowOff>
                  </from>
                  <to>
                    <xdr:col>2</xdr:col>
                    <xdr:colOff>1897380</xdr:colOff>
                    <xdr:row>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U312"/>
  <sheetViews>
    <sheetView workbookViewId="0">
      <selection activeCell="B76" sqref="B76"/>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44140625" style="1" bestFit="1" customWidth="1"/>
    <col min="16" max="16" width="1.33203125" style="1" customWidth="1"/>
    <col min="17" max="17" width="9.109375" style="1"/>
    <col min="18" max="18" width="24.109375" style="1" bestFit="1" customWidth="1"/>
    <col min="19" max="19" width="17.44140625" style="1" bestFit="1" customWidth="1"/>
    <col min="20" max="20" width="22.44140625" style="1" bestFit="1" customWidth="1"/>
    <col min="21" max="21" width="14.6640625" style="1" bestFit="1" customWidth="1"/>
    <col min="22" max="16384" width="9.109375" style="1"/>
  </cols>
  <sheetData>
    <row r="1" spans="1:21" s="51" customFormat="1" x14ac:dyDescent="0.2">
      <c r="A1" s="90" t="s">
        <v>188</v>
      </c>
      <c r="B1" s="91">
        <v>2013</v>
      </c>
      <c r="C1" s="92">
        <v>2014</v>
      </c>
      <c r="D1" s="91">
        <v>2015</v>
      </c>
      <c r="E1" s="92">
        <v>2016</v>
      </c>
      <c r="F1" s="91">
        <v>2017</v>
      </c>
      <c r="G1" s="92">
        <v>2018</v>
      </c>
      <c r="H1" s="91">
        <v>2019</v>
      </c>
      <c r="I1" s="92">
        <v>2020</v>
      </c>
      <c r="J1" s="91">
        <v>2021</v>
      </c>
      <c r="K1" s="92">
        <v>2022</v>
      </c>
      <c r="L1" s="91">
        <v>2023</v>
      </c>
      <c r="M1" s="92">
        <v>2024</v>
      </c>
      <c r="N1" s="91">
        <v>2025</v>
      </c>
      <c r="O1" s="92">
        <v>2026</v>
      </c>
      <c r="P1" s="93"/>
      <c r="Q1" s="94" t="s">
        <v>432</v>
      </c>
      <c r="R1" s="94" t="s">
        <v>433</v>
      </c>
      <c r="S1" s="94" t="s">
        <v>434</v>
      </c>
      <c r="T1" s="94" t="s">
        <v>435</v>
      </c>
      <c r="U1" s="94" t="s">
        <v>436</v>
      </c>
    </row>
    <row r="2" spans="1:21" x14ac:dyDescent="0.2">
      <c r="A2" s="7" t="str">
        <f>'Template names'!C2</f>
        <v>Prior year -1</v>
      </c>
      <c r="B2" s="95" t="str">
        <f t="shared" ref="B2:I2" si="0">B1-2&amp;"/"&amp;RIGHT(B1,2)-1</f>
        <v>2011/12</v>
      </c>
      <c r="C2" s="95" t="str">
        <f t="shared" si="0"/>
        <v>2012/13</v>
      </c>
      <c r="D2" s="95" t="str">
        <f t="shared" si="0"/>
        <v>2013/14</v>
      </c>
      <c r="E2" s="95" t="str">
        <f t="shared" si="0"/>
        <v>2014/15</v>
      </c>
      <c r="F2" s="95" t="str">
        <f t="shared" si="0"/>
        <v>2015/16</v>
      </c>
      <c r="G2" s="95" t="str">
        <f t="shared" si="0"/>
        <v>2016/17</v>
      </c>
      <c r="H2" s="95" t="str">
        <f t="shared" si="0"/>
        <v>2017/18</v>
      </c>
      <c r="I2" s="95" t="str">
        <f t="shared" si="0"/>
        <v>2018/19</v>
      </c>
      <c r="J2" s="95" t="str">
        <f t="shared" ref="J2:O2" si="1">J1-2&amp;"/"&amp;RIGHT(J1,2)-1</f>
        <v>2019/20</v>
      </c>
      <c r="K2" s="95" t="str">
        <f t="shared" si="1"/>
        <v>2020/21</v>
      </c>
      <c r="L2" s="95" t="str">
        <f t="shared" si="1"/>
        <v>2021/22</v>
      </c>
      <c r="M2" s="95" t="str">
        <f t="shared" si="1"/>
        <v>2022/23</v>
      </c>
      <c r="N2" s="95" t="str">
        <f t="shared" si="1"/>
        <v>2023/24</v>
      </c>
      <c r="O2" s="95" t="str">
        <f t="shared" si="1"/>
        <v>2024/25</v>
      </c>
      <c r="P2" s="4"/>
      <c r="R2" s="1" t="s">
        <v>440</v>
      </c>
      <c r="S2" s="1" t="s">
        <v>441</v>
      </c>
      <c r="T2" s="1" t="s">
        <v>442</v>
      </c>
    </row>
    <row r="3" spans="1:21" x14ac:dyDescent="0.2">
      <c r="A3" s="7" t="str">
        <f>'Template names'!C3</f>
        <v>Prior year -2</v>
      </c>
      <c r="B3" s="95" t="str">
        <f t="shared" ref="B3:I3" si="2">B1-3&amp;"/"&amp;RIGHT(B1,2)-2</f>
        <v>2010/11</v>
      </c>
      <c r="C3" s="95" t="str">
        <f t="shared" si="2"/>
        <v>2011/12</v>
      </c>
      <c r="D3" s="95" t="str">
        <f t="shared" si="2"/>
        <v>2012/13</v>
      </c>
      <c r="E3" s="95" t="str">
        <f t="shared" si="2"/>
        <v>2013/14</v>
      </c>
      <c r="F3" s="95" t="str">
        <f t="shared" si="2"/>
        <v>2014/15</v>
      </c>
      <c r="G3" s="95" t="str">
        <f t="shared" si="2"/>
        <v>2015/16</v>
      </c>
      <c r="H3" s="95" t="str">
        <f t="shared" si="2"/>
        <v>2016/17</v>
      </c>
      <c r="I3" s="95" t="str">
        <f t="shared" si="2"/>
        <v>2017/18</v>
      </c>
      <c r="J3" s="95" t="str">
        <f t="shared" ref="J3:O3" si="3">J1-3&amp;"/"&amp;RIGHT(J1,2)-2</f>
        <v>2018/19</v>
      </c>
      <c r="K3" s="95" t="str">
        <f t="shared" si="3"/>
        <v>2019/20</v>
      </c>
      <c r="L3" s="95" t="str">
        <f t="shared" si="3"/>
        <v>2020/21</v>
      </c>
      <c r="M3" s="95" t="str">
        <f t="shared" si="3"/>
        <v>2021/22</v>
      </c>
      <c r="N3" s="95" t="str">
        <f t="shared" si="3"/>
        <v>2022/23</v>
      </c>
      <c r="O3" s="95" t="str">
        <f t="shared" si="3"/>
        <v>2023/24</v>
      </c>
      <c r="P3" s="4"/>
      <c r="R3" s="1" t="s">
        <v>443</v>
      </c>
      <c r="S3" s="1" t="s">
        <v>444</v>
      </c>
      <c r="T3" s="1" t="s">
        <v>445</v>
      </c>
    </row>
    <row r="4" spans="1:21" x14ac:dyDescent="0.2">
      <c r="A4" s="7" t="str">
        <f>'Template names'!C4</f>
        <v>Prior year -3</v>
      </c>
      <c r="B4" s="95" t="str">
        <f t="shared" ref="B4:I4" si="4">B1-4&amp;"/"&amp;RIGHT(B1,2)-3</f>
        <v>2009/10</v>
      </c>
      <c r="C4" s="95" t="str">
        <f t="shared" si="4"/>
        <v>2010/11</v>
      </c>
      <c r="D4" s="95" t="str">
        <f t="shared" si="4"/>
        <v>2011/12</v>
      </c>
      <c r="E4" s="95" t="str">
        <f t="shared" si="4"/>
        <v>2012/13</v>
      </c>
      <c r="F4" s="95" t="str">
        <f t="shared" si="4"/>
        <v>2013/14</v>
      </c>
      <c r="G4" s="95" t="str">
        <f t="shared" si="4"/>
        <v>2014/15</v>
      </c>
      <c r="H4" s="95" t="str">
        <f t="shared" si="4"/>
        <v>2015/16</v>
      </c>
      <c r="I4" s="95" t="str">
        <f t="shared" si="4"/>
        <v>2016/17</v>
      </c>
      <c r="J4" s="95" t="str">
        <f t="shared" ref="J4:O4" si="5">J1-4&amp;"/"&amp;RIGHT(J1,2)-3</f>
        <v>2017/18</v>
      </c>
      <c r="K4" s="95" t="str">
        <f t="shared" si="5"/>
        <v>2018/19</v>
      </c>
      <c r="L4" s="95" t="str">
        <f t="shared" si="5"/>
        <v>2019/20</v>
      </c>
      <c r="M4" s="95" t="str">
        <f t="shared" si="5"/>
        <v>2020/21</v>
      </c>
      <c r="N4" s="95" t="str">
        <f t="shared" si="5"/>
        <v>2021/22</v>
      </c>
      <c r="O4" s="95" t="str">
        <f t="shared" si="5"/>
        <v>2022/23</v>
      </c>
      <c r="P4" s="4"/>
      <c r="R4" s="1" t="s">
        <v>446</v>
      </c>
      <c r="S4" s="1" t="s">
        <v>447</v>
      </c>
      <c r="T4" s="1" t="s">
        <v>448</v>
      </c>
    </row>
    <row r="5" spans="1:21" x14ac:dyDescent="0.2">
      <c r="A5" s="7" t="str">
        <f>'Template names'!C5</f>
        <v>Year in which budget is being prepared</v>
      </c>
      <c r="B5" s="95" t="str">
        <f t="shared" ref="B5:I5" si="6">"Current Year "&amp; B1-1&amp;"/"&amp;RIGHT(B1,2)</f>
        <v>Current Year 2012/13</v>
      </c>
      <c r="C5" s="95" t="str">
        <f t="shared" si="6"/>
        <v>Current Year 2013/14</v>
      </c>
      <c r="D5" s="95" t="str">
        <f t="shared" si="6"/>
        <v>Current Year 2014/15</v>
      </c>
      <c r="E5" s="95" t="str">
        <f t="shared" si="6"/>
        <v>Current Year 2015/16</v>
      </c>
      <c r="F5" s="95" t="str">
        <f t="shared" si="6"/>
        <v>Current Year 2016/17</v>
      </c>
      <c r="G5" s="95" t="str">
        <f t="shared" si="6"/>
        <v>Current Year 2017/18</v>
      </c>
      <c r="H5" s="95" t="str">
        <f t="shared" si="6"/>
        <v>Current Year 2018/19</v>
      </c>
      <c r="I5" s="95" t="str">
        <f t="shared" si="6"/>
        <v>Current Year 2019/20</v>
      </c>
      <c r="J5" s="95" t="str">
        <f t="shared" ref="J5:O5" si="7">"Current Year "&amp; J1-1&amp;"/"&amp;RIGHT(J1,2)</f>
        <v>Current Year 2020/21</v>
      </c>
      <c r="K5" s="95" t="str">
        <f t="shared" si="7"/>
        <v>Current Year 2021/22</v>
      </c>
      <c r="L5" s="95" t="str">
        <f t="shared" si="7"/>
        <v>Current Year 2022/23</v>
      </c>
      <c r="M5" s="95" t="str">
        <f t="shared" si="7"/>
        <v>Current Year 2023/24</v>
      </c>
      <c r="N5" s="95" t="str">
        <f t="shared" si="7"/>
        <v>Current Year 2024/25</v>
      </c>
      <c r="O5" s="95" t="str">
        <f t="shared" si="7"/>
        <v>Current Year 2025/26</v>
      </c>
      <c r="P5" s="4"/>
      <c r="R5" s="1" t="s">
        <v>452</v>
      </c>
      <c r="S5" s="1" t="s">
        <v>453</v>
      </c>
      <c r="T5" s="1" t="s">
        <v>454</v>
      </c>
    </row>
    <row r="6" spans="1:21" x14ac:dyDescent="0.2">
      <c r="A6" s="7" t="str">
        <f>'Template names'!C6</f>
        <v>Year in which budget is being prepared</v>
      </c>
      <c r="B6" s="95" t="str">
        <f t="shared" ref="B6:I6" si="8">B1-1&amp;"/"&amp;RIGHT(B1,2)</f>
        <v>2012/13</v>
      </c>
      <c r="C6" s="95" t="str">
        <f t="shared" si="8"/>
        <v>2013/14</v>
      </c>
      <c r="D6" s="95" t="str">
        <f t="shared" si="8"/>
        <v>2014/15</v>
      </c>
      <c r="E6" s="95" t="str">
        <f t="shared" si="8"/>
        <v>2015/16</v>
      </c>
      <c r="F6" s="95" t="str">
        <f t="shared" si="8"/>
        <v>2016/17</v>
      </c>
      <c r="G6" s="95" t="str">
        <f t="shared" si="8"/>
        <v>2017/18</v>
      </c>
      <c r="H6" s="95" t="str">
        <f t="shared" si="8"/>
        <v>2018/19</v>
      </c>
      <c r="I6" s="95" t="str">
        <f t="shared" si="8"/>
        <v>2019/20</v>
      </c>
      <c r="J6" s="95" t="str">
        <f t="shared" ref="J6:O6" si="9">J1-1&amp;"/"&amp;RIGHT(J1,2)</f>
        <v>2020/21</v>
      </c>
      <c r="K6" s="95" t="str">
        <f t="shared" si="9"/>
        <v>2021/22</v>
      </c>
      <c r="L6" s="95" t="str">
        <f t="shared" si="9"/>
        <v>2022/23</v>
      </c>
      <c r="M6" s="95" t="str">
        <f t="shared" si="9"/>
        <v>2023/24</v>
      </c>
      <c r="N6" s="95" t="str">
        <f t="shared" si="9"/>
        <v>2024/25</v>
      </c>
      <c r="O6" s="95" t="str">
        <f t="shared" si="9"/>
        <v>2025/26</v>
      </c>
      <c r="P6" s="4"/>
      <c r="R6" s="1" t="s">
        <v>455</v>
      </c>
      <c r="T6" s="1" t="s">
        <v>456</v>
      </c>
    </row>
    <row r="7" spans="1:21" x14ac:dyDescent="0.2">
      <c r="A7" s="7" t="str">
        <f>'Template names'!C7</f>
        <v>MTREF name</v>
      </c>
      <c r="B7" s="95" t="str">
        <f t="shared" ref="B7:I7" si="10">B1&amp;"/"&amp;RIGHT(B1,2)+1&amp;" Medium Term Revenue &amp; Expenditure Framework"</f>
        <v>2013/14 Medium Term Revenue &amp; Expenditure Framework</v>
      </c>
      <c r="C7" s="95" t="str">
        <f t="shared" si="10"/>
        <v>2014/15 Medium Term Revenue &amp; Expenditure Framework</v>
      </c>
      <c r="D7" s="95" t="str">
        <f t="shared" si="10"/>
        <v>2015/16 Medium Term Revenue &amp; Expenditure Framework</v>
      </c>
      <c r="E7" s="95" t="str">
        <f t="shared" si="10"/>
        <v>2016/17 Medium Term Revenue &amp; Expenditure Framework</v>
      </c>
      <c r="F7" s="95" t="str">
        <f t="shared" si="10"/>
        <v>2017/18 Medium Term Revenue &amp; Expenditure Framework</v>
      </c>
      <c r="G7" s="95" t="str">
        <f t="shared" si="10"/>
        <v>2018/19 Medium Term Revenue &amp; Expenditure Framework</v>
      </c>
      <c r="H7" s="95" t="str">
        <f t="shared" si="10"/>
        <v>2019/20 Medium Term Revenue &amp; Expenditure Framework</v>
      </c>
      <c r="I7" s="95" t="str">
        <f t="shared" si="10"/>
        <v>2020/21 Medium Term Revenue &amp; Expenditure Framework</v>
      </c>
      <c r="J7" s="95" t="str">
        <f t="shared" ref="J7:O7" si="11">J1&amp;"/"&amp;RIGHT(J1,2)+1&amp;" Medium Term Revenue &amp; Expenditure Framework"</f>
        <v>2021/22 Medium Term Revenue &amp; Expenditure Framework</v>
      </c>
      <c r="K7" s="95" t="str">
        <f t="shared" si="11"/>
        <v>2022/23 Medium Term Revenue &amp; Expenditure Framework</v>
      </c>
      <c r="L7" s="95" t="str">
        <f t="shared" si="11"/>
        <v>2023/24 Medium Term Revenue &amp; Expenditure Framework</v>
      </c>
      <c r="M7" s="95" t="str">
        <f t="shared" si="11"/>
        <v>2024/25 Medium Term Revenue &amp; Expenditure Framework</v>
      </c>
      <c r="N7" s="95" t="str">
        <f t="shared" si="11"/>
        <v>2025/26 Medium Term Revenue &amp; Expenditure Framework</v>
      </c>
      <c r="O7" s="95" t="str">
        <f t="shared" si="11"/>
        <v>2026/27 Medium Term Revenue &amp; Expenditure Framework</v>
      </c>
      <c r="P7" s="4"/>
      <c r="R7" s="1" t="s">
        <v>460</v>
      </c>
    </row>
    <row r="8" spans="1:21" x14ac:dyDescent="0.2">
      <c r="A8" s="7" t="str">
        <f>'Template names'!C16</f>
        <v>1st year of MTREF</v>
      </c>
      <c r="B8" s="95" t="str">
        <f t="shared" ref="B8:I8" si="12">"Budget Year "&amp;B1&amp;"/"&amp;RIGHT(B1,2)+1</f>
        <v>Budget Year 2013/14</v>
      </c>
      <c r="C8" s="95" t="str">
        <f t="shared" si="12"/>
        <v>Budget Year 2014/15</v>
      </c>
      <c r="D8" s="95" t="str">
        <f t="shared" si="12"/>
        <v>Budget Year 2015/16</v>
      </c>
      <c r="E8" s="95" t="str">
        <f t="shared" si="12"/>
        <v>Budget Year 2016/17</v>
      </c>
      <c r="F8" s="95" t="str">
        <f t="shared" si="12"/>
        <v>Budget Year 2017/18</v>
      </c>
      <c r="G8" s="95" t="str">
        <f t="shared" si="12"/>
        <v>Budget Year 2018/19</v>
      </c>
      <c r="H8" s="95" t="str">
        <f t="shared" si="12"/>
        <v>Budget Year 2019/20</v>
      </c>
      <c r="I8" s="95" t="str">
        <f t="shared" si="12"/>
        <v>Budget Year 2020/21</v>
      </c>
      <c r="J8" s="95" t="str">
        <f t="shared" ref="J8:O8" si="13">"Budget Year "&amp;J1&amp;"/"&amp;RIGHT(J1,2)+1</f>
        <v>Budget Year 2021/22</v>
      </c>
      <c r="K8" s="95" t="str">
        <f t="shared" si="13"/>
        <v>Budget Year 2022/23</v>
      </c>
      <c r="L8" s="95" t="str">
        <f t="shared" si="13"/>
        <v>Budget Year 2023/24</v>
      </c>
      <c r="M8" s="95" t="str">
        <f t="shared" si="13"/>
        <v>Budget Year 2024/25</v>
      </c>
      <c r="N8" s="95" t="str">
        <f t="shared" si="13"/>
        <v>Budget Year 2025/26</v>
      </c>
      <c r="O8" s="95" t="str">
        <f t="shared" si="13"/>
        <v>Budget Year 2026/27</v>
      </c>
      <c r="P8" s="4"/>
    </row>
    <row r="9" spans="1:21" x14ac:dyDescent="0.2">
      <c r="A9" s="7" t="str">
        <f>'Template names'!C17</f>
        <v>2nd year of MTREF</v>
      </c>
      <c r="B9" s="95" t="str">
        <f t="shared" ref="B9:I9" si="14">"Budget Year +1 "&amp;B1+1&amp;"/"&amp;RIGHT(B1,2)+2</f>
        <v>Budget Year +1 2014/15</v>
      </c>
      <c r="C9" s="95" t="str">
        <f t="shared" si="14"/>
        <v>Budget Year +1 2015/16</v>
      </c>
      <c r="D9" s="95" t="str">
        <f t="shared" si="14"/>
        <v>Budget Year +1 2016/17</v>
      </c>
      <c r="E9" s="95" t="str">
        <f t="shared" si="14"/>
        <v>Budget Year +1 2017/18</v>
      </c>
      <c r="F9" s="95" t="str">
        <f t="shared" si="14"/>
        <v>Budget Year +1 2018/19</v>
      </c>
      <c r="G9" s="95" t="str">
        <f t="shared" si="14"/>
        <v>Budget Year +1 2019/20</v>
      </c>
      <c r="H9" s="95" t="str">
        <f t="shared" si="14"/>
        <v>Budget Year +1 2020/21</v>
      </c>
      <c r="I9" s="95" t="str">
        <f t="shared" si="14"/>
        <v>Budget Year +1 2021/22</v>
      </c>
      <c r="J9" s="95" t="str">
        <f t="shared" ref="J9:O9" si="15">"Budget Year +1 "&amp;J1+1&amp;"/"&amp;RIGHT(J1,2)+2</f>
        <v>Budget Year +1 2022/23</v>
      </c>
      <c r="K9" s="95" t="str">
        <f t="shared" si="15"/>
        <v>Budget Year +1 2023/24</v>
      </c>
      <c r="L9" s="95" t="str">
        <f t="shared" si="15"/>
        <v>Budget Year +1 2024/25</v>
      </c>
      <c r="M9" s="95" t="str">
        <f t="shared" si="15"/>
        <v>Budget Year +1 2025/26</v>
      </c>
      <c r="N9" s="95" t="str">
        <f t="shared" si="15"/>
        <v>Budget Year +1 2026/27</v>
      </c>
      <c r="O9" s="95" t="str">
        <f t="shared" si="15"/>
        <v>Budget Year +1 2027/28</v>
      </c>
      <c r="P9" s="4"/>
      <c r="R9" s="97"/>
    </row>
    <row r="10" spans="1:21" x14ac:dyDescent="0.2">
      <c r="A10" s="7" t="str">
        <f>'Template names'!C18</f>
        <v>3rd year of MTREF</v>
      </c>
      <c r="B10" s="95" t="str">
        <f t="shared" ref="B10:I10" si="16">"Budget Year +2 "&amp;B1+2&amp;"/"&amp;RIGHT(B1,2)+3</f>
        <v>Budget Year +2 2015/16</v>
      </c>
      <c r="C10" s="95" t="str">
        <f t="shared" si="16"/>
        <v>Budget Year +2 2016/17</v>
      </c>
      <c r="D10" s="95" t="str">
        <f t="shared" si="16"/>
        <v>Budget Year +2 2017/18</v>
      </c>
      <c r="E10" s="95" t="str">
        <f t="shared" si="16"/>
        <v>Budget Year +2 2018/19</v>
      </c>
      <c r="F10" s="95" t="str">
        <f t="shared" si="16"/>
        <v>Budget Year +2 2019/20</v>
      </c>
      <c r="G10" s="95" t="str">
        <f t="shared" si="16"/>
        <v>Budget Year +2 2020/21</v>
      </c>
      <c r="H10" s="95" t="str">
        <f t="shared" si="16"/>
        <v>Budget Year +2 2021/22</v>
      </c>
      <c r="I10" s="95" t="str">
        <f t="shared" si="16"/>
        <v>Budget Year +2 2022/23</v>
      </c>
      <c r="J10" s="95" t="str">
        <f t="shared" ref="J10:O10" si="17">"Budget Year +2 "&amp;J1+2&amp;"/"&amp;RIGHT(J1,2)+3</f>
        <v>Budget Year +2 2023/24</v>
      </c>
      <c r="K10" s="95" t="str">
        <f t="shared" si="17"/>
        <v>Budget Year +2 2024/25</v>
      </c>
      <c r="L10" s="95" t="str">
        <f t="shared" si="17"/>
        <v>Budget Year +2 2025/26</v>
      </c>
      <c r="M10" s="95" t="str">
        <f t="shared" si="17"/>
        <v>Budget Year +2 2026/27</v>
      </c>
      <c r="N10" s="95" t="str">
        <f t="shared" si="17"/>
        <v>Budget Year +2 2027/28</v>
      </c>
      <c r="O10" s="95" t="str">
        <f t="shared" si="17"/>
        <v>Budget Year +2 2028/29</v>
      </c>
      <c r="P10" s="4"/>
    </row>
    <row r="11" spans="1:21" x14ac:dyDescent="0.2">
      <c r="A11" s="7" t="str">
        <f>'Template names'!C19</f>
        <v>1st yr of long term forecast</v>
      </c>
      <c r="B11" s="95" t="str">
        <f t="shared" ref="B11:I11" si="18">"Forecast "&amp;B1+3&amp;"/"&amp;RIGHT(B1,2)+4</f>
        <v>Forecast 2016/17</v>
      </c>
      <c r="C11" s="95" t="str">
        <f t="shared" si="18"/>
        <v>Forecast 2017/18</v>
      </c>
      <c r="D11" s="95" t="str">
        <f t="shared" si="18"/>
        <v>Forecast 2018/19</v>
      </c>
      <c r="E11" s="95" t="str">
        <f t="shared" si="18"/>
        <v>Forecast 2019/20</v>
      </c>
      <c r="F11" s="95" t="str">
        <f t="shared" si="18"/>
        <v>Forecast 2020/21</v>
      </c>
      <c r="G11" s="95" t="str">
        <f t="shared" si="18"/>
        <v>Forecast 2021/22</v>
      </c>
      <c r="H11" s="95" t="str">
        <f t="shared" si="18"/>
        <v>Forecast 2022/23</v>
      </c>
      <c r="I11" s="95" t="str">
        <f t="shared" si="18"/>
        <v>Forecast 2023/24</v>
      </c>
      <c r="J11" s="95" t="str">
        <f t="shared" ref="J11:O11" si="19">"Forecast "&amp;J1+3&amp;"/"&amp;RIGHT(J1,2)+4</f>
        <v>Forecast 2024/25</v>
      </c>
      <c r="K11" s="95" t="str">
        <f t="shared" si="19"/>
        <v>Forecast 2025/26</v>
      </c>
      <c r="L11" s="95" t="str">
        <f t="shared" si="19"/>
        <v>Forecast 2026/27</v>
      </c>
      <c r="M11" s="95" t="str">
        <f t="shared" si="19"/>
        <v>Forecast 2027/28</v>
      </c>
      <c r="N11" s="95" t="str">
        <f t="shared" si="19"/>
        <v>Forecast 2028/29</v>
      </c>
      <c r="O11" s="95" t="str">
        <f t="shared" si="19"/>
        <v>Forecast 2029/30</v>
      </c>
      <c r="P11" s="4"/>
    </row>
    <row r="12" spans="1:21" x14ac:dyDescent="0.2">
      <c r="A12" s="7" t="str">
        <f>'Template names'!C20</f>
        <v>Next yr of long term forecast</v>
      </c>
      <c r="B12" s="95" t="str">
        <f t="shared" ref="B12:I12" si="20">"Forecast "&amp;B1+4&amp;"/"&amp;RIGHT(B1,2)+5</f>
        <v>Forecast 2017/18</v>
      </c>
      <c r="C12" s="95" t="str">
        <f t="shared" si="20"/>
        <v>Forecast 2018/19</v>
      </c>
      <c r="D12" s="95" t="str">
        <f t="shared" si="20"/>
        <v>Forecast 2019/20</v>
      </c>
      <c r="E12" s="95" t="str">
        <f t="shared" si="20"/>
        <v>Forecast 2020/21</v>
      </c>
      <c r="F12" s="95" t="str">
        <f t="shared" si="20"/>
        <v>Forecast 2021/22</v>
      </c>
      <c r="G12" s="95" t="str">
        <f t="shared" si="20"/>
        <v>Forecast 2022/23</v>
      </c>
      <c r="H12" s="95" t="str">
        <f t="shared" si="20"/>
        <v>Forecast 2023/24</v>
      </c>
      <c r="I12" s="95" t="str">
        <f t="shared" si="20"/>
        <v>Forecast 2024/25</v>
      </c>
      <c r="J12" s="95" t="str">
        <f t="shared" ref="J12:O12" si="21">"Forecast "&amp;J1+4&amp;"/"&amp;RIGHT(J1,2)+5</f>
        <v>Forecast 2025/26</v>
      </c>
      <c r="K12" s="95" t="str">
        <f t="shared" si="21"/>
        <v>Forecast 2026/27</v>
      </c>
      <c r="L12" s="95" t="str">
        <f t="shared" si="21"/>
        <v>Forecast 2027/28</v>
      </c>
      <c r="M12" s="95" t="str">
        <f t="shared" si="21"/>
        <v>Forecast 2028/29</v>
      </c>
      <c r="N12" s="95" t="str">
        <f t="shared" si="21"/>
        <v>Forecast 2029/30</v>
      </c>
      <c r="O12" s="95" t="str">
        <f t="shared" si="21"/>
        <v>Forecast 2030/31</v>
      </c>
      <c r="P12" s="4"/>
    </row>
    <row r="13" spans="1:21" x14ac:dyDescent="0.2">
      <c r="A13" s="7" t="str">
        <f>'Template names'!C21</f>
        <v>Next yr of long term forecast</v>
      </c>
      <c r="B13" s="95" t="str">
        <f t="shared" ref="B13:I13" si="22">"Forecast "&amp;B1+5&amp;"/"&amp;RIGHT(B1,2)+6</f>
        <v>Forecast 2018/19</v>
      </c>
      <c r="C13" s="95" t="str">
        <f t="shared" si="22"/>
        <v>Forecast 2019/20</v>
      </c>
      <c r="D13" s="95" t="str">
        <f t="shared" si="22"/>
        <v>Forecast 2020/21</v>
      </c>
      <c r="E13" s="95" t="str">
        <f t="shared" si="22"/>
        <v>Forecast 2021/22</v>
      </c>
      <c r="F13" s="95" t="str">
        <f t="shared" si="22"/>
        <v>Forecast 2022/23</v>
      </c>
      <c r="G13" s="95" t="str">
        <f t="shared" si="22"/>
        <v>Forecast 2023/24</v>
      </c>
      <c r="H13" s="95" t="str">
        <f t="shared" si="22"/>
        <v>Forecast 2024/25</v>
      </c>
      <c r="I13" s="95" t="str">
        <f t="shared" si="22"/>
        <v>Forecast 2025/26</v>
      </c>
      <c r="J13" s="95" t="str">
        <f t="shared" ref="J13:O13" si="23">"Forecast "&amp;J1+5&amp;"/"&amp;RIGHT(J1,2)+6</f>
        <v>Forecast 2026/27</v>
      </c>
      <c r="K13" s="95" t="str">
        <f t="shared" si="23"/>
        <v>Forecast 2027/28</v>
      </c>
      <c r="L13" s="95" t="str">
        <f t="shared" si="23"/>
        <v>Forecast 2028/29</v>
      </c>
      <c r="M13" s="95" t="str">
        <f t="shared" si="23"/>
        <v>Forecast 2029/30</v>
      </c>
      <c r="N13" s="95" t="str">
        <f t="shared" si="23"/>
        <v>Forecast 2030/31</v>
      </c>
      <c r="O13" s="95" t="str">
        <f t="shared" si="23"/>
        <v>Forecast 2031/32</v>
      </c>
      <c r="P13" s="4"/>
    </row>
    <row r="14" spans="1:21" x14ac:dyDescent="0.2">
      <c r="A14" s="7" t="str">
        <f>'Template names'!C22</f>
        <v>Next yr of long term forecast</v>
      </c>
      <c r="B14" s="95" t="str">
        <f t="shared" ref="B14:I14" si="24">"Forecast "&amp;B1+6&amp;"/"&amp;RIGHT(B1,2)+7</f>
        <v>Forecast 2019/20</v>
      </c>
      <c r="C14" s="95" t="str">
        <f t="shared" si="24"/>
        <v>Forecast 2020/21</v>
      </c>
      <c r="D14" s="95" t="str">
        <f t="shared" si="24"/>
        <v>Forecast 2021/22</v>
      </c>
      <c r="E14" s="95" t="str">
        <f t="shared" si="24"/>
        <v>Forecast 2022/23</v>
      </c>
      <c r="F14" s="95" t="str">
        <f t="shared" si="24"/>
        <v>Forecast 2023/24</v>
      </c>
      <c r="G14" s="95" t="str">
        <f t="shared" si="24"/>
        <v>Forecast 2024/25</v>
      </c>
      <c r="H14" s="95" t="str">
        <f t="shared" si="24"/>
        <v>Forecast 2025/26</v>
      </c>
      <c r="I14" s="95" t="str">
        <f t="shared" si="24"/>
        <v>Forecast 2026/27</v>
      </c>
      <c r="J14" s="95" t="str">
        <f t="shared" ref="J14:O14" si="25">"Forecast "&amp;J1+6&amp;"/"&amp;RIGHT(J1,2)+7</f>
        <v>Forecast 2027/28</v>
      </c>
      <c r="K14" s="95" t="str">
        <f t="shared" si="25"/>
        <v>Forecast 2028/29</v>
      </c>
      <c r="L14" s="95" t="str">
        <f t="shared" si="25"/>
        <v>Forecast 2029/30</v>
      </c>
      <c r="M14" s="95" t="str">
        <f t="shared" si="25"/>
        <v>Forecast 2030/31</v>
      </c>
      <c r="N14" s="95" t="str">
        <f t="shared" si="25"/>
        <v>Forecast 2031/32</v>
      </c>
      <c r="O14" s="95" t="str">
        <f t="shared" si="25"/>
        <v>Forecast 2032/33</v>
      </c>
      <c r="P14" s="4"/>
    </row>
    <row r="15" spans="1:21" x14ac:dyDescent="0.2">
      <c r="A15" s="7" t="str">
        <f>'Template names'!C23</f>
        <v>Next yr of long term forecast</v>
      </c>
      <c r="B15" s="95" t="str">
        <f t="shared" ref="B15:I15" si="26">"Forecast "&amp;B1+7&amp;"/"&amp;RIGHT(B1,2)+8</f>
        <v>Forecast 2020/21</v>
      </c>
      <c r="C15" s="95" t="str">
        <f t="shared" si="26"/>
        <v>Forecast 2021/22</v>
      </c>
      <c r="D15" s="95" t="str">
        <f t="shared" si="26"/>
        <v>Forecast 2022/23</v>
      </c>
      <c r="E15" s="95" t="str">
        <f t="shared" si="26"/>
        <v>Forecast 2023/24</v>
      </c>
      <c r="F15" s="95" t="str">
        <f t="shared" si="26"/>
        <v>Forecast 2024/25</v>
      </c>
      <c r="G15" s="95" t="str">
        <f t="shared" si="26"/>
        <v>Forecast 2025/26</v>
      </c>
      <c r="H15" s="95" t="str">
        <f t="shared" si="26"/>
        <v>Forecast 2026/27</v>
      </c>
      <c r="I15" s="95" t="str">
        <f t="shared" si="26"/>
        <v>Forecast 2027/28</v>
      </c>
      <c r="J15" s="95" t="str">
        <f t="shared" ref="J15:O15" si="27">"Forecast "&amp;J1+7&amp;"/"&amp;RIGHT(J1,2)+8</f>
        <v>Forecast 2028/29</v>
      </c>
      <c r="K15" s="95" t="str">
        <f t="shared" si="27"/>
        <v>Forecast 2029/30</v>
      </c>
      <c r="L15" s="95" t="str">
        <f t="shared" si="27"/>
        <v>Forecast 2030/31</v>
      </c>
      <c r="M15" s="95" t="str">
        <f t="shared" si="27"/>
        <v>Forecast 2031/32</v>
      </c>
      <c r="N15" s="95" t="str">
        <f t="shared" si="27"/>
        <v>Forecast 2032/33</v>
      </c>
      <c r="O15" s="95" t="str">
        <f t="shared" si="27"/>
        <v>Forecast 2033/34</v>
      </c>
      <c r="P15" s="4"/>
    </row>
    <row r="16" spans="1:21" x14ac:dyDescent="0.2">
      <c r="A16" s="7" t="str">
        <f>'Template names'!C24</f>
        <v>Next yr of long term forecast</v>
      </c>
      <c r="B16" s="95" t="str">
        <f t="shared" ref="B16:I16" si="28">"Forecast "&amp;B1+8&amp;"/"&amp;RIGHT(B1,2)+9</f>
        <v>Forecast 2021/22</v>
      </c>
      <c r="C16" s="95" t="str">
        <f t="shared" si="28"/>
        <v>Forecast 2022/23</v>
      </c>
      <c r="D16" s="95" t="str">
        <f t="shared" si="28"/>
        <v>Forecast 2023/24</v>
      </c>
      <c r="E16" s="95" t="str">
        <f t="shared" si="28"/>
        <v>Forecast 2024/25</v>
      </c>
      <c r="F16" s="95" t="str">
        <f t="shared" si="28"/>
        <v>Forecast 2025/26</v>
      </c>
      <c r="G16" s="95" t="str">
        <f t="shared" si="28"/>
        <v>Forecast 2026/27</v>
      </c>
      <c r="H16" s="95" t="str">
        <f t="shared" si="28"/>
        <v>Forecast 2027/28</v>
      </c>
      <c r="I16" s="95" t="str">
        <f t="shared" si="28"/>
        <v>Forecast 2028/29</v>
      </c>
      <c r="J16" s="95" t="str">
        <f t="shared" ref="J16:O16" si="29">"Forecast "&amp;J1+8&amp;"/"&amp;RIGHT(J1,2)+9</f>
        <v>Forecast 2029/30</v>
      </c>
      <c r="K16" s="95" t="str">
        <f t="shared" si="29"/>
        <v>Forecast 2030/31</v>
      </c>
      <c r="L16" s="95" t="str">
        <f t="shared" si="29"/>
        <v>Forecast 2031/32</v>
      </c>
      <c r="M16" s="95" t="str">
        <f t="shared" si="29"/>
        <v>Forecast 2032/33</v>
      </c>
      <c r="N16" s="95" t="str">
        <f t="shared" si="29"/>
        <v>Forecast 2033/34</v>
      </c>
      <c r="O16" s="95" t="str">
        <f t="shared" si="29"/>
        <v>Forecast 2034/35</v>
      </c>
      <c r="P16" s="4"/>
    </row>
    <row r="17" spans="1:16" x14ac:dyDescent="0.2">
      <c r="A17" s="7" t="str">
        <f>'Template names'!C25</f>
        <v>Next yr of long term forecast</v>
      </c>
      <c r="B17" s="95" t="str">
        <f t="shared" ref="B17:I17" si="30">"Forecast "&amp;B1+9&amp;"/"&amp;RIGHT(B1,2)+10</f>
        <v>Forecast 2022/23</v>
      </c>
      <c r="C17" s="95" t="str">
        <f t="shared" si="30"/>
        <v>Forecast 2023/24</v>
      </c>
      <c r="D17" s="95" t="str">
        <f t="shared" si="30"/>
        <v>Forecast 2024/25</v>
      </c>
      <c r="E17" s="95" t="str">
        <f t="shared" si="30"/>
        <v>Forecast 2025/26</v>
      </c>
      <c r="F17" s="95" t="str">
        <f t="shared" si="30"/>
        <v>Forecast 2026/27</v>
      </c>
      <c r="G17" s="95" t="str">
        <f t="shared" si="30"/>
        <v>Forecast 2027/28</v>
      </c>
      <c r="H17" s="95" t="str">
        <f t="shared" si="30"/>
        <v>Forecast 2028/29</v>
      </c>
      <c r="I17" s="95" t="str">
        <f t="shared" si="30"/>
        <v>Forecast 2029/30</v>
      </c>
      <c r="J17" s="95" t="str">
        <f t="shared" ref="J17:O17" si="31">"Forecast "&amp;J1+9&amp;"/"&amp;RIGHT(J1,2)+10</f>
        <v>Forecast 2030/31</v>
      </c>
      <c r="K17" s="95" t="str">
        <f t="shared" si="31"/>
        <v>Forecast 2031/32</v>
      </c>
      <c r="L17" s="95" t="str">
        <f t="shared" si="31"/>
        <v>Forecast 2032/33</v>
      </c>
      <c r="M17" s="95" t="str">
        <f t="shared" si="31"/>
        <v>Forecast 2033/34</v>
      </c>
      <c r="N17" s="95" t="str">
        <f t="shared" si="31"/>
        <v>Forecast 2034/35</v>
      </c>
      <c r="O17" s="95" t="str">
        <f t="shared" si="31"/>
        <v>Forecast 2035/36</v>
      </c>
      <c r="P17" s="4"/>
    </row>
    <row r="18" spans="1:16" x14ac:dyDescent="0.2">
      <c r="A18" s="7" t="str">
        <f>'Template names'!C26</f>
        <v>Next yr of long term forecast</v>
      </c>
      <c r="B18" s="95" t="str">
        <f t="shared" ref="B18:I18" si="32">"Forecast "&amp;B1+10&amp;"/"&amp;RIGHT(B1,2)+11</f>
        <v>Forecast 2023/24</v>
      </c>
      <c r="C18" s="95" t="str">
        <f t="shared" si="32"/>
        <v>Forecast 2024/25</v>
      </c>
      <c r="D18" s="95" t="str">
        <f t="shared" si="32"/>
        <v>Forecast 2025/26</v>
      </c>
      <c r="E18" s="95" t="str">
        <f t="shared" si="32"/>
        <v>Forecast 2026/27</v>
      </c>
      <c r="F18" s="95" t="str">
        <f t="shared" si="32"/>
        <v>Forecast 2027/28</v>
      </c>
      <c r="G18" s="95" t="str">
        <f t="shared" si="32"/>
        <v>Forecast 2028/29</v>
      </c>
      <c r="H18" s="95" t="str">
        <f t="shared" si="32"/>
        <v>Forecast 2029/30</v>
      </c>
      <c r="I18" s="95" t="str">
        <f t="shared" si="32"/>
        <v>Forecast 2030/31</v>
      </c>
      <c r="J18" s="95" t="str">
        <f t="shared" ref="J18:O18" si="33">"Forecast "&amp;J1+10&amp;"/"&amp;RIGHT(J1,2)+11</f>
        <v>Forecast 2031/32</v>
      </c>
      <c r="K18" s="95" t="str">
        <f t="shared" si="33"/>
        <v>Forecast 2032/33</v>
      </c>
      <c r="L18" s="95" t="str">
        <f t="shared" si="33"/>
        <v>Forecast 2033/34</v>
      </c>
      <c r="M18" s="95" t="str">
        <f t="shared" si="33"/>
        <v>Forecast 2034/35</v>
      </c>
      <c r="N18" s="95" t="str">
        <f t="shared" si="33"/>
        <v>Forecast 2035/36</v>
      </c>
      <c r="O18" s="95" t="str">
        <f t="shared" si="33"/>
        <v>Forecast 2036/37</v>
      </c>
      <c r="P18" s="4"/>
    </row>
    <row r="19" spans="1:16" x14ac:dyDescent="0.2">
      <c r="A19" s="7" t="str">
        <f>'Template names'!C27</f>
        <v>Next yr of long term forecast</v>
      </c>
      <c r="B19" s="95" t="str">
        <f t="shared" ref="B19:I19" si="34">"Forecast "&amp;B1+11&amp;"/"&amp;RIGHT(B1,2)+12</f>
        <v>Forecast 2024/25</v>
      </c>
      <c r="C19" s="95" t="str">
        <f t="shared" si="34"/>
        <v>Forecast 2025/26</v>
      </c>
      <c r="D19" s="95" t="str">
        <f t="shared" si="34"/>
        <v>Forecast 2026/27</v>
      </c>
      <c r="E19" s="95" t="str">
        <f t="shared" si="34"/>
        <v>Forecast 2027/28</v>
      </c>
      <c r="F19" s="95" t="str">
        <f t="shared" si="34"/>
        <v>Forecast 2028/29</v>
      </c>
      <c r="G19" s="95" t="str">
        <f t="shared" si="34"/>
        <v>Forecast 2029/30</v>
      </c>
      <c r="H19" s="95" t="str">
        <f t="shared" si="34"/>
        <v>Forecast 2030/31</v>
      </c>
      <c r="I19" s="95" t="str">
        <f t="shared" si="34"/>
        <v>Forecast 2031/32</v>
      </c>
      <c r="J19" s="95" t="str">
        <f t="shared" ref="J19:O19" si="35">"Forecast "&amp;J1+11&amp;"/"&amp;RIGHT(J1,2)+12</f>
        <v>Forecast 2032/33</v>
      </c>
      <c r="K19" s="95" t="str">
        <f t="shared" si="35"/>
        <v>Forecast 2033/34</v>
      </c>
      <c r="L19" s="95" t="str">
        <f t="shared" si="35"/>
        <v>Forecast 2034/35</v>
      </c>
      <c r="M19" s="95" t="str">
        <f t="shared" si="35"/>
        <v>Forecast 2035/36</v>
      </c>
      <c r="N19" s="95" t="str">
        <f t="shared" si="35"/>
        <v>Forecast 2036/37</v>
      </c>
      <c r="O19" s="95" t="str">
        <f t="shared" si="35"/>
        <v>Forecast 2037/38</v>
      </c>
      <c r="P19" s="4"/>
    </row>
    <row r="20" spans="1:16" x14ac:dyDescent="0.2">
      <c r="A20" s="7" t="str">
        <f>'Template names'!C28</f>
        <v>Next yr of long term forecast</v>
      </c>
      <c r="B20" s="95" t="str">
        <f t="shared" ref="B20:I20" si="36">"Forecast "&amp;B1+12&amp;"/"&amp;RIGHT(B1,2)+13</f>
        <v>Forecast 2025/26</v>
      </c>
      <c r="C20" s="95" t="str">
        <f t="shared" si="36"/>
        <v>Forecast 2026/27</v>
      </c>
      <c r="D20" s="95" t="str">
        <f t="shared" si="36"/>
        <v>Forecast 2027/28</v>
      </c>
      <c r="E20" s="95" t="str">
        <f t="shared" si="36"/>
        <v>Forecast 2028/29</v>
      </c>
      <c r="F20" s="95" t="str">
        <f t="shared" si="36"/>
        <v>Forecast 2029/30</v>
      </c>
      <c r="G20" s="95" t="str">
        <f t="shared" si="36"/>
        <v>Forecast 2030/31</v>
      </c>
      <c r="H20" s="95" t="str">
        <f t="shared" si="36"/>
        <v>Forecast 2031/32</v>
      </c>
      <c r="I20" s="95" t="str">
        <f t="shared" si="36"/>
        <v>Forecast 2032/33</v>
      </c>
      <c r="J20" s="95" t="str">
        <f t="shared" ref="J20:O20" si="37">"Forecast "&amp;J1+12&amp;"/"&amp;RIGHT(J1,2)+13</f>
        <v>Forecast 2033/34</v>
      </c>
      <c r="K20" s="95" t="str">
        <f t="shared" si="37"/>
        <v>Forecast 2034/35</v>
      </c>
      <c r="L20" s="95" t="str">
        <f t="shared" si="37"/>
        <v>Forecast 2035/36</v>
      </c>
      <c r="M20" s="95" t="str">
        <f t="shared" si="37"/>
        <v>Forecast 2036/37</v>
      </c>
      <c r="N20" s="95" t="str">
        <f t="shared" si="37"/>
        <v>Forecast 2037/38</v>
      </c>
      <c r="O20" s="95" t="str">
        <f t="shared" si="37"/>
        <v>Forecast 2038/39</v>
      </c>
      <c r="P20" s="4"/>
    </row>
    <row r="21" spans="1:16" x14ac:dyDescent="0.2">
      <c r="A21" s="7" t="str">
        <f>'Template names'!C29</f>
        <v>Next yr of long term forecast</v>
      </c>
      <c r="B21" s="95" t="str">
        <f t="shared" ref="B21:I21" si="38">"Forecast "&amp;B1+13&amp;"/"&amp;RIGHT(B1,2)+14</f>
        <v>Forecast 2026/27</v>
      </c>
      <c r="C21" s="95" t="str">
        <f t="shared" si="38"/>
        <v>Forecast 2027/28</v>
      </c>
      <c r="D21" s="95" t="str">
        <f t="shared" si="38"/>
        <v>Forecast 2028/29</v>
      </c>
      <c r="E21" s="95" t="str">
        <f t="shared" si="38"/>
        <v>Forecast 2029/30</v>
      </c>
      <c r="F21" s="95" t="str">
        <f t="shared" si="38"/>
        <v>Forecast 2030/31</v>
      </c>
      <c r="G21" s="95" t="str">
        <f t="shared" si="38"/>
        <v>Forecast 2031/32</v>
      </c>
      <c r="H21" s="95" t="str">
        <f t="shared" si="38"/>
        <v>Forecast 2032/33</v>
      </c>
      <c r="I21" s="95" t="str">
        <f t="shared" si="38"/>
        <v>Forecast 2033/34</v>
      </c>
      <c r="J21" s="95" t="str">
        <f t="shared" ref="J21:O21" si="39">"Forecast "&amp;J1+13&amp;"/"&amp;RIGHT(J1,2)+14</f>
        <v>Forecast 2034/35</v>
      </c>
      <c r="K21" s="95" t="str">
        <f t="shared" si="39"/>
        <v>Forecast 2035/36</v>
      </c>
      <c r="L21" s="95" t="str">
        <f t="shared" si="39"/>
        <v>Forecast 2036/37</v>
      </c>
      <c r="M21" s="95" t="str">
        <f t="shared" si="39"/>
        <v>Forecast 2037/38</v>
      </c>
      <c r="N21" s="95" t="str">
        <f t="shared" si="39"/>
        <v>Forecast 2038/39</v>
      </c>
      <c r="O21" s="95" t="str">
        <f t="shared" si="39"/>
        <v>Forecast 2039/40</v>
      </c>
      <c r="P21" s="4"/>
    </row>
    <row r="22" spans="1:16" x14ac:dyDescent="0.2">
      <c r="A22" s="7" t="str">
        <f>'Template names'!C30</f>
        <v>Next yr of long term forecast</v>
      </c>
      <c r="B22" s="95" t="str">
        <f t="shared" ref="B22:I22" si="40">"Forecast "&amp;B1+14&amp;"/"&amp;RIGHT(B1,2)+15</f>
        <v>Forecast 2027/28</v>
      </c>
      <c r="C22" s="95" t="str">
        <f t="shared" si="40"/>
        <v>Forecast 2028/29</v>
      </c>
      <c r="D22" s="95" t="str">
        <f t="shared" si="40"/>
        <v>Forecast 2029/30</v>
      </c>
      <c r="E22" s="95" t="str">
        <f t="shared" si="40"/>
        <v>Forecast 2030/31</v>
      </c>
      <c r="F22" s="95" t="str">
        <f t="shared" si="40"/>
        <v>Forecast 2031/32</v>
      </c>
      <c r="G22" s="95" t="str">
        <f t="shared" si="40"/>
        <v>Forecast 2032/33</v>
      </c>
      <c r="H22" s="95" t="str">
        <f t="shared" si="40"/>
        <v>Forecast 2033/34</v>
      </c>
      <c r="I22" s="95" t="str">
        <f t="shared" si="40"/>
        <v>Forecast 2034/35</v>
      </c>
      <c r="J22" s="95" t="str">
        <f t="shared" ref="J22:O22" si="41">"Forecast "&amp;J1+14&amp;"/"&amp;RIGHT(J1,2)+15</f>
        <v>Forecast 2035/36</v>
      </c>
      <c r="K22" s="95" t="str">
        <f t="shared" si="41"/>
        <v>Forecast 2036/37</v>
      </c>
      <c r="L22" s="95" t="str">
        <f t="shared" si="41"/>
        <v>Forecast 2037/38</v>
      </c>
      <c r="M22" s="95" t="str">
        <f t="shared" si="41"/>
        <v>Forecast 2038/39</v>
      </c>
      <c r="N22" s="95" t="str">
        <f t="shared" si="41"/>
        <v>Forecast 2039/40</v>
      </c>
      <c r="O22" s="95" t="str">
        <f t="shared" si="41"/>
        <v>Forecast 2040/41</v>
      </c>
      <c r="P22" s="4"/>
    </row>
    <row r="23" spans="1:16" x14ac:dyDescent="0.2">
      <c r="A23" s="7" t="s">
        <v>472</v>
      </c>
      <c r="B23" s="95" t="str">
        <f t="shared" ref="B23:I23" si="42">"Annual target " &amp; B1&amp;"/"&amp;RIGHT(B1,2)+1</f>
        <v>Annual target 2013/14</v>
      </c>
      <c r="C23" s="95" t="str">
        <f t="shared" si="42"/>
        <v>Annual target 2014/15</v>
      </c>
      <c r="D23" s="95" t="str">
        <f t="shared" si="42"/>
        <v>Annual target 2015/16</v>
      </c>
      <c r="E23" s="95" t="str">
        <f t="shared" si="42"/>
        <v>Annual target 2016/17</v>
      </c>
      <c r="F23" s="95" t="str">
        <f t="shared" si="42"/>
        <v>Annual target 2017/18</v>
      </c>
      <c r="G23" s="95" t="str">
        <f t="shared" si="42"/>
        <v>Annual target 2018/19</v>
      </c>
      <c r="H23" s="95" t="str">
        <f t="shared" si="42"/>
        <v>Annual target 2019/20</v>
      </c>
      <c r="I23" s="95" t="str">
        <f t="shared" si="42"/>
        <v>Annual target 2020/21</v>
      </c>
      <c r="J23" s="95" t="str">
        <f t="shared" ref="J23:O23" si="43">"Annual target " &amp; J1&amp;"/"&amp;RIGHT(J1,2)+1</f>
        <v>Annual target 2021/22</v>
      </c>
      <c r="K23" s="95" t="str">
        <f t="shared" si="43"/>
        <v>Annual target 2022/23</v>
      </c>
      <c r="L23" s="95" t="str">
        <f t="shared" si="43"/>
        <v>Annual target 2023/24</v>
      </c>
      <c r="M23" s="95" t="str">
        <f t="shared" si="43"/>
        <v>Annual target 2024/25</v>
      </c>
      <c r="N23" s="95" t="str">
        <f t="shared" si="43"/>
        <v>Annual target 2025/26</v>
      </c>
      <c r="O23" s="95" t="str">
        <f t="shared" si="43"/>
        <v>Annual target 2026/27</v>
      </c>
      <c r="P23" s="4"/>
    </row>
    <row r="24" spans="1:16" x14ac:dyDescent="0.2">
      <c r="A24" s="98" t="s">
        <v>472</v>
      </c>
      <c r="B24" s="96" t="str">
        <f t="shared" ref="B24:I24" si="44">"Revised target "&amp; B1&amp;"/"&amp;RIGHT(B1,2)+1</f>
        <v>Revised target 2013/14</v>
      </c>
      <c r="C24" s="96" t="str">
        <f t="shared" si="44"/>
        <v>Revised target 2014/15</v>
      </c>
      <c r="D24" s="96" t="str">
        <f t="shared" si="44"/>
        <v>Revised target 2015/16</v>
      </c>
      <c r="E24" s="96" t="str">
        <f t="shared" si="44"/>
        <v>Revised target 2016/17</v>
      </c>
      <c r="F24" s="96" t="str">
        <f t="shared" si="44"/>
        <v>Revised target 2017/18</v>
      </c>
      <c r="G24" s="96" t="str">
        <f t="shared" si="44"/>
        <v>Revised target 2018/19</v>
      </c>
      <c r="H24" s="96" t="str">
        <f t="shared" si="44"/>
        <v>Revised target 2019/20</v>
      </c>
      <c r="I24" s="96" t="str">
        <f t="shared" si="44"/>
        <v>Revised target 2020/21</v>
      </c>
      <c r="J24" s="96" t="str">
        <f t="shared" ref="J24:O24" si="45">"Revised target "&amp; J1&amp;"/"&amp;RIGHT(J1,2)+1</f>
        <v>Revised target 2021/22</v>
      </c>
      <c r="K24" s="96" t="str">
        <f t="shared" si="45"/>
        <v>Revised target 2022/23</v>
      </c>
      <c r="L24" s="96" t="str">
        <f t="shared" si="45"/>
        <v>Revised target 2023/24</v>
      </c>
      <c r="M24" s="96" t="str">
        <f t="shared" si="45"/>
        <v>Revised target 2024/25</v>
      </c>
      <c r="N24" s="96" t="str">
        <f t="shared" si="45"/>
        <v>Revised target 2025/26</v>
      </c>
      <c r="O24" s="96" t="str">
        <f t="shared" si="45"/>
        <v>Revised target 2026/27</v>
      </c>
      <c r="P24" s="4"/>
    </row>
    <row r="25" spans="1:16" ht="17.399999999999999" x14ac:dyDescent="0.3">
      <c r="A25" s="99" t="s">
        <v>487</v>
      </c>
    </row>
    <row r="27" spans="1:16" x14ac:dyDescent="0.2">
      <c r="A27" s="1" t="s">
        <v>553</v>
      </c>
      <c r="B27" s="1">
        <v>41</v>
      </c>
    </row>
    <row r="28" spans="1:16" x14ac:dyDescent="0.2">
      <c r="A28" s="1" t="s">
        <v>554</v>
      </c>
      <c r="B28" s="1" t="str">
        <f>INDEX(B29:B312,B27,1)</f>
        <v>MAN Mangaung</v>
      </c>
    </row>
    <row r="29" spans="1:16" ht="13.2" x14ac:dyDescent="0.25">
      <c r="B29" s="181" t="s">
        <v>555</v>
      </c>
      <c r="C29" s="1" t="s">
        <v>556</v>
      </c>
    </row>
    <row r="30" spans="1:16" ht="13.2" x14ac:dyDescent="0.25">
      <c r="B30" s="220" t="s">
        <v>795</v>
      </c>
      <c r="C30" s="221" t="s">
        <v>1118</v>
      </c>
    </row>
    <row r="31" spans="1:16" ht="13.2" x14ac:dyDescent="0.25">
      <c r="B31" s="220" t="s">
        <v>796</v>
      </c>
      <c r="C31" s="222" t="s">
        <v>1118</v>
      </c>
    </row>
    <row r="32" spans="1:16" ht="13.2" x14ac:dyDescent="0.25">
      <c r="B32" s="220" t="s">
        <v>975</v>
      </c>
      <c r="C32" s="221" t="s">
        <v>1118</v>
      </c>
    </row>
    <row r="33" spans="2:3" ht="13.2" x14ac:dyDescent="0.25">
      <c r="B33" s="220" t="s">
        <v>591</v>
      </c>
      <c r="C33" s="221" t="s">
        <v>1118</v>
      </c>
    </row>
    <row r="34" spans="2:3" ht="13.2" x14ac:dyDescent="0.25">
      <c r="B34" s="220" t="s">
        <v>592</v>
      </c>
      <c r="C34" s="221" t="s">
        <v>1118</v>
      </c>
    </row>
    <row r="35" spans="2:3" ht="13.2" x14ac:dyDescent="0.25">
      <c r="B35" s="220" t="s">
        <v>593</v>
      </c>
      <c r="C35" s="221" t="s">
        <v>1118</v>
      </c>
    </row>
    <row r="36" spans="2:3" ht="13.2" x14ac:dyDescent="0.25">
      <c r="B36" s="220" t="s">
        <v>594</v>
      </c>
      <c r="C36" s="221" t="s">
        <v>1118</v>
      </c>
    </row>
    <row r="37" spans="2:3" ht="13.2" x14ac:dyDescent="0.25">
      <c r="B37" s="220" t="s">
        <v>595</v>
      </c>
      <c r="C37" s="222" t="s">
        <v>1118</v>
      </c>
    </row>
    <row r="38" spans="2:3" ht="13.2" x14ac:dyDescent="0.25">
      <c r="B38" s="220" t="s">
        <v>785</v>
      </c>
      <c r="C38" s="221" t="s">
        <v>1118</v>
      </c>
    </row>
    <row r="39" spans="2:3" ht="13.2" x14ac:dyDescent="0.25">
      <c r="B39" s="220" t="s">
        <v>831</v>
      </c>
      <c r="C39" s="223" t="s">
        <v>1118</v>
      </c>
    </row>
    <row r="40" spans="2:3" ht="13.2" x14ac:dyDescent="0.25">
      <c r="B40" s="220" t="s">
        <v>596</v>
      </c>
      <c r="C40" s="223" t="s">
        <v>1118</v>
      </c>
    </row>
    <row r="41" spans="2:3" ht="13.2" x14ac:dyDescent="0.25">
      <c r="B41" s="220" t="s">
        <v>597</v>
      </c>
      <c r="C41" s="224" t="s">
        <v>1118</v>
      </c>
    </row>
    <row r="42" spans="2:3" ht="13.2" x14ac:dyDescent="0.25">
      <c r="B42" s="220" t="s">
        <v>598</v>
      </c>
      <c r="C42" s="224" t="s">
        <v>1118</v>
      </c>
    </row>
    <row r="43" spans="2:3" ht="13.2" x14ac:dyDescent="0.25">
      <c r="B43" s="220" t="s">
        <v>599</v>
      </c>
      <c r="C43" s="224" t="s">
        <v>1118</v>
      </c>
    </row>
    <row r="44" spans="2:3" ht="13.2" x14ac:dyDescent="0.25">
      <c r="B44" s="220" t="s">
        <v>600</v>
      </c>
      <c r="C44" s="224" t="s">
        <v>1118</v>
      </c>
    </row>
    <row r="45" spans="2:3" ht="13.2" x14ac:dyDescent="0.25">
      <c r="B45" s="225" t="s">
        <v>835</v>
      </c>
      <c r="C45" s="224" t="s">
        <v>1118</v>
      </c>
    </row>
    <row r="46" spans="2:3" ht="13.2" x14ac:dyDescent="0.25">
      <c r="B46" s="220" t="s">
        <v>558</v>
      </c>
      <c r="C46" s="224" t="s">
        <v>1118</v>
      </c>
    </row>
    <row r="47" spans="2:3" ht="13.2" x14ac:dyDescent="0.25">
      <c r="B47" s="220" t="s">
        <v>601</v>
      </c>
      <c r="C47" s="224" t="s">
        <v>1118</v>
      </c>
    </row>
    <row r="48" spans="2:3" ht="13.2" x14ac:dyDescent="0.25">
      <c r="B48" s="220" t="s">
        <v>602</v>
      </c>
      <c r="C48" s="224" t="s">
        <v>1118</v>
      </c>
    </row>
    <row r="49" spans="2:3" ht="13.2" x14ac:dyDescent="0.25">
      <c r="B49" s="220" t="s">
        <v>832</v>
      </c>
      <c r="C49" s="224" t="s">
        <v>1118</v>
      </c>
    </row>
    <row r="50" spans="2:3" ht="13.2" x14ac:dyDescent="0.25">
      <c r="B50" s="220" t="s">
        <v>603</v>
      </c>
      <c r="C50" s="224" t="s">
        <v>1118</v>
      </c>
    </row>
    <row r="51" spans="2:3" ht="13.2" x14ac:dyDescent="0.25">
      <c r="B51" s="220" t="s">
        <v>604</v>
      </c>
      <c r="C51" s="223" t="s">
        <v>1118</v>
      </c>
    </row>
    <row r="52" spans="2:3" ht="13.2" x14ac:dyDescent="0.25">
      <c r="B52" s="225" t="s">
        <v>836</v>
      </c>
      <c r="C52" s="223" t="s">
        <v>1118</v>
      </c>
    </row>
    <row r="53" spans="2:3" ht="13.2" x14ac:dyDescent="0.25">
      <c r="B53" s="220" t="s">
        <v>559</v>
      </c>
      <c r="C53" s="223" t="s">
        <v>1118</v>
      </c>
    </row>
    <row r="54" spans="2:3" ht="13.2" x14ac:dyDescent="0.25">
      <c r="B54" s="220" t="s">
        <v>605</v>
      </c>
      <c r="C54" s="223" t="s">
        <v>1118</v>
      </c>
    </row>
    <row r="55" spans="2:3" ht="13.2" x14ac:dyDescent="0.25">
      <c r="B55" s="220" t="s">
        <v>606</v>
      </c>
      <c r="C55" s="223" t="s">
        <v>1118</v>
      </c>
    </row>
    <row r="56" spans="2:3" ht="13.2" x14ac:dyDescent="0.25">
      <c r="B56" s="225" t="s">
        <v>837</v>
      </c>
      <c r="C56" s="223" t="s">
        <v>1118</v>
      </c>
    </row>
    <row r="57" spans="2:3" ht="13.2" x14ac:dyDescent="0.25">
      <c r="B57" s="220" t="s">
        <v>783</v>
      </c>
      <c r="C57" s="223" t="s">
        <v>1118</v>
      </c>
    </row>
    <row r="58" spans="2:3" ht="13.2" x14ac:dyDescent="0.25">
      <c r="B58" s="220" t="s">
        <v>607</v>
      </c>
      <c r="C58" s="143" t="s">
        <v>1118</v>
      </c>
    </row>
    <row r="59" spans="2:3" ht="13.2" x14ac:dyDescent="0.25">
      <c r="B59" s="220" t="s">
        <v>608</v>
      </c>
      <c r="C59" s="143" t="s">
        <v>1118</v>
      </c>
    </row>
    <row r="60" spans="2:3" ht="13.2" x14ac:dyDescent="0.25">
      <c r="B60" s="220" t="s">
        <v>609</v>
      </c>
      <c r="C60" s="223" t="s">
        <v>1118</v>
      </c>
    </row>
    <row r="61" spans="2:3" ht="13.2" x14ac:dyDescent="0.25">
      <c r="B61" s="220" t="s">
        <v>610</v>
      </c>
      <c r="C61" s="223" t="s">
        <v>1118</v>
      </c>
    </row>
    <row r="62" spans="2:3" ht="13.2" x14ac:dyDescent="0.25">
      <c r="B62" s="220" t="s">
        <v>611</v>
      </c>
      <c r="C62" s="223" t="s">
        <v>1118</v>
      </c>
    </row>
    <row r="63" spans="2:3" ht="13.2" x14ac:dyDescent="0.25">
      <c r="B63" s="220" t="s">
        <v>560</v>
      </c>
      <c r="C63" s="223" t="s">
        <v>1118</v>
      </c>
    </row>
    <row r="64" spans="2:3" ht="13.2" x14ac:dyDescent="0.25">
      <c r="B64" s="220" t="s">
        <v>612</v>
      </c>
      <c r="C64" s="224" t="s">
        <v>1118</v>
      </c>
    </row>
    <row r="65" spans="2:3" ht="13.2" x14ac:dyDescent="0.25">
      <c r="B65" s="220" t="s">
        <v>613</v>
      </c>
      <c r="C65" s="223" t="s">
        <v>1118</v>
      </c>
    </row>
    <row r="66" spans="2:3" ht="13.2" x14ac:dyDescent="0.25">
      <c r="B66" s="220" t="s">
        <v>797</v>
      </c>
      <c r="C66" s="223" t="s">
        <v>1118</v>
      </c>
    </row>
    <row r="67" spans="2:3" ht="13.2" x14ac:dyDescent="0.25">
      <c r="B67" s="220" t="s">
        <v>798</v>
      </c>
      <c r="C67" s="223" t="s">
        <v>1118</v>
      </c>
    </row>
    <row r="68" spans="2:3" ht="13.2" x14ac:dyDescent="0.25">
      <c r="B68" s="220" t="s">
        <v>586</v>
      </c>
      <c r="C68" s="223" t="s">
        <v>1118</v>
      </c>
    </row>
    <row r="69" spans="2:3" ht="13.2" x14ac:dyDescent="0.25">
      <c r="B69" s="220" t="s">
        <v>799</v>
      </c>
      <c r="C69" s="223" t="s">
        <v>1149</v>
      </c>
    </row>
    <row r="70" spans="2:3" ht="13.2" x14ac:dyDescent="0.25">
      <c r="B70" s="220" t="s">
        <v>614</v>
      </c>
      <c r="C70" s="223" t="s">
        <v>1149</v>
      </c>
    </row>
    <row r="71" spans="2:3" ht="13.2" x14ac:dyDescent="0.25">
      <c r="B71" s="220" t="s">
        <v>615</v>
      </c>
      <c r="C71" s="223" t="s">
        <v>1149</v>
      </c>
    </row>
    <row r="72" spans="2:3" ht="13.2" x14ac:dyDescent="0.25">
      <c r="B72" s="220" t="s">
        <v>616</v>
      </c>
      <c r="C72" s="223" t="s">
        <v>1149</v>
      </c>
    </row>
    <row r="73" spans="2:3" ht="13.2" x14ac:dyDescent="0.25">
      <c r="B73" s="220" t="s">
        <v>561</v>
      </c>
      <c r="C73" s="223" t="s">
        <v>1149</v>
      </c>
    </row>
    <row r="74" spans="2:3" ht="13.2" x14ac:dyDescent="0.25">
      <c r="B74" s="220" t="s">
        <v>617</v>
      </c>
      <c r="C74" s="223" t="s">
        <v>1149</v>
      </c>
    </row>
    <row r="75" spans="2:3" ht="13.2" x14ac:dyDescent="0.25">
      <c r="B75" s="220" t="s">
        <v>618</v>
      </c>
      <c r="C75" s="223" t="s">
        <v>1149</v>
      </c>
    </row>
    <row r="76" spans="2:3" ht="13.2" x14ac:dyDescent="0.25">
      <c r="B76" s="220" t="s">
        <v>619</v>
      </c>
      <c r="C76" s="223" t="s">
        <v>1149</v>
      </c>
    </row>
    <row r="77" spans="2:3" ht="13.2" x14ac:dyDescent="0.25">
      <c r="B77" s="220" t="s">
        <v>620</v>
      </c>
      <c r="C77" s="223" t="s">
        <v>1149</v>
      </c>
    </row>
    <row r="78" spans="2:3" ht="13.2" x14ac:dyDescent="0.25">
      <c r="B78" s="220" t="s">
        <v>621</v>
      </c>
      <c r="C78" s="223" t="s">
        <v>1149</v>
      </c>
    </row>
    <row r="79" spans="2:3" ht="13.2" x14ac:dyDescent="0.25">
      <c r="B79" s="220" t="s">
        <v>562</v>
      </c>
      <c r="C79" s="223" t="s">
        <v>1149</v>
      </c>
    </row>
    <row r="80" spans="2:3" ht="13.2" x14ac:dyDescent="0.25">
      <c r="B80" s="220" t="s">
        <v>622</v>
      </c>
      <c r="C80" s="223" t="s">
        <v>1149</v>
      </c>
    </row>
    <row r="81" spans="2:3" ht="13.2" x14ac:dyDescent="0.25">
      <c r="B81" s="220" t="s">
        <v>623</v>
      </c>
      <c r="C81" s="223" t="s">
        <v>1149</v>
      </c>
    </row>
    <row r="82" spans="2:3" ht="13.2" x14ac:dyDescent="0.25">
      <c r="B82" s="220" t="s">
        <v>624</v>
      </c>
      <c r="C82" s="223" t="s">
        <v>1149</v>
      </c>
    </row>
    <row r="83" spans="2:3" ht="13.2" x14ac:dyDescent="0.25">
      <c r="B83" s="220" t="s">
        <v>625</v>
      </c>
      <c r="C83" s="223" t="s">
        <v>1149</v>
      </c>
    </row>
    <row r="84" spans="2:3" ht="13.2" x14ac:dyDescent="0.25">
      <c r="B84" s="220" t="s">
        <v>626</v>
      </c>
      <c r="C84" s="223" t="s">
        <v>1149</v>
      </c>
    </row>
    <row r="85" spans="2:3" ht="13.2" x14ac:dyDescent="0.25">
      <c r="B85" s="220" t="s">
        <v>800</v>
      </c>
      <c r="C85" s="223" t="s">
        <v>1149</v>
      </c>
    </row>
    <row r="86" spans="2:3" ht="13.2" x14ac:dyDescent="0.25">
      <c r="B86" s="220" t="s">
        <v>563</v>
      </c>
      <c r="C86" s="223" t="s">
        <v>1149</v>
      </c>
    </row>
    <row r="87" spans="2:3" ht="13.2" x14ac:dyDescent="0.25">
      <c r="B87" s="220" t="s">
        <v>627</v>
      </c>
      <c r="C87" s="223" t="s">
        <v>1149</v>
      </c>
    </row>
    <row r="88" spans="2:3" ht="13.2" x14ac:dyDescent="0.25">
      <c r="B88" s="220" t="s">
        <v>628</v>
      </c>
      <c r="C88" s="223" t="s">
        <v>1149</v>
      </c>
    </row>
    <row r="89" spans="2:3" ht="13.2" x14ac:dyDescent="0.25">
      <c r="B89" s="220" t="s">
        <v>629</v>
      </c>
      <c r="C89" s="223" t="s">
        <v>1149</v>
      </c>
    </row>
    <row r="90" spans="2:3" ht="13.2" x14ac:dyDescent="0.25">
      <c r="B90" s="220" t="s">
        <v>630</v>
      </c>
      <c r="C90" s="223" t="s">
        <v>1149</v>
      </c>
    </row>
    <row r="91" spans="2:3" ht="13.2" x14ac:dyDescent="0.25">
      <c r="B91" s="220" t="s">
        <v>564</v>
      </c>
      <c r="C91" s="223" t="s">
        <v>1149</v>
      </c>
    </row>
    <row r="92" spans="2:3" ht="13.2" x14ac:dyDescent="0.25">
      <c r="B92" s="220" t="s">
        <v>976</v>
      </c>
      <c r="C92" s="223" t="s">
        <v>1151</v>
      </c>
    </row>
    <row r="93" spans="2:3" ht="13.2" x14ac:dyDescent="0.25">
      <c r="B93" s="220" t="s">
        <v>801</v>
      </c>
      <c r="C93" s="223" t="s">
        <v>1151</v>
      </c>
    </row>
    <row r="94" spans="2:3" ht="13.2" x14ac:dyDescent="0.25">
      <c r="B94" s="220" t="s">
        <v>802</v>
      </c>
      <c r="C94" s="223" t="s">
        <v>1151</v>
      </c>
    </row>
    <row r="95" spans="2:3" ht="13.2" x14ac:dyDescent="0.25">
      <c r="B95" s="220" t="s">
        <v>631</v>
      </c>
      <c r="C95" s="223" t="s">
        <v>1151</v>
      </c>
    </row>
    <row r="96" spans="2:3" ht="13.2" x14ac:dyDescent="0.25">
      <c r="B96" s="220" t="s">
        <v>632</v>
      </c>
      <c r="C96" s="223" t="s">
        <v>1151</v>
      </c>
    </row>
    <row r="97" spans="2:3" ht="13.2" x14ac:dyDescent="0.25">
      <c r="B97" s="220" t="s">
        <v>633</v>
      </c>
      <c r="C97" s="223" t="s">
        <v>1151</v>
      </c>
    </row>
    <row r="98" spans="2:3" ht="13.2" x14ac:dyDescent="0.25">
      <c r="B98" s="220" t="s">
        <v>585</v>
      </c>
      <c r="C98" s="223" t="s">
        <v>1151</v>
      </c>
    </row>
    <row r="99" spans="2:3" ht="13.2" x14ac:dyDescent="0.25">
      <c r="B99" s="220" t="s">
        <v>634</v>
      </c>
      <c r="C99" s="223" t="s">
        <v>1151</v>
      </c>
    </row>
    <row r="100" spans="2:3" ht="13.2" x14ac:dyDescent="0.25">
      <c r="B100" s="220" t="s">
        <v>786</v>
      </c>
      <c r="C100" s="223" t="s">
        <v>1151</v>
      </c>
    </row>
    <row r="101" spans="2:3" ht="13.2" x14ac:dyDescent="0.25">
      <c r="B101" s="225" t="s">
        <v>977</v>
      </c>
      <c r="C101" s="223" t="s">
        <v>1151</v>
      </c>
    </row>
    <row r="102" spans="2:3" ht="13.2" x14ac:dyDescent="0.25">
      <c r="B102" s="220" t="s">
        <v>587</v>
      </c>
      <c r="C102" s="223" t="s">
        <v>1151</v>
      </c>
    </row>
    <row r="103" spans="2:3" ht="13.2" x14ac:dyDescent="0.25">
      <c r="B103" s="220" t="s">
        <v>803</v>
      </c>
      <c r="C103" s="223" t="s">
        <v>1152</v>
      </c>
    </row>
    <row r="104" spans="2:3" ht="13.2" x14ac:dyDescent="0.25">
      <c r="B104" s="220" t="s">
        <v>635</v>
      </c>
      <c r="C104" s="223" t="s">
        <v>1152</v>
      </c>
    </row>
    <row r="105" spans="2:3" ht="13.2" x14ac:dyDescent="0.25">
      <c r="B105" s="220" t="s">
        <v>636</v>
      </c>
      <c r="C105" s="221" t="s">
        <v>1152</v>
      </c>
    </row>
    <row r="106" spans="2:3" ht="13.2" x14ac:dyDescent="0.25">
      <c r="B106" s="220" t="s">
        <v>637</v>
      </c>
      <c r="C106" s="221" t="s">
        <v>1152</v>
      </c>
    </row>
    <row r="107" spans="2:3" ht="13.2" x14ac:dyDescent="0.25">
      <c r="B107" s="220" t="s">
        <v>843</v>
      </c>
      <c r="C107" s="221" t="s">
        <v>1152</v>
      </c>
    </row>
    <row r="108" spans="2:3" ht="13.2" x14ac:dyDescent="0.25">
      <c r="B108" s="220" t="s">
        <v>565</v>
      </c>
      <c r="C108" s="221" t="s">
        <v>1152</v>
      </c>
    </row>
    <row r="109" spans="2:3" ht="13.2" x14ac:dyDescent="0.25">
      <c r="B109" s="220" t="s">
        <v>638</v>
      </c>
      <c r="C109" s="221" t="s">
        <v>1152</v>
      </c>
    </row>
    <row r="110" spans="2:3" ht="13.2" x14ac:dyDescent="0.25">
      <c r="B110" s="220" t="s">
        <v>639</v>
      </c>
      <c r="C110" s="221" t="s">
        <v>1152</v>
      </c>
    </row>
    <row r="111" spans="2:3" ht="13.2" x14ac:dyDescent="0.25">
      <c r="B111" s="220" t="s">
        <v>640</v>
      </c>
      <c r="C111" s="221" t="s">
        <v>1152</v>
      </c>
    </row>
    <row r="112" spans="2:3" ht="13.2" x14ac:dyDescent="0.25">
      <c r="B112" s="220" t="s">
        <v>641</v>
      </c>
      <c r="C112" s="221" t="s">
        <v>1152</v>
      </c>
    </row>
    <row r="113" spans="2:3" ht="13.2" x14ac:dyDescent="0.25">
      <c r="B113" s="220" t="s">
        <v>642</v>
      </c>
      <c r="C113" s="221" t="s">
        <v>1152</v>
      </c>
    </row>
    <row r="114" spans="2:3" ht="13.2" x14ac:dyDescent="0.25">
      <c r="B114" s="220" t="s">
        <v>643</v>
      </c>
      <c r="C114" s="221" t="s">
        <v>1152</v>
      </c>
    </row>
    <row r="115" spans="2:3" ht="13.2" x14ac:dyDescent="0.25">
      <c r="B115" s="220" t="s">
        <v>644</v>
      </c>
      <c r="C115" s="221" t="s">
        <v>1152</v>
      </c>
    </row>
    <row r="116" spans="2:3" ht="13.2" x14ac:dyDescent="0.25">
      <c r="B116" s="220" t="s">
        <v>566</v>
      </c>
      <c r="C116" s="221" t="s">
        <v>1152</v>
      </c>
    </row>
    <row r="117" spans="2:3" ht="13.2" x14ac:dyDescent="0.25">
      <c r="B117" s="220" t="s">
        <v>645</v>
      </c>
      <c r="C117" s="221" t="s">
        <v>1152</v>
      </c>
    </row>
    <row r="118" spans="2:3" ht="13.2" x14ac:dyDescent="0.25">
      <c r="B118" s="225" t="s">
        <v>838</v>
      </c>
      <c r="C118" s="221" t="s">
        <v>1152</v>
      </c>
    </row>
    <row r="119" spans="2:3" ht="13.2" x14ac:dyDescent="0.25">
      <c r="B119" s="225" t="s">
        <v>839</v>
      </c>
      <c r="C119" s="221" t="s">
        <v>1152</v>
      </c>
    </row>
    <row r="120" spans="2:3" ht="13.2" x14ac:dyDescent="0.25">
      <c r="B120" s="220" t="s">
        <v>567</v>
      </c>
      <c r="C120" s="221" t="s">
        <v>1152</v>
      </c>
    </row>
    <row r="121" spans="2:3" ht="13.2" x14ac:dyDescent="0.25">
      <c r="B121" s="220" t="s">
        <v>646</v>
      </c>
      <c r="C121" s="221" t="s">
        <v>1152</v>
      </c>
    </row>
    <row r="122" spans="2:3" ht="13.2" x14ac:dyDescent="0.25">
      <c r="B122" s="220" t="s">
        <v>647</v>
      </c>
      <c r="C122" s="221" t="s">
        <v>1152</v>
      </c>
    </row>
    <row r="123" spans="2:3" ht="13.2" x14ac:dyDescent="0.25">
      <c r="B123" s="220" t="s">
        <v>648</v>
      </c>
      <c r="C123" s="221" t="s">
        <v>1152</v>
      </c>
    </row>
    <row r="124" spans="2:3" ht="13.2" x14ac:dyDescent="0.25">
      <c r="B124" s="220" t="s">
        <v>649</v>
      </c>
      <c r="C124" s="221" t="s">
        <v>1152</v>
      </c>
    </row>
    <row r="125" spans="2:3" ht="13.2" x14ac:dyDescent="0.25">
      <c r="B125" s="220" t="s">
        <v>568</v>
      </c>
      <c r="C125" s="223" t="s">
        <v>1152</v>
      </c>
    </row>
    <row r="126" spans="2:3" ht="13.2" x14ac:dyDescent="0.25">
      <c r="B126" s="220" t="s">
        <v>650</v>
      </c>
      <c r="C126" s="223" t="s">
        <v>1152</v>
      </c>
    </row>
    <row r="127" spans="2:3" ht="13.2" x14ac:dyDescent="0.25">
      <c r="B127" s="220" t="s">
        <v>978</v>
      </c>
      <c r="C127" s="223" t="s">
        <v>1152</v>
      </c>
    </row>
    <row r="128" spans="2:3" ht="13.2" x14ac:dyDescent="0.25">
      <c r="B128" s="220" t="s">
        <v>651</v>
      </c>
      <c r="C128" s="223" t="s">
        <v>1152</v>
      </c>
    </row>
    <row r="129" spans="2:3" ht="13.2" x14ac:dyDescent="0.25">
      <c r="B129" s="220" t="s">
        <v>569</v>
      </c>
      <c r="C129" s="223" t="s">
        <v>1152</v>
      </c>
    </row>
    <row r="130" spans="2:3" ht="13.2" x14ac:dyDescent="0.25">
      <c r="B130" s="220" t="s">
        <v>652</v>
      </c>
      <c r="C130" s="223" t="s">
        <v>1152</v>
      </c>
    </row>
    <row r="131" spans="2:3" ht="13.2" x14ac:dyDescent="0.25">
      <c r="B131" s="220" t="s">
        <v>653</v>
      </c>
      <c r="C131" s="223" t="s">
        <v>1152</v>
      </c>
    </row>
    <row r="132" spans="2:3" ht="13.2" x14ac:dyDescent="0.25">
      <c r="B132" s="220" t="s">
        <v>654</v>
      </c>
      <c r="C132" s="223" t="s">
        <v>1152</v>
      </c>
    </row>
    <row r="133" spans="2:3" ht="13.2" x14ac:dyDescent="0.25">
      <c r="B133" s="220" t="s">
        <v>655</v>
      </c>
      <c r="C133" s="223" t="s">
        <v>1152</v>
      </c>
    </row>
    <row r="134" spans="2:3" ht="13.2" x14ac:dyDescent="0.25">
      <c r="B134" s="220" t="s">
        <v>656</v>
      </c>
      <c r="C134" s="223" t="s">
        <v>1152</v>
      </c>
    </row>
    <row r="135" spans="2:3" ht="13.2" x14ac:dyDescent="0.25">
      <c r="B135" s="220" t="s">
        <v>570</v>
      </c>
      <c r="C135" s="224" t="s">
        <v>1152</v>
      </c>
    </row>
    <row r="136" spans="2:3" ht="13.2" x14ac:dyDescent="0.25">
      <c r="B136" s="220" t="s">
        <v>657</v>
      </c>
      <c r="C136" s="224" t="s">
        <v>1152</v>
      </c>
    </row>
    <row r="137" spans="2:3" ht="13.2" x14ac:dyDescent="0.25">
      <c r="B137" s="220" t="s">
        <v>658</v>
      </c>
      <c r="C137" s="224" t="s">
        <v>1152</v>
      </c>
    </row>
    <row r="138" spans="2:3" ht="13.2" x14ac:dyDescent="0.25">
      <c r="B138" s="220" t="s">
        <v>659</v>
      </c>
      <c r="C138" s="224" t="s">
        <v>1152</v>
      </c>
    </row>
    <row r="139" spans="2:3" ht="13.2" x14ac:dyDescent="0.25">
      <c r="B139" s="225" t="s">
        <v>979</v>
      </c>
      <c r="C139" s="224" t="s">
        <v>1152</v>
      </c>
    </row>
    <row r="140" spans="2:3" ht="13.2" x14ac:dyDescent="0.25">
      <c r="B140" s="220" t="s">
        <v>571</v>
      </c>
      <c r="C140" s="224" t="s">
        <v>1152</v>
      </c>
    </row>
    <row r="141" spans="2:3" ht="13.2" x14ac:dyDescent="0.25">
      <c r="B141" s="220" t="s">
        <v>787</v>
      </c>
      <c r="C141" s="224" t="s">
        <v>1152</v>
      </c>
    </row>
    <row r="142" spans="2:3" ht="13.2" x14ac:dyDescent="0.25">
      <c r="B142" s="220" t="s">
        <v>660</v>
      </c>
      <c r="C142" s="224" t="s">
        <v>1152</v>
      </c>
    </row>
    <row r="143" spans="2:3" ht="13.2" x14ac:dyDescent="0.25">
      <c r="B143" s="220" t="s">
        <v>788</v>
      </c>
      <c r="C143" s="224" t="s">
        <v>1152</v>
      </c>
    </row>
    <row r="144" spans="2:3" ht="13.2" x14ac:dyDescent="0.25">
      <c r="B144" s="220" t="s">
        <v>661</v>
      </c>
      <c r="C144" s="224" t="s">
        <v>1152</v>
      </c>
    </row>
    <row r="145" spans="2:3" ht="13.2" x14ac:dyDescent="0.25">
      <c r="B145" s="220" t="s">
        <v>662</v>
      </c>
      <c r="C145" s="224" t="s">
        <v>1152</v>
      </c>
    </row>
    <row r="146" spans="2:3" ht="13.2" x14ac:dyDescent="0.25">
      <c r="B146" s="220" t="s">
        <v>840</v>
      </c>
      <c r="C146" s="224" t="s">
        <v>1152</v>
      </c>
    </row>
    <row r="147" spans="2:3" ht="13.2" x14ac:dyDescent="0.25">
      <c r="B147" s="220" t="s">
        <v>663</v>
      </c>
      <c r="C147" s="224" t="s">
        <v>1152</v>
      </c>
    </row>
    <row r="148" spans="2:3" ht="13.2" x14ac:dyDescent="0.25">
      <c r="B148" s="220" t="s">
        <v>664</v>
      </c>
      <c r="C148" s="224" t="s">
        <v>1152</v>
      </c>
    </row>
    <row r="149" spans="2:3" ht="13.2" x14ac:dyDescent="0.25">
      <c r="B149" s="220" t="s">
        <v>665</v>
      </c>
      <c r="C149" s="224" t="s">
        <v>1152</v>
      </c>
    </row>
    <row r="150" spans="2:3" ht="13.2" x14ac:dyDescent="0.25">
      <c r="B150" s="220" t="s">
        <v>666</v>
      </c>
      <c r="C150" s="224" t="s">
        <v>1152</v>
      </c>
    </row>
    <row r="151" spans="2:3" ht="13.2" x14ac:dyDescent="0.25">
      <c r="B151" s="220" t="s">
        <v>572</v>
      </c>
      <c r="C151" s="224" t="s">
        <v>1152</v>
      </c>
    </row>
    <row r="152" spans="2:3" ht="13.2" x14ac:dyDescent="0.25">
      <c r="B152" s="220" t="s">
        <v>667</v>
      </c>
      <c r="C152" s="224" t="s">
        <v>1152</v>
      </c>
    </row>
    <row r="153" spans="2:3" ht="13.2" x14ac:dyDescent="0.25">
      <c r="B153" s="220" t="s">
        <v>668</v>
      </c>
      <c r="C153" s="224" t="s">
        <v>1152</v>
      </c>
    </row>
    <row r="154" spans="2:3" ht="13.2" x14ac:dyDescent="0.25">
      <c r="B154" s="220" t="s">
        <v>669</v>
      </c>
      <c r="C154" s="224" t="s">
        <v>1152</v>
      </c>
    </row>
    <row r="155" spans="2:3" ht="13.2" x14ac:dyDescent="0.25">
      <c r="B155" s="225" t="s">
        <v>841</v>
      </c>
      <c r="C155" s="224" t="s">
        <v>1152</v>
      </c>
    </row>
    <row r="156" spans="2:3" ht="13.2" x14ac:dyDescent="0.25">
      <c r="B156" s="220" t="s">
        <v>804</v>
      </c>
      <c r="C156" s="224" t="s">
        <v>1152</v>
      </c>
    </row>
    <row r="157" spans="2:3" ht="13.2" x14ac:dyDescent="0.25">
      <c r="B157" s="220" t="s">
        <v>670</v>
      </c>
      <c r="C157" s="224" t="s">
        <v>1153</v>
      </c>
    </row>
    <row r="158" spans="2:3" ht="13.2" x14ac:dyDescent="0.25">
      <c r="B158" s="220" t="s">
        <v>671</v>
      </c>
      <c r="C158" s="224" t="s">
        <v>1153</v>
      </c>
    </row>
    <row r="159" spans="2:3" ht="13.2" x14ac:dyDescent="0.25">
      <c r="B159" s="220" t="s">
        <v>672</v>
      </c>
      <c r="C159" s="224" t="s">
        <v>1153</v>
      </c>
    </row>
    <row r="160" spans="2:3" ht="13.2" x14ac:dyDescent="0.25">
      <c r="B160" s="220" t="s">
        <v>673</v>
      </c>
      <c r="C160" s="224" t="s">
        <v>1153</v>
      </c>
    </row>
    <row r="161" spans="2:3" ht="13.2" x14ac:dyDescent="0.25">
      <c r="B161" s="220" t="s">
        <v>674</v>
      </c>
      <c r="C161" s="224" t="s">
        <v>1153</v>
      </c>
    </row>
    <row r="162" spans="2:3" ht="13.2" x14ac:dyDescent="0.25">
      <c r="B162" s="220" t="s">
        <v>577</v>
      </c>
      <c r="C162" s="224" t="s">
        <v>1153</v>
      </c>
    </row>
    <row r="163" spans="2:3" ht="13.2" x14ac:dyDescent="0.25">
      <c r="B163" s="220" t="s">
        <v>675</v>
      </c>
      <c r="C163" s="224" t="s">
        <v>1153</v>
      </c>
    </row>
    <row r="164" spans="2:3" ht="13.2" x14ac:dyDescent="0.25">
      <c r="B164" s="220" t="s">
        <v>676</v>
      </c>
      <c r="C164" s="224" t="s">
        <v>1153</v>
      </c>
    </row>
    <row r="165" spans="2:3" ht="13.2" x14ac:dyDescent="0.25">
      <c r="B165" s="220" t="s">
        <v>677</v>
      </c>
      <c r="C165" s="224" t="s">
        <v>1153</v>
      </c>
    </row>
    <row r="166" spans="2:3" ht="13.2" x14ac:dyDescent="0.25">
      <c r="B166" s="225" t="s">
        <v>980</v>
      </c>
      <c r="C166" s="224" t="s">
        <v>1153</v>
      </c>
    </row>
    <row r="167" spans="2:3" ht="13.2" x14ac:dyDescent="0.25">
      <c r="B167" s="220" t="s">
        <v>578</v>
      </c>
      <c r="C167" s="224" t="s">
        <v>1153</v>
      </c>
    </row>
    <row r="168" spans="2:3" ht="13.2" x14ac:dyDescent="0.25">
      <c r="B168" s="220" t="s">
        <v>678</v>
      </c>
      <c r="C168" s="224" t="s">
        <v>1153</v>
      </c>
    </row>
    <row r="169" spans="2:3" ht="13.2" x14ac:dyDescent="0.25">
      <c r="B169" s="220" t="s">
        <v>679</v>
      </c>
      <c r="C169" s="224" t="s">
        <v>1153</v>
      </c>
    </row>
    <row r="170" spans="2:3" ht="13.2" x14ac:dyDescent="0.25">
      <c r="B170" s="220" t="s">
        <v>680</v>
      </c>
      <c r="C170" s="224" t="s">
        <v>1153</v>
      </c>
    </row>
    <row r="171" spans="2:3" ht="13.2" x14ac:dyDescent="0.25">
      <c r="B171" s="220" t="s">
        <v>681</v>
      </c>
      <c r="C171" s="224" t="s">
        <v>1153</v>
      </c>
    </row>
    <row r="172" spans="2:3" ht="13.2" x14ac:dyDescent="0.25">
      <c r="B172" s="220" t="s">
        <v>579</v>
      </c>
      <c r="C172" s="224" t="s">
        <v>1153</v>
      </c>
    </row>
    <row r="173" spans="2:3" ht="13.2" x14ac:dyDescent="0.25">
      <c r="B173" s="220" t="s">
        <v>682</v>
      </c>
      <c r="C173" s="224" t="s">
        <v>1153</v>
      </c>
    </row>
    <row r="174" spans="2:3" ht="13.2" x14ac:dyDescent="0.25">
      <c r="B174" s="220" t="s">
        <v>683</v>
      </c>
      <c r="C174" s="224" t="s">
        <v>1153</v>
      </c>
    </row>
    <row r="175" spans="2:3" ht="13.2" x14ac:dyDescent="0.25">
      <c r="B175" s="220" t="s">
        <v>684</v>
      </c>
      <c r="C175" s="224" t="s">
        <v>1153</v>
      </c>
    </row>
    <row r="176" spans="2:3" ht="13.2" x14ac:dyDescent="0.25">
      <c r="B176" s="220" t="s">
        <v>685</v>
      </c>
      <c r="C176" s="224" t="s">
        <v>1153</v>
      </c>
    </row>
    <row r="177" spans="2:3" ht="13.2" x14ac:dyDescent="0.25">
      <c r="B177" s="225" t="s">
        <v>981</v>
      </c>
      <c r="C177" s="224" t="s">
        <v>1153</v>
      </c>
    </row>
    <row r="178" spans="2:3" ht="13.2" x14ac:dyDescent="0.25">
      <c r="B178" s="220" t="s">
        <v>580</v>
      </c>
      <c r="C178" s="224" t="s">
        <v>1153</v>
      </c>
    </row>
    <row r="179" spans="2:3" ht="13.2" x14ac:dyDescent="0.25">
      <c r="B179" s="220" t="s">
        <v>789</v>
      </c>
      <c r="C179" s="223" t="s">
        <v>1153</v>
      </c>
    </row>
    <row r="180" spans="2:3" ht="13.2" x14ac:dyDescent="0.25">
      <c r="B180" s="220" t="s">
        <v>686</v>
      </c>
      <c r="C180" s="223" t="s">
        <v>1153</v>
      </c>
    </row>
    <row r="181" spans="2:3" ht="13.2" x14ac:dyDescent="0.25">
      <c r="B181" s="220" t="s">
        <v>790</v>
      </c>
      <c r="C181" s="223" t="s">
        <v>1153</v>
      </c>
    </row>
    <row r="182" spans="2:3" ht="13.2" x14ac:dyDescent="0.25">
      <c r="B182" s="225" t="s">
        <v>982</v>
      </c>
      <c r="C182" s="223" t="s">
        <v>1153</v>
      </c>
    </row>
    <row r="183" spans="2:3" ht="13.2" x14ac:dyDescent="0.25">
      <c r="B183" s="220" t="s">
        <v>805</v>
      </c>
      <c r="C183" s="223" t="s">
        <v>1153</v>
      </c>
    </row>
    <row r="184" spans="2:3" ht="13.2" x14ac:dyDescent="0.25">
      <c r="B184" s="220" t="s">
        <v>687</v>
      </c>
      <c r="C184" s="223" t="s">
        <v>1154</v>
      </c>
    </row>
    <row r="185" spans="2:3" ht="13.2" x14ac:dyDescent="0.25">
      <c r="B185" s="220" t="s">
        <v>688</v>
      </c>
      <c r="C185" s="223" t="s">
        <v>1154</v>
      </c>
    </row>
    <row r="186" spans="2:3" ht="13.2" x14ac:dyDescent="0.25">
      <c r="B186" s="220" t="s">
        <v>689</v>
      </c>
      <c r="C186" s="223" t="s">
        <v>1154</v>
      </c>
    </row>
    <row r="187" spans="2:3" ht="13.2" x14ac:dyDescent="0.25">
      <c r="B187" s="220" t="s">
        <v>791</v>
      </c>
      <c r="C187" s="223" t="s">
        <v>1154</v>
      </c>
    </row>
    <row r="188" spans="2:3" ht="13.2" x14ac:dyDescent="0.25">
      <c r="B188" s="220" t="s">
        <v>690</v>
      </c>
      <c r="C188" s="223" t="s">
        <v>1154</v>
      </c>
    </row>
    <row r="189" spans="2:3" ht="13.2" x14ac:dyDescent="0.25">
      <c r="B189" s="220" t="s">
        <v>691</v>
      </c>
      <c r="C189" s="223" t="s">
        <v>1154</v>
      </c>
    </row>
    <row r="190" spans="2:3" ht="13.2" x14ac:dyDescent="0.25">
      <c r="B190" s="220" t="s">
        <v>692</v>
      </c>
      <c r="C190" s="223" t="s">
        <v>1154</v>
      </c>
    </row>
    <row r="191" spans="2:3" ht="13.2" x14ac:dyDescent="0.25">
      <c r="B191" s="220" t="s">
        <v>574</v>
      </c>
      <c r="C191" s="223" t="s">
        <v>1154</v>
      </c>
    </row>
    <row r="192" spans="2:3" ht="13.2" x14ac:dyDescent="0.25">
      <c r="B192" s="220" t="s">
        <v>792</v>
      </c>
      <c r="C192" s="223" t="s">
        <v>1154</v>
      </c>
    </row>
    <row r="193" spans="2:3" ht="13.2" x14ac:dyDescent="0.25">
      <c r="B193" s="220" t="s">
        <v>806</v>
      </c>
      <c r="C193" s="223" t="s">
        <v>1154</v>
      </c>
    </row>
    <row r="194" spans="2:3" ht="13.2" x14ac:dyDescent="0.25">
      <c r="B194" s="220" t="s">
        <v>693</v>
      </c>
      <c r="C194" s="223" t="s">
        <v>1154</v>
      </c>
    </row>
    <row r="195" spans="2:3" ht="13.2" x14ac:dyDescent="0.25">
      <c r="B195" s="220" t="s">
        <v>694</v>
      </c>
      <c r="C195" s="223" t="s">
        <v>1154</v>
      </c>
    </row>
    <row r="196" spans="2:3" ht="13.2" x14ac:dyDescent="0.25">
      <c r="B196" s="220" t="s">
        <v>807</v>
      </c>
      <c r="C196" s="223" t="s">
        <v>1154</v>
      </c>
    </row>
    <row r="197" spans="2:3" ht="13.2" x14ac:dyDescent="0.25">
      <c r="B197" s="220" t="s">
        <v>695</v>
      </c>
      <c r="C197" s="223" t="s">
        <v>1154</v>
      </c>
    </row>
    <row r="198" spans="2:3" ht="13.2" x14ac:dyDescent="0.25">
      <c r="B198" s="220" t="s">
        <v>575</v>
      </c>
      <c r="C198" s="223" t="s">
        <v>1154</v>
      </c>
    </row>
    <row r="199" spans="2:3" ht="13.2" x14ac:dyDescent="0.25">
      <c r="B199" s="220" t="s">
        <v>696</v>
      </c>
      <c r="C199" s="223" t="s">
        <v>1154</v>
      </c>
    </row>
    <row r="200" spans="2:3" ht="13.2" x14ac:dyDescent="0.25">
      <c r="B200" s="220" t="s">
        <v>697</v>
      </c>
      <c r="C200" s="223" t="s">
        <v>1154</v>
      </c>
    </row>
    <row r="201" spans="2:3" ht="13.2" x14ac:dyDescent="0.25">
      <c r="B201" s="220" t="s">
        <v>698</v>
      </c>
      <c r="C201" s="223" t="s">
        <v>1154</v>
      </c>
    </row>
    <row r="202" spans="2:3" ht="13.2" x14ac:dyDescent="0.25">
      <c r="B202" s="225" t="s">
        <v>842</v>
      </c>
      <c r="C202" s="223" t="s">
        <v>1154</v>
      </c>
    </row>
    <row r="203" spans="2:3" ht="13.2" x14ac:dyDescent="0.25">
      <c r="B203" s="220" t="s">
        <v>576</v>
      </c>
      <c r="C203" s="223" t="s">
        <v>1154</v>
      </c>
    </row>
    <row r="204" spans="2:3" ht="13.2" x14ac:dyDescent="0.25">
      <c r="B204" s="220" t="s">
        <v>793</v>
      </c>
      <c r="C204" s="223" t="s">
        <v>1155</v>
      </c>
    </row>
    <row r="205" spans="2:3" ht="13.2" x14ac:dyDescent="0.25">
      <c r="B205" s="220" t="s">
        <v>721</v>
      </c>
      <c r="C205" s="223" t="s">
        <v>1155</v>
      </c>
    </row>
    <row r="206" spans="2:3" ht="13.2" x14ac:dyDescent="0.25">
      <c r="B206" s="220" t="s">
        <v>722</v>
      </c>
      <c r="C206" s="223" t="s">
        <v>1155</v>
      </c>
    </row>
    <row r="207" spans="2:3" ht="13.2" x14ac:dyDescent="0.25">
      <c r="B207" s="220" t="s">
        <v>784</v>
      </c>
      <c r="C207" s="223" t="s">
        <v>1155</v>
      </c>
    </row>
    <row r="208" spans="2:3" ht="13.2" x14ac:dyDescent="0.25">
      <c r="B208" s="220" t="s">
        <v>699</v>
      </c>
      <c r="C208" s="223" t="s">
        <v>1155</v>
      </c>
    </row>
    <row r="209" spans="2:3" ht="13.2" x14ac:dyDescent="0.25">
      <c r="B209" s="220" t="s">
        <v>700</v>
      </c>
      <c r="C209" s="223" t="s">
        <v>1155</v>
      </c>
    </row>
    <row r="210" spans="2:3" ht="13.2" x14ac:dyDescent="0.25">
      <c r="B210" s="220" t="s">
        <v>701</v>
      </c>
      <c r="C210" s="223" t="s">
        <v>1155</v>
      </c>
    </row>
    <row r="211" spans="2:3" ht="13.2" x14ac:dyDescent="0.25">
      <c r="B211" s="220" t="s">
        <v>702</v>
      </c>
      <c r="C211" s="223" t="s">
        <v>1155</v>
      </c>
    </row>
    <row r="212" spans="2:3" ht="13.2" x14ac:dyDescent="0.25">
      <c r="B212" s="220" t="s">
        <v>703</v>
      </c>
      <c r="C212" s="223" t="s">
        <v>1155</v>
      </c>
    </row>
    <row r="213" spans="2:3" ht="13.2" x14ac:dyDescent="0.25">
      <c r="B213" s="220" t="s">
        <v>704</v>
      </c>
      <c r="C213" s="223" t="s">
        <v>1155</v>
      </c>
    </row>
    <row r="214" spans="2:3" ht="13.2" x14ac:dyDescent="0.25">
      <c r="B214" s="220" t="s">
        <v>589</v>
      </c>
      <c r="C214" s="223" t="s">
        <v>1155</v>
      </c>
    </row>
    <row r="215" spans="2:3" ht="13.2" x14ac:dyDescent="0.25">
      <c r="B215" s="220" t="s">
        <v>705</v>
      </c>
      <c r="C215" s="223" t="s">
        <v>1155</v>
      </c>
    </row>
    <row r="216" spans="2:3" ht="13.2" x14ac:dyDescent="0.25">
      <c r="B216" s="220" t="s">
        <v>706</v>
      </c>
      <c r="C216" s="223" t="s">
        <v>1155</v>
      </c>
    </row>
    <row r="217" spans="2:3" ht="13.2" x14ac:dyDescent="0.25">
      <c r="B217" s="220" t="s">
        <v>707</v>
      </c>
      <c r="C217" s="223" t="s">
        <v>1155</v>
      </c>
    </row>
    <row r="218" spans="2:3" ht="13.2" x14ac:dyDescent="0.25">
      <c r="B218" s="220" t="s">
        <v>708</v>
      </c>
      <c r="C218" s="223" t="s">
        <v>1155</v>
      </c>
    </row>
    <row r="219" spans="2:3" ht="13.2" x14ac:dyDescent="0.25">
      <c r="B219" s="220" t="s">
        <v>709</v>
      </c>
      <c r="C219" s="223" t="s">
        <v>1155</v>
      </c>
    </row>
    <row r="220" spans="2:3" ht="13.2" x14ac:dyDescent="0.25">
      <c r="B220" s="220" t="s">
        <v>710</v>
      </c>
      <c r="C220" s="223" t="s">
        <v>1155</v>
      </c>
    </row>
    <row r="221" spans="2:3" ht="13.2" x14ac:dyDescent="0.25">
      <c r="B221" s="220" t="s">
        <v>711</v>
      </c>
      <c r="C221" s="223" t="s">
        <v>1155</v>
      </c>
    </row>
    <row r="222" spans="2:3" ht="13.2" x14ac:dyDescent="0.25">
      <c r="B222" s="220" t="s">
        <v>712</v>
      </c>
      <c r="C222" s="223" t="s">
        <v>1155</v>
      </c>
    </row>
    <row r="223" spans="2:3" ht="13.2" x14ac:dyDescent="0.25">
      <c r="B223" s="220" t="s">
        <v>808</v>
      </c>
      <c r="C223" s="223" t="s">
        <v>1155</v>
      </c>
    </row>
    <row r="224" spans="2:3" ht="13.2" x14ac:dyDescent="0.25">
      <c r="B224" s="220" t="s">
        <v>713</v>
      </c>
      <c r="C224" s="223" t="s">
        <v>1155</v>
      </c>
    </row>
    <row r="225" spans="2:3" ht="13.2" x14ac:dyDescent="0.25">
      <c r="B225" s="220" t="s">
        <v>714</v>
      </c>
      <c r="C225" s="223" t="s">
        <v>1155</v>
      </c>
    </row>
    <row r="226" spans="2:3" ht="13.2" x14ac:dyDescent="0.25">
      <c r="B226" s="220" t="s">
        <v>715</v>
      </c>
      <c r="C226" s="223" t="s">
        <v>1155</v>
      </c>
    </row>
    <row r="227" spans="2:3" ht="13.2" x14ac:dyDescent="0.25">
      <c r="B227" s="220" t="s">
        <v>716</v>
      </c>
      <c r="C227" s="223" t="s">
        <v>1155</v>
      </c>
    </row>
    <row r="228" spans="2:3" ht="13.2" x14ac:dyDescent="0.25">
      <c r="B228" s="225" t="s">
        <v>983</v>
      </c>
      <c r="C228" s="223" t="s">
        <v>1155</v>
      </c>
    </row>
    <row r="229" spans="2:3" ht="13.2" x14ac:dyDescent="0.25">
      <c r="B229" s="220" t="s">
        <v>833</v>
      </c>
      <c r="C229" s="223" t="s">
        <v>1155</v>
      </c>
    </row>
    <row r="230" spans="2:3" ht="13.2" x14ac:dyDescent="0.25">
      <c r="B230" s="220" t="s">
        <v>717</v>
      </c>
      <c r="C230" s="223" t="s">
        <v>1155</v>
      </c>
    </row>
    <row r="231" spans="2:3" ht="13.2" x14ac:dyDescent="0.25">
      <c r="B231" s="220" t="s">
        <v>718</v>
      </c>
      <c r="C231" s="223" t="s">
        <v>1155</v>
      </c>
    </row>
    <row r="232" spans="2:3" ht="13.2" x14ac:dyDescent="0.25">
      <c r="B232" s="220" t="s">
        <v>719</v>
      </c>
      <c r="C232" s="223" t="s">
        <v>1155</v>
      </c>
    </row>
    <row r="233" spans="2:3" ht="13.2" x14ac:dyDescent="0.25">
      <c r="B233" s="220" t="s">
        <v>720</v>
      </c>
      <c r="C233" s="223" t="s">
        <v>1155</v>
      </c>
    </row>
    <row r="234" spans="2:3" ht="13.2" x14ac:dyDescent="0.25">
      <c r="B234" s="220" t="s">
        <v>590</v>
      </c>
      <c r="C234" s="223" t="s">
        <v>1155</v>
      </c>
    </row>
    <row r="235" spans="2:3" ht="13.2" x14ac:dyDescent="0.25">
      <c r="B235" s="220" t="s">
        <v>723</v>
      </c>
      <c r="C235" s="223" t="s">
        <v>1156</v>
      </c>
    </row>
    <row r="236" spans="2:3" ht="13.2" x14ac:dyDescent="0.25">
      <c r="B236" s="220" t="s">
        <v>724</v>
      </c>
      <c r="C236" s="223" t="s">
        <v>1156</v>
      </c>
    </row>
    <row r="237" spans="2:3" ht="13.2" x14ac:dyDescent="0.25">
      <c r="B237" s="220" t="s">
        <v>725</v>
      </c>
      <c r="C237" s="223" t="s">
        <v>1156</v>
      </c>
    </row>
    <row r="238" spans="2:3" ht="13.2" x14ac:dyDescent="0.25">
      <c r="B238" s="220" t="s">
        <v>726</v>
      </c>
      <c r="C238" s="223" t="s">
        <v>1156</v>
      </c>
    </row>
    <row r="239" spans="2:3" ht="13.2" x14ac:dyDescent="0.25">
      <c r="B239" s="220" t="s">
        <v>727</v>
      </c>
      <c r="C239" s="223" t="s">
        <v>1156</v>
      </c>
    </row>
    <row r="240" spans="2:3" ht="13.2" x14ac:dyDescent="0.25">
      <c r="B240" s="220" t="s">
        <v>581</v>
      </c>
      <c r="C240" s="223" t="s">
        <v>1156</v>
      </c>
    </row>
    <row r="241" spans="2:3" ht="13.2" x14ac:dyDescent="0.25">
      <c r="B241" s="220" t="s">
        <v>728</v>
      </c>
      <c r="C241" s="223" t="s">
        <v>1156</v>
      </c>
    </row>
    <row r="242" spans="2:3" ht="13.2" x14ac:dyDescent="0.25">
      <c r="B242" s="220" t="s">
        <v>729</v>
      </c>
      <c r="C242" s="223" t="s">
        <v>1156</v>
      </c>
    </row>
    <row r="243" spans="2:3" ht="13.2" x14ac:dyDescent="0.25">
      <c r="B243" s="220" t="s">
        <v>730</v>
      </c>
      <c r="C243" s="223" t="s">
        <v>1156</v>
      </c>
    </row>
    <row r="244" spans="2:3" ht="13.2" x14ac:dyDescent="0.25">
      <c r="B244" s="220" t="s">
        <v>731</v>
      </c>
      <c r="C244" s="223" t="s">
        <v>1156</v>
      </c>
    </row>
    <row r="245" spans="2:3" ht="13.2" x14ac:dyDescent="0.25">
      <c r="B245" s="220" t="s">
        <v>732</v>
      </c>
      <c r="C245" s="223" t="s">
        <v>1156</v>
      </c>
    </row>
    <row r="246" spans="2:3" ht="13.2" x14ac:dyDescent="0.25">
      <c r="B246" s="220" t="s">
        <v>582</v>
      </c>
      <c r="C246" s="223" t="s">
        <v>1156</v>
      </c>
    </row>
    <row r="247" spans="2:3" ht="13.2" x14ac:dyDescent="0.25">
      <c r="B247" s="220" t="s">
        <v>733</v>
      </c>
      <c r="C247" s="223" t="s">
        <v>1156</v>
      </c>
    </row>
    <row r="248" spans="2:3" ht="13.2" x14ac:dyDescent="0.25">
      <c r="B248" s="220" t="s">
        <v>734</v>
      </c>
      <c r="C248" s="223" t="s">
        <v>1156</v>
      </c>
    </row>
    <row r="249" spans="2:3" ht="13.2" x14ac:dyDescent="0.25">
      <c r="B249" s="220" t="s">
        <v>735</v>
      </c>
      <c r="C249" s="223" t="s">
        <v>1156</v>
      </c>
    </row>
    <row r="250" spans="2:3" ht="13.2" x14ac:dyDescent="0.25">
      <c r="B250" s="220" t="s">
        <v>736</v>
      </c>
      <c r="C250" s="223" t="s">
        <v>1156</v>
      </c>
    </row>
    <row r="251" spans="2:3" ht="13.2" x14ac:dyDescent="0.25">
      <c r="B251" s="220" t="s">
        <v>834</v>
      </c>
      <c r="C251" s="223" t="s">
        <v>1156</v>
      </c>
    </row>
    <row r="252" spans="2:3" ht="13.2" x14ac:dyDescent="0.25">
      <c r="B252" s="220" t="s">
        <v>583</v>
      </c>
      <c r="C252" s="223" t="s">
        <v>1156</v>
      </c>
    </row>
    <row r="253" spans="2:3" ht="13.2" x14ac:dyDescent="0.25">
      <c r="B253" s="220" t="s">
        <v>737</v>
      </c>
      <c r="C253" s="223" t="s">
        <v>1156</v>
      </c>
    </row>
    <row r="254" spans="2:3" ht="13.2" x14ac:dyDescent="0.25">
      <c r="B254" s="220" t="s">
        <v>738</v>
      </c>
      <c r="C254" s="223" t="s">
        <v>1156</v>
      </c>
    </row>
    <row r="255" spans="2:3" ht="13.2" x14ac:dyDescent="0.25">
      <c r="B255" s="225" t="s">
        <v>984</v>
      </c>
      <c r="C255" s="223" t="s">
        <v>1156</v>
      </c>
    </row>
    <row r="256" spans="2:3" ht="13.2" x14ac:dyDescent="0.25">
      <c r="B256" s="220" t="s">
        <v>584</v>
      </c>
      <c r="C256" s="223" t="s">
        <v>1156</v>
      </c>
    </row>
    <row r="257" spans="2:3" ht="13.2" x14ac:dyDescent="0.25">
      <c r="B257" s="220" t="s">
        <v>809</v>
      </c>
      <c r="C257" s="223" t="s">
        <v>1157</v>
      </c>
    </row>
    <row r="258" spans="2:3" ht="13.2" x14ac:dyDescent="0.25">
      <c r="B258" s="220" t="s">
        <v>739</v>
      </c>
      <c r="C258" s="223" t="s">
        <v>1157</v>
      </c>
    </row>
    <row r="259" spans="2:3" ht="13.2" x14ac:dyDescent="0.25">
      <c r="B259" s="220" t="s">
        <v>740</v>
      </c>
      <c r="C259" s="223" t="s">
        <v>1157</v>
      </c>
    </row>
    <row r="260" spans="2:3" ht="13.2" x14ac:dyDescent="0.25">
      <c r="B260" s="220" t="s">
        <v>741</v>
      </c>
      <c r="C260" s="223" t="s">
        <v>1157</v>
      </c>
    </row>
    <row r="261" spans="2:3" ht="13.2" x14ac:dyDescent="0.25">
      <c r="B261" s="220" t="s">
        <v>742</v>
      </c>
      <c r="C261" s="223" t="s">
        <v>1157</v>
      </c>
    </row>
    <row r="262" spans="2:3" ht="13.2" x14ac:dyDescent="0.25">
      <c r="B262" s="220" t="s">
        <v>743</v>
      </c>
      <c r="C262" s="223" t="s">
        <v>1157</v>
      </c>
    </row>
    <row r="263" spans="2:3" ht="13.2" x14ac:dyDescent="0.25">
      <c r="B263" s="220" t="s">
        <v>557</v>
      </c>
      <c r="C263" s="223" t="s">
        <v>1157</v>
      </c>
    </row>
    <row r="264" spans="2:3" ht="13.2" x14ac:dyDescent="0.25">
      <c r="B264" s="220" t="s">
        <v>744</v>
      </c>
      <c r="C264" s="223" t="s">
        <v>1157</v>
      </c>
    </row>
    <row r="265" spans="2:3" ht="13.2" x14ac:dyDescent="0.25">
      <c r="B265" s="220" t="s">
        <v>745</v>
      </c>
      <c r="C265" s="223" t="s">
        <v>1157</v>
      </c>
    </row>
    <row r="266" spans="2:3" ht="13.2" x14ac:dyDescent="0.25">
      <c r="B266" s="220" t="s">
        <v>746</v>
      </c>
      <c r="C266" s="223" t="s">
        <v>1157</v>
      </c>
    </row>
    <row r="267" spans="2:3" ht="13.2" x14ac:dyDescent="0.25">
      <c r="B267" s="220" t="s">
        <v>747</v>
      </c>
      <c r="C267" s="223" t="s">
        <v>1157</v>
      </c>
    </row>
    <row r="268" spans="2:3" ht="13.2" x14ac:dyDescent="0.25">
      <c r="B268" s="220" t="s">
        <v>794</v>
      </c>
      <c r="C268" s="223" t="s">
        <v>1157</v>
      </c>
    </row>
    <row r="269" spans="2:3" ht="13.2" x14ac:dyDescent="0.25">
      <c r="B269" s="220" t="s">
        <v>810</v>
      </c>
      <c r="C269" s="223" t="s">
        <v>1157</v>
      </c>
    </row>
    <row r="270" spans="2:3" ht="13.2" x14ac:dyDescent="0.25">
      <c r="B270" s="220" t="s">
        <v>748</v>
      </c>
      <c r="C270" s="223" t="s">
        <v>1157</v>
      </c>
    </row>
    <row r="271" spans="2:3" ht="13.2" x14ac:dyDescent="0.25">
      <c r="B271" s="220" t="s">
        <v>749</v>
      </c>
      <c r="C271" s="223" t="s">
        <v>1157</v>
      </c>
    </row>
    <row r="272" spans="2:3" ht="13.2" x14ac:dyDescent="0.25">
      <c r="B272" s="220" t="s">
        <v>750</v>
      </c>
      <c r="C272" s="223" t="s">
        <v>1157</v>
      </c>
    </row>
    <row r="273" spans="2:3" ht="13.2" x14ac:dyDescent="0.25">
      <c r="B273" s="220" t="s">
        <v>751</v>
      </c>
      <c r="C273" s="223" t="s">
        <v>1157</v>
      </c>
    </row>
    <row r="274" spans="2:3" ht="13.2" x14ac:dyDescent="0.25">
      <c r="B274" s="220" t="s">
        <v>573</v>
      </c>
      <c r="C274" s="223" t="s">
        <v>1157</v>
      </c>
    </row>
    <row r="275" spans="2:3" ht="13.2" x14ac:dyDescent="0.25">
      <c r="B275" s="220" t="s">
        <v>752</v>
      </c>
      <c r="C275" s="223" t="s">
        <v>1157</v>
      </c>
    </row>
    <row r="276" spans="2:3" ht="13.2" x14ac:dyDescent="0.25">
      <c r="B276" s="220" t="s">
        <v>753</v>
      </c>
      <c r="C276" s="223" t="s">
        <v>1157</v>
      </c>
    </row>
    <row r="277" spans="2:3" ht="13.2" x14ac:dyDescent="0.25">
      <c r="B277" s="220" t="s">
        <v>754</v>
      </c>
      <c r="C277" s="223" t="s">
        <v>1157</v>
      </c>
    </row>
    <row r="278" spans="2:3" ht="13.2" x14ac:dyDescent="0.25">
      <c r="B278" s="220" t="s">
        <v>755</v>
      </c>
      <c r="C278" s="223" t="s">
        <v>1157</v>
      </c>
    </row>
    <row r="279" spans="2:3" ht="13.2" x14ac:dyDescent="0.25">
      <c r="B279" s="220" t="s">
        <v>756</v>
      </c>
      <c r="C279" s="223" t="s">
        <v>1157</v>
      </c>
    </row>
    <row r="280" spans="2:3" ht="13.2" x14ac:dyDescent="0.25">
      <c r="B280" s="220" t="s">
        <v>757</v>
      </c>
      <c r="C280" s="223" t="s">
        <v>1157</v>
      </c>
    </row>
    <row r="281" spans="2:3" ht="13.2" x14ac:dyDescent="0.25">
      <c r="B281" s="220" t="s">
        <v>758</v>
      </c>
      <c r="C281" s="223" t="s">
        <v>1157</v>
      </c>
    </row>
    <row r="282" spans="2:3" ht="13.2" x14ac:dyDescent="0.25">
      <c r="B282" s="220" t="s">
        <v>1158</v>
      </c>
      <c r="C282" s="223" t="s">
        <v>1157</v>
      </c>
    </row>
    <row r="283" spans="2:3" ht="13.2" x14ac:dyDescent="0.25">
      <c r="B283" s="220" t="s">
        <v>759</v>
      </c>
      <c r="C283" s="223" t="s">
        <v>1157</v>
      </c>
    </row>
    <row r="284" spans="2:3" ht="13.2" x14ac:dyDescent="0.25">
      <c r="B284" s="220" t="s">
        <v>760</v>
      </c>
      <c r="C284" s="223" t="s">
        <v>1157</v>
      </c>
    </row>
    <row r="285" spans="2:3" ht="13.2" x14ac:dyDescent="0.25">
      <c r="B285" s="220" t="s">
        <v>761</v>
      </c>
      <c r="C285" s="223" t="s">
        <v>1157</v>
      </c>
    </row>
    <row r="286" spans="2:3" ht="13.2" x14ac:dyDescent="0.25">
      <c r="B286" s="220" t="s">
        <v>588</v>
      </c>
      <c r="C286" s="223" t="s">
        <v>1157</v>
      </c>
    </row>
    <row r="287" spans="2:3" x14ac:dyDescent="0.2">
      <c r="B287" s="172"/>
      <c r="C287" s="171"/>
    </row>
    <row r="288" spans="2:3" x14ac:dyDescent="0.2">
      <c r="B288" s="172"/>
      <c r="C288" s="171"/>
    </row>
    <row r="289" spans="2:3" x14ac:dyDescent="0.2">
      <c r="B289" s="172"/>
      <c r="C289" s="171"/>
    </row>
    <row r="290" spans="2:3" x14ac:dyDescent="0.2">
      <c r="B290" s="172"/>
      <c r="C290" s="171"/>
    </row>
    <row r="291" spans="2:3" x14ac:dyDescent="0.2">
      <c r="B291" s="172"/>
      <c r="C291" s="171"/>
    </row>
    <row r="292" spans="2:3" x14ac:dyDescent="0.2">
      <c r="B292" s="172"/>
      <c r="C292" s="171"/>
    </row>
    <row r="293" spans="2:3" x14ac:dyDescent="0.2">
      <c r="B293" s="172"/>
      <c r="C293" s="171"/>
    </row>
    <row r="294" spans="2:3" x14ac:dyDescent="0.2">
      <c r="B294" s="172"/>
      <c r="C294" s="171"/>
    </row>
    <row r="295" spans="2:3" x14ac:dyDescent="0.2">
      <c r="B295" s="172"/>
      <c r="C295" s="171"/>
    </row>
    <row r="296" spans="2:3" x14ac:dyDescent="0.2">
      <c r="B296" s="172"/>
      <c r="C296" s="171"/>
    </row>
    <row r="297" spans="2:3" x14ac:dyDescent="0.2">
      <c r="B297" s="172"/>
      <c r="C297" s="171"/>
    </row>
    <row r="298" spans="2:3" x14ac:dyDescent="0.2">
      <c r="B298" s="172"/>
      <c r="C298" s="171"/>
    </row>
    <row r="299" spans="2:3" x14ac:dyDescent="0.2">
      <c r="B299" s="172"/>
      <c r="C299" s="171"/>
    </row>
    <row r="300" spans="2:3" x14ac:dyDescent="0.2">
      <c r="B300" s="172"/>
      <c r="C300" s="171"/>
    </row>
    <row r="301" spans="2:3" x14ac:dyDescent="0.2">
      <c r="B301" s="172"/>
      <c r="C301" s="171"/>
    </row>
    <row r="302" spans="2:3" x14ac:dyDescent="0.2">
      <c r="B302" s="172"/>
      <c r="C302" s="171"/>
    </row>
    <row r="303" spans="2:3" x14ac:dyDescent="0.2">
      <c r="B303" s="172"/>
      <c r="C303" s="171"/>
    </row>
    <row r="304" spans="2:3" x14ac:dyDescent="0.2">
      <c r="B304" s="172"/>
      <c r="C304" s="171"/>
    </row>
    <row r="305" spans="2:3" x14ac:dyDescent="0.2">
      <c r="B305" s="172"/>
      <c r="C305" s="171"/>
    </row>
    <row r="306" spans="2:3" x14ac:dyDescent="0.2">
      <c r="B306" s="172"/>
      <c r="C306" s="171"/>
    </row>
    <row r="307" spans="2:3" x14ac:dyDescent="0.2">
      <c r="B307" s="172"/>
      <c r="C307" s="171"/>
    </row>
    <row r="308" spans="2:3" x14ac:dyDescent="0.2">
      <c r="B308" s="170"/>
      <c r="C308" s="171"/>
    </row>
    <row r="309" spans="2:3" x14ac:dyDescent="0.2">
      <c r="B309" s="170"/>
      <c r="C309" s="171"/>
    </row>
    <row r="310" spans="2:3" x14ac:dyDescent="0.2">
      <c r="B310" s="170"/>
      <c r="C310" s="171"/>
    </row>
    <row r="311" spans="2:3" x14ac:dyDescent="0.2">
      <c r="B311" s="170"/>
      <c r="C311" s="171"/>
    </row>
    <row r="312" spans="2:3" x14ac:dyDescent="0.2">
      <c r="B312" s="170"/>
      <c r="C312" s="171"/>
    </row>
  </sheetData>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1">
    <tabColor indexed="46"/>
  </sheetPr>
  <dimension ref="D2:Y36"/>
  <sheetViews>
    <sheetView showGridLines="0" zoomScaleNormal="100" workbookViewId="0"/>
  </sheetViews>
  <sheetFormatPr defaultColWidth="8.88671875" defaultRowHeight="13.2" x14ac:dyDescent="0.25"/>
  <cols>
    <col min="23" max="23" width="19.6640625" style="139" customWidth="1"/>
    <col min="24" max="25" width="9.109375" style="139" customWidth="1"/>
  </cols>
  <sheetData>
    <row r="2" spans="4:24" x14ac:dyDescent="0.25">
      <c r="D2">
        <v>2020</v>
      </c>
    </row>
    <row r="4" spans="4:24" x14ac:dyDescent="0.25">
      <c r="X4" s="162" t="s">
        <v>535</v>
      </c>
    </row>
    <row r="5" spans="4:24" x14ac:dyDescent="0.25">
      <c r="X5" s="162" t="s">
        <v>536</v>
      </c>
    </row>
    <row r="6" spans="4:24" x14ac:dyDescent="0.25">
      <c r="X6" s="162"/>
    </row>
    <row r="7" spans="4:24" x14ac:dyDescent="0.25">
      <c r="W7" s="143" t="s">
        <v>537</v>
      </c>
      <c r="X7" s="162" t="s">
        <v>538</v>
      </c>
    </row>
    <row r="8" spans="4:24" x14ac:dyDescent="0.25">
      <c r="X8" s="162" t="s">
        <v>539</v>
      </c>
    </row>
    <row r="9" spans="4:24" x14ac:dyDescent="0.25">
      <c r="X9" s="162"/>
    </row>
    <row r="10" spans="4:24" x14ac:dyDescent="0.25">
      <c r="X10" s="162"/>
    </row>
    <row r="11" spans="4:24" x14ac:dyDescent="0.25">
      <c r="X11" s="162"/>
    </row>
    <row r="12" spans="4:24" x14ac:dyDescent="0.25">
      <c r="X12" s="162"/>
    </row>
    <row r="13" spans="4:24" x14ac:dyDescent="0.25">
      <c r="X13" s="162"/>
    </row>
    <row r="14" spans="4:24" x14ac:dyDescent="0.25">
      <c r="X14" s="162"/>
    </row>
    <row r="15" spans="4:24" x14ac:dyDescent="0.25">
      <c r="X15" s="162"/>
    </row>
    <row r="16" spans="4:24" x14ac:dyDescent="0.25">
      <c r="X16" s="162"/>
    </row>
    <row r="17" spans="23:24" x14ac:dyDescent="0.25">
      <c r="W17" s="143" t="s">
        <v>540</v>
      </c>
      <c r="X17" s="162">
        <v>2013</v>
      </c>
    </row>
    <row r="18" spans="23:24" x14ac:dyDescent="0.25">
      <c r="X18" s="162">
        <v>2014</v>
      </c>
    </row>
    <row r="19" spans="23:24" x14ac:dyDescent="0.25">
      <c r="X19" s="162">
        <v>2015</v>
      </c>
    </row>
    <row r="20" spans="23:24" x14ac:dyDescent="0.25">
      <c r="X20" s="162">
        <v>2016</v>
      </c>
    </row>
    <row r="21" spans="23:24" x14ac:dyDescent="0.25">
      <c r="X21" s="162">
        <v>2017</v>
      </c>
    </row>
    <row r="22" spans="23:24" x14ac:dyDescent="0.25">
      <c r="X22" s="162">
        <v>2018</v>
      </c>
    </row>
    <row r="23" spans="23:24" x14ac:dyDescent="0.25">
      <c r="X23" s="162">
        <v>2019</v>
      </c>
    </row>
    <row r="24" spans="23:24" x14ac:dyDescent="0.25">
      <c r="X24" s="162">
        <v>2020</v>
      </c>
    </row>
    <row r="25" spans="23:24" x14ac:dyDescent="0.25">
      <c r="X25" s="162">
        <v>2021</v>
      </c>
    </row>
    <row r="26" spans="23:24" x14ac:dyDescent="0.25">
      <c r="X26" s="162">
        <v>2022</v>
      </c>
    </row>
    <row r="27" spans="23:24" x14ac:dyDescent="0.25">
      <c r="X27" s="162">
        <v>2023</v>
      </c>
    </row>
    <row r="28" spans="23:24" x14ac:dyDescent="0.25">
      <c r="X28" s="162">
        <v>2023</v>
      </c>
    </row>
    <row r="29" spans="23:24" x14ac:dyDescent="0.25">
      <c r="X29" s="162">
        <v>2023</v>
      </c>
    </row>
    <row r="30" spans="23:24" x14ac:dyDescent="0.25">
      <c r="X30" s="162">
        <v>2023</v>
      </c>
    </row>
    <row r="31" spans="23:24" x14ac:dyDescent="0.25">
      <c r="X31" s="162">
        <v>2023</v>
      </c>
    </row>
    <row r="33" spans="23:24" x14ac:dyDescent="0.25">
      <c r="W33" s="143" t="s">
        <v>541</v>
      </c>
      <c r="X33" s="162">
        <v>9</v>
      </c>
    </row>
    <row r="34" spans="23:24" x14ac:dyDescent="0.25">
      <c r="W34" s="143" t="s">
        <v>542</v>
      </c>
      <c r="X34" s="163">
        <f>INDEX(X17:X26,X33,1)</f>
        <v>2021</v>
      </c>
    </row>
    <row r="36" spans="23:24" x14ac:dyDescent="0.25">
      <c r="W36" s="143" t="s">
        <v>543</v>
      </c>
      <c r="X36" s="144" t="str">
        <f>MTREF&amp;"/"&amp;RIGHT(MTREF,2)+1</f>
        <v>2021/22</v>
      </c>
    </row>
  </sheetData>
  <sheetProtection sheet="1" objects="1" scenarios="1"/>
  <protectedRanges>
    <protectedRange sqref="X33:X40 X5:X31" name="Range1" securityDescriptor="O:WDG:WDD:(A;;CC;;;S-1-5-21-1875354701-1785178695-996302570-2792)"/>
  </protectedRanges>
  <phoneticPr fontId="2" type="noConversion"/>
  <pageMargins left="0.74803149606299213" right="0.74803149606299213" top="0.98425196850393704" bottom="0.98425196850393704" header="0.51181102362204722" footer="0.51181102362204722"/>
  <pageSetup paperSize="9" scale="70" orientation="landscape" horizontalDpi="200" verticalDpi="200" r:id="rId1"/>
  <headerFooter alignWithMargins="0"/>
  <drawing r:id="rId2"/>
  <legacyDrawing r:id="rId3"/>
  <controls>
    <mc:AlternateContent xmlns:mc="http://schemas.openxmlformats.org/markup-compatibility/2006">
      <mc:Choice Requires="x14">
        <control shapeId="26755" r:id="rId4" name="TextBox2">
          <controlPr defaultSize="0" autoLine="0" r:id="rId5">
            <anchor moveWithCells="1">
              <from>
                <xdr:col>5</xdr:col>
                <xdr:colOff>198120</xdr:colOff>
                <xdr:row>10</xdr:row>
                <xdr:rowOff>121920</xdr:rowOff>
              </from>
              <to>
                <xdr:col>11</xdr:col>
                <xdr:colOff>320040</xdr:colOff>
                <xdr:row>12</xdr:row>
                <xdr:rowOff>76200</xdr:rowOff>
              </to>
            </anchor>
          </controlPr>
        </control>
      </mc:Choice>
      <mc:Fallback>
        <control shapeId="26755" r:id="rId4" name="TextBox2"/>
      </mc:Fallback>
    </mc:AlternateContent>
    <mc:AlternateContent xmlns:mc="http://schemas.openxmlformats.org/markup-compatibility/2006">
      <mc:Choice Requires="x14">
        <control shapeId="26756" r:id="rId6" name="TextBox3">
          <controlPr defaultSize="0" autoLine="0" autoPict="0" r:id="rId7">
            <anchor moveWithCells="1">
              <from>
                <xdr:col>5</xdr:col>
                <xdr:colOff>236220</xdr:colOff>
                <xdr:row>13</xdr:row>
                <xdr:rowOff>45720</xdr:rowOff>
              </from>
              <to>
                <xdr:col>8</xdr:col>
                <xdr:colOff>99060</xdr:colOff>
                <xdr:row>14</xdr:row>
                <xdr:rowOff>106680</xdr:rowOff>
              </to>
            </anchor>
          </controlPr>
        </control>
      </mc:Choice>
      <mc:Fallback>
        <control shapeId="26756" r:id="rId6" name="TextBox3"/>
      </mc:Fallback>
    </mc:AlternateContent>
    <mc:AlternateContent xmlns:mc="http://schemas.openxmlformats.org/markup-compatibility/2006">
      <mc:Choice Requires="x14">
        <control shapeId="26757" r:id="rId8" name="TextBox4">
          <controlPr defaultSize="0" autoLine="0" autoPict="0" r:id="rId9">
            <anchor moveWithCells="1">
              <from>
                <xdr:col>9</xdr:col>
                <xdr:colOff>22860</xdr:colOff>
                <xdr:row>13</xdr:row>
                <xdr:rowOff>38100</xdr:rowOff>
              </from>
              <to>
                <xdr:col>11</xdr:col>
                <xdr:colOff>525780</xdr:colOff>
                <xdr:row>14</xdr:row>
                <xdr:rowOff>121920</xdr:rowOff>
              </to>
            </anchor>
          </controlPr>
        </control>
      </mc:Choice>
      <mc:Fallback>
        <control shapeId="26757" r:id="rId8" name="TextBox4"/>
      </mc:Fallback>
    </mc:AlternateContent>
    <mc:AlternateContent xmlns:mc="http://schemas.openxmlformats.org/markup-compatibility/2006">
      <mc:Choice Requires="x14">
        <control shapeId="26758" r:id="rId10" name="TextBox5">
          <controlPr defaultSize="0" autoLine="0" autoPict="0" r:id="rId11">
            <anchor moveWithCells="1">
              <from>
                <xdr:col>5</xdr:col>
                <xdr:colOff>251460</xdr:colOff>
                <xdr:row>15</xdr:row>
                <xdr:rowOff>144780</xdr:rowOff>
              </from>
              <to>
                <xdr:col>12</xdr:col>
                <xdr:colOff>83820</xdr:colOff>
                <xdr:row>17</xdr:row>
                <xdr:rowOff>60960</xdr:rowOff>
              </to>
            </anchor>
          </controlPr>
        </control>
      </mc:Choice>
      <mc:Fallback>
        <control shapeId="26758" r:id="rId10" name="TextBox5"/>
      </mc:Fallback>
    </mc:AlternateContent>
    <mc:AlternateContent xmlns:mc="http://schemas.openxmlformats.org/markup-compatibility/2006">
      <mc:Choice Requires="x14">
        <control shapeId="26764" r:id="rId12" name="Entityname">
          <controlPr defaultSize="0" autoLine="0" linkedCell="entity" r:id="rId13">
            <anchor moveWithCells="1">
              <from>
                <xdr:col>4</xdr:col>
                <xdr:colOff>190500</xdr:colOff>
                <xdr:row>7</xdr:row>
                <xdr:rowOff>83820</xdr:rowOff>
              </from>
              <to>
                <xdr:col>11</xdr:col>
                <xdr:colOff>327660</xdr:colOff>
                <xdr:row>9</xdr:row>
                <xdr:rowOff>91440</xdr:rowOff>
              </to>
            </anchor>
          </controlPr>
        </control>
      </mc:Choice>
      <mc:Fallback>
        <control shapeId="26764" r:id="rId12" name="Entityname"/>
      </mc:Fallback>
    </mc:AlternateContent>
    <mc:AlternateContent xmlns:mc="http://schemas.openxmlformats.org/markup-compatibility/2006">
      <mc:Choice Requires="x14">
        <control shapeId="5140" r:id="rId14" name="Drop Down 20">
          <controlPr defaultSize="0" autoLine="0" autoPict="0">
            <anchor moveWithCells="1">
              <from>
                <xdr:col>5</xdr:col>
                <xdr:colOff>236220</xdr:colOff>
                <xdr:row>19</xdr:row>
                <xdr:rowOff>30480</xdr:rowOff>
              </from>
              <to>
                <xdr:col>6</xdr:col>
                <xdr:colOff>495300</xdr:colOff>
                <xdr:row>20</xdr:row>
                <xdr:rowOff>45720</xdr:rowOff>
              </to>
            </anchor>
          </controlPr>
        </control>
      </mc:Choice>
    </mc:AlternateContent>
    <mc:AlternateContent xmlns:mc="http://schemas.openxmlformats.org/markup-compatibility/2006">
      <mc:Choice Requires="x14">
        <control shapeId="5156" r:id="rId15" name="Drop Down 36">
          <controlPr defaultSize="0" autoLine="0" autoPict="0">
            <anchor moveWithCells="1">
              <from>
                <xdr:col>3</xdr:col>
                <xdr:colOff>464820</xdr:colOff>
                <xdr:row>5</xdr:row>
                <xdr:rowOff>30480</xdr:rowOff>
              </from>
              <to>
                <xdr:col>7</xdr:col>
                <xdr:colOff>601980</xdr:colOff>
                <xdr:row>6</xdr:row>
                <xdr:rowOff>38100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D308"/>
  <sheetViews>
    <sheetView zoomScaleNormal="100" workbookViewId="0">
      <pane xSplit="1" ySplit="1" topLeftCell="B2" activePane="bottomRight" state="frozen"/>
      <selection activeCell="B76" sqref="B76"/>
      <selection pane="topRight" activeCell="B76" sqref="B76"/>
      <selection pane="bottomLeft" activeCell="B76" sqref="B76"/>
      <selection pane="bottomRight" activeCell="B76" sqref="B76"/>
    </sheetView>
  </sheetViews>
  <sheetFormatPr defaultColWidth="8.88671875" defaultRowHeight="10.199999999999999" x14ac:dyDescent="0.2"/>
  <cols>
    <col min="1" max="1" width="28.88671875" style="206" bestFit="1" customWidth="1"/>
    <col min="2" max="3" width="29.44140625" style="206" customWidth="1"/>
    <col min="4" max="4" width="41.88671875" style="206" bestFit="1" customWidth="1"/>
    <col min="5" max="14" width="41.88671875" style="206" customWidth="1"/>
    <col min="15" max="15" width="43.44140625" style="206" bestFit="1" customWidth="1"/>
    <col min="16" max="16" width="1.33203125" style="206" customWidth="1"/>
    <col min="17" max="17" width="5" style="206" bestFit="1" customWidth="1"/>
    <col min="18" max="18" width="2.6640625" style="206" bestFit="1" customWidth="1"/>
    <col min="19" max="19" width="4.109375" style="206" bestFit="1" customWidth="1"/>
    <col min="20" max="20" width="9.6640625" style="206" bestFit="1" customWidth="1"/>
    <col min="21" max="21" width="9.44140625" style="206" bestFit="1" customWidth="1"/>
    <col min="22" max="22" width="3.88671875" style="206" bestFit="1" customWidth="1"/>
    <col min="23" max="23" width="6.6640625" style="206" bestFit="1" customWidth="1"/>
    <col min="24" max="24" width="4.33203125" style="206" bestFit="1" customWidth="1"/>
    <col min="25" max="25" width="9.109375" style="206"/>
    <col min="26" max="26" width="31.6640625" style="206" customWidth="1"/>
    <col min="27" max="27" width="26.6640625" style="206" customWidth="1"/>
    <col min="28" max="28" width="31.6640625" style="206" customWidth="1"/>
    <col min="29" max="29" width="23.109375" style="206" customWidth="1"/>
    <col min="30" max="256" width="9.109375" style="206"/>
    <col min="257" max="257" width="28.88671875" style="206" bestFit="1" customWidth="1"/>
    <col min="258" max="259" width="29.44140625" style="206" customWidth="1"/>
    <col min="260" max="260" width="41.88671875" style="206" bestFit="1" customWidth="1"/>
    <col min="261" max="270" width="41.88671875" style="206" customWidth="1"/>
    <col min="271" max="271" width="43.44140625" style="206" bestFit="1" customWidth="1"/>
    <col min="272" max="272" width="1.33203125" style="206" customWidth="1"/>
    <col min="273" max="273" width="5" style="206" bestFit="1" customWidth="1"/>
    <col min="274" max="274" width="2.6640625" style="206" bestFit="1" customWidth="1"/>
    <col min="275" max="275" width="4.109375" style="206" bestFit="1" customWidth="1"/>
    <col min="276" max="276" width="9.6640625" style="206" bestFit="1" customWidth="1"/>
    <col min="277" max="277" width="9.44140625" style="206" bestFit="1" customWidth="1"/>
    <col min="278" max="278" width="3.88671875" style="206" bestFit="1" customWidth="1"/>
    <col min="279" max="279" width="6.6640625" style="206" bestFit="1" customWidth="1"/>
    <col min="280" max="280" width="4.33203125" style="206" bestFit="1" customWidth="1"/>
    <col min="281" max="281" width="9.109375" style="206"/>
    <col min="282" max="282" width="31.6640625" style="206" customWidth="1"/>
    <col min="283" max="283" width="26.6640625" style="206" customWidth="1"/>
    <col min="284" max="284" width="31.6640625" style="206" customWidth="1"/>
    <col min="285" max="285" width="23.109375" style="206" customWidth="1"/>
    <col min="286" max="512" width="9.109375" style="206"/>
    <col min="513" max="513" width="28.88671875" style="206" bestFit="1" customWidth="1"/>
    <col min="514" max="515" width="29.44140625" style="206" customWidth="1"/>
    <col min="516" max="516" width="41.88671875" style="206" bestFit="1" customWidth="1"/>
    <col min="517" max="526" width="41.88671875" style="206" customWidth="1"/>
    <col min="527" max="527" width="43.44140625" style="206" bestFit="1" customWidth="1"/>
    <col min="528" max="528" width="1.33203125" style="206" customWidth="1"/>
    <col min="529" max="529" width="5" style="206" bestFit="1" customWidth="1"/>
    <col min="530" max="530" width="2.6640625" style="206" bestFit="1" customWidth="1"/>
    <col min="531" max="531" width="4.109375" style="206" bestFit="1" customWidth="1"/>
    <col min="532" max="532" width="9.6640625" style="206" bestFit="1" customWidth="1"/>
    <col min="533" max="533" width="9.44140625" style="206" bestFit="1" customWidth="1"/>
    <col min="534" max="534" width="3.88671875" style="206" bestFit="1" customWidth="1"/>
    <col min="535" max="535" width="6.6640625" style="206" bestFit="1" customWidth="1"/>
    <col min="536" max="536" width="4.33203125" style="206" bestFit="1" customWidth="1"/>
    <col min="537" max="537" width="9.109375" style="206"/>
    <col min="538" max="538" width="31.6640625" style="206" customWidth="1"/>
    <col min="539" max="539" width="26.6640625" style="206" customWidth="1"/>
    <col min="540" max="540" width="31.6640625" style="206" customWidth="1"/>
    <col min="541" max="541" width="23.109375" style="206" customWidth="1"/>
    <col min="542" max="768" width="9.109375" style="206"/>
    <col min="769" max="769" width="28.88671875" style="206" bestFit="1" customWidth="1"/>
    <col min="770" max="771" width="29.44140625" style="206" customWidth="1"/>
    <col min="772" max="772" width="41.88671875" style="206" bestFit="1" customWidth="1"/>
    <col min="773" max="782" width="41.88671875" style="206" customWidth="1"/>
    <col min="783" max="783" width="43.44140625" style="206" bestFit="1" customWidth="1"/>
    <col min="784" max="784" width="1.33203125" style="206" customWidth="1"/>
    <col min="785" max="785" width="5" style="206" bestFit="1" customWidth="1"/>
    <col min="786" max="786" width="2.6640625" style="206" bestFit="1" customWidth="1"/>
    <col min="787" max="787" width="4.109375" style="206" bestFit="1" customWidth="1"/>
    <col min="788" max="788" width="9.6640625" style="206" bestFit="1" customWidth="1"/>
    <col min="789" max="789" width="9.44140625" style="206" bestFit="1" customWidth="1"/>
    <col min="790" max="790" width="3.88671875" style="206" bestFit="1" customWidth="1"/>
    <col min="791" max="791" width="6.6640625" style="206" bestFit="1" customWidth="1"/>
    <col min="792" max="792" width="4.33203125" style="206" bestFit="1" customWidth="1"/>
    <col min="793" max="793" width="9.109375" style="206"/>
    <col min="794" max="794" width="31.6640625" style="206" customWidth="1"/>
    <col min="795" max="795" width="26.6640625" style="206" customWidth="1"/>
    <col min="796" max="796" width="31.6640625" style="206" customWidth="1"/>
    <col min="797" max="797" width="23.109375" style="206" customWidth="1"/>
    <col min="798" max="1024" width="9.109375" style="206"/>
    <col min="1025" max="1025" width="28.88671875" style="206" bestFit="1" customWidth="1"/>
    <col min="1026" max="1027" width="29.44140625" style="206" customWidth="1"/>
    <col min="1028" max="1028" width="41.88671875" style="206" bestFit="1" customWidth="1"/>
    <col min="1029" max="1038" width="41.88671875" style="206" customWidth="1"/>
    <col min="1039" max="1039" width="43.44140625" style="206" bestFit="1" customWidth="1"/>
    <col min="1040" max="1040" width="1.33203125" style="206" customWidth="1"/>
    <col min="1041" max="1041" width="5" style="206" bestFit="1" customWidth="1"/>
    <col min="1042" max="1042" width="2.6640625" style="206" bestFit="1" customWidth="1"/>
    <col min="1043" max="1043" width="4.109375" style="206" bestFit="1" customWidth="1"/>
    <col min="1044" max="1044" width="9.6640625" style="206" bestFit="1" customWidth="1"/>
    <col min="1045" max="1045" width="9.44140625" style="206" bestFit="1" customWidth="1"/>
    <col min="1046" max="1046" width="3.88671875" style="206" bestFit="1" customWidth="1"/>
    <col min="1047" max="1047" width="6.6640625" style="206" bestFit="1" customWidth="1"/>
    <col min="1048" max="1048" width="4.33203125" style="206" bestFit="1" customWidth="1"/>
    <col min="1049" max="1049" width="9.109375" style="206"/>
    <col min="1050" max="1050" width="31.6640625" style="206" customWidth="1"/>
    <col min="1051" max="1051" width="26.6640625" style="206" customWidth="1"/>
    <col min="1052" max="1052" width="31.6640625" style="206" customWidth="1"/>
    <col min="1053" max="1053" width="23.109375" style="206" customWidth="1"/>
    <col min="1054" max="1280" width="9.109375" style="206"/>
    <col min="1281" max="1281" width="28.88671875" style="206" bestFit="1" customWidth="1"/>
    <col min="1282" max="1283" width="29.44140625" style="206" customWidth="1"/>
    <col min="1284" max="1284" width="41.88671875" style="206" bestFit="1" customWidth="1"/>
    <col min="1285" max="1294" width="41.88671875" style="206" customWidth="1"/>
    <col min="1295" max="1295" width="43.44140625" style="206" bestFit="1" customWidth="1"/>
    <col min="1296" max="1296" width="1.33203125" style="206" customWidth="1"/>
    <col min="1297" max="1297" width="5" style="206" bestFit="1" customWidth="1"/>
    <col min="1298" max="1298" width="2.6640625" style="206" bestFit="1" customWidth="1"/>
    <col min="1299" max="1299" width="4.109375" style="206" bestFit="1" customWidth="1"/>
    <col min="1300" max="1300" width="9.6640625" style="206" bestFit="1" customWidth="1"/>
    <col min="1301" max="1301" width="9.44140625" style="206" bestFit="1" customWidth="1"/>
    <col min="1302" max="1302" width="3.88671875" style="206" bestFit="1" customWidth="1"/>
    <col min="1303" max="1303" width="6.6640625" style="206" bestFit="1" customWidth="1"/>
    <col min="1304" max="1304" width="4.33203125" style="206" bestFit="1" customWidth="1"/>
    <col min="1305" max="1305" width="9.109375" style="206"/>
    <col min="1306" max="1306" width="31.6640625" style="206" customWidth="1"/>
    <col min="1307" max="1307" width="26.6640625" style="206" customWidth="1"/>
    <col min="1308" max="1308" width="31.6640625" style="206" customWidth="1"/>
    <col min="1309" max="1309" width="23.109375" style="206" customWidth="1"/>
    <col min="1310" max="1536" width="9.109375" style="206"/>
    <col min="1537" max="1537" width="28.88671875" style="206" bestFit="1" customWidth="1"/>
    <col min="1538" max="1539" width="29.44140625" style="206" customWidth="1"/>
    <col min="1540" max="1540" width="41.88671875" style="206" bestFit="1" customWidth="1"/>
    <col min="1541" max="1550" width="41.88671875" style="206" customWidth="1"/>
    <col min="1551" max="1551" width="43.44140625" style="206" bestFit="1" customWidth="1"/>
    <col min="1552" max="1552" width="1.33203125" style="206" customWidth="1"/>
    <col min="1553" max="1553" width="5" style="206" bestFit="1" customWidth="1"/>
    <col min="1554" max="1554" width="2.6640625" style="206" bestFit="1" customWidth="1"/>
    <col min="1555" max="1555" width="4.109375" style="206" bestFit="1" customWidth="1"/>
    <col min="1556" max="1556" width="9.6640625" style="206" bestFit="1" customWidth="1"/>
    <col min="1557" max="1557" width="9.44140625" style="206" bestFit="1" customWidth="1"/>
    <col min="1558" max="1558" width="3.88671875" style="206" bestFit="1" customWidth="1"/>
    <col min="1559" max="1559" width="6.6640625" style="206" bestFit="1" customWidth="1"/>
    <col min="1560" max="1560" width="4.33203125" style="206" bestFit="1" customWidth="1"/>
    <col min="1561" max="1561" width="9.109375" style="206"/>
    <col min="1562" max="1562" width="31.6640625" style="206" customWidth="1"/>
    <col min="1563" max="1563" width="26.6640625" style="206" customWidth="1"/>
    <col min="1564" max="1564" width="31.6640625" style="206" customWidth="1"/>
    <col min="1565" max="1565" width="23.109375" style="206" customWidth="1"/>
    <col min="1566" max="1792" width="9.109375" style="206"/>
    <col min="1793" max="1793" width="28.88671875" style="206" bestFit="1" customWidth="1"/>
    <col min="1794" max="1795" width="29.44140625" style="206" customWidth="1"/>
    <col min="1796" max="1796" width="41.88671875" style="206" bestFit="1" customWidth="1"/>
    <col min="1797" max="1806" width="41.88671875" style="206" customWidth="1"/>
    <col min="1807" max="1807" width="43.44140625" style="206" bestFit="1" customWidth="1"/>
    <col min="1808" max="1808" width="1.33203125" style="206" customWidth="1"/>
    <col min="1809" max="1809" width="5" style="206" bestFit="1" customWidth="1"/>
    <col min="1810" max="1810" width="2.6640625" style="206" bestFit="1" customWidth="1"/>
    <col min="1811" max="1811" width="4.109375" style="206" bestFit="1" customWidth="1"/>
    <col min="1812" max="1812" width="9.6640625" style="206" bestFit="1" customWidth="1"/>
    <col min="1813" max="1813" width="9.44140625" style="206" bestFit="1" customWidth="1"/>
    <col min="1814" max="1814" width="3.88671875" style="206" bestFit="1" customWidth="1"/>
    <col min="1815" max="1815" width="6.6640625" style="206" bestFit="1" customWidth="1"/>
    <col min="1816" max="1816" width="4.33203125" style="206" bestFit="1" customWidth="1"/>
    <col min="1817" max="1817" width="9.109375" style="206"/>
    <col min="1818" max="1818" width="31.6640625" style="206" customWidth="1"/>
    <col min="1819" max="1819" width="26.6640625" style="206" customWidth="1"/>
    <col min="1820" max="1820" width="31.6640625" style="206" customWidth="1"/>
    <col min="1821" max="1821" width="23.109375" style="206" customWidth="1"/>
    <col min="1822" max="2048" width="9.109375" style="206"/>
    <col min="2049" max="2049" width="28.88671875" style="206" bestFit="1" customWidth="1"/>
    <col min="2050" max="2051" width="29.44140625" style="206" customWidth="1"/>
    <col min="2052" max="2052" width="41.88671875" style="206" bestFit="1" customWidth="1"/>
    <col min="2053" max="2062" width="41.88671875" style="206" customWidth="1"/>
    <col min="2063" max="2063" width="43.44140625" style="206" bestFit="1" customWidth="1"/>
    <col min="2064" max="2064" width="1.33203125" style="206" customWidth="1"/>
    <col min="2065" max="2065" width="5" style="206" bestFit="1" customWidth="1"/>
    <col min="2066" max="2066" width="2.6640625" style="206" bestFit="1" customWidth="1"/>
    <col min="2067" max="2067" width="4.109375" style="206" bestFit="1" customWidth="1"/>
    <col min="2068" max="2068" width="9.6640625" style="206" bestFit="1" customWidth="1"/>
    <col min="2069" max="2069" width="9.44140625" style="206" bestFit="1" customWidth="1"/>
    <col min="2070" max="2070" width="3.88671875" style="206" bestFit="1" customWidth="1"/>
    <col min="2071" max="2071" width="6.6640625" style="206" bestFit="1" customWidth="1"/>
    <col min="2072" max="2072" width="4.33203125" style="206" bestFit="1" customWidth="1"/>
    <col min="2073" max="2073" width="9.109375" style="206"/>
    <col min="2074" max="2074" width="31.6640625" style="206" customWidth="1"/>
    <col min="2075" max="2075" width="26.6640625" style="206" customWidth="1"/>
    <col min="2076" max="2076" width="31.6640625" style="206" customWidth="1"/>
    <col min="2077" max="2077" width="23.109375" style="206" customWidth="1"/>
    <col min="2078" max="2304" width="9.109375" style="206"/>
    <col min="2305" max="2305" width="28.88671875" style="206" bestFit="1" customWidth="1"/>
    <col min="2306" max="2307" width="29.44140625" style="206" customWidth="1"/>
    <col min="2308" max="2308" width="41.88671875" style="206" bestFit="1" customWidth="1"/>
    <col min="2309" max="2318" width="41.88671875" style="206" customWidth="1"/>
    <col min="2319" max="2319" width="43.44140625" style="206" bestFit="1" customWidth="1"/>
    <col min="2320" max="2320" width="1.33203125" style="206" customWidth="1"/>
    <col min="2321" max="2321" width="5" style="206" bestFit="1" customWidth="1"/>
    <col min="2322" max="2322" width="2.6640625" style="206" bestFit="1" customWidth="1"/>
    <col min="2323" max="2323" width="4.109375" style="206" bestFit="1" customWidth="1"/>
    <col min="2324" max="2324" width="9.6640625" style="206" bestFit="1" customWidth="1"/>
    <col min="2325" max="2325" width="9.44140625" style="206" bestFit="1" customWidth="1"/>
    <col min="2326" max="2326" width="3.88671875" style="206" bestFit="1" customWidth="1"/>
    <col min="2327" max="2327" width="6.6640625" style="206" bestFit="1" customWidth="1"/>
    <col min="2328" max="2328" width="4.33203125" style="206" bestFit="1" customWidth="1"/>
    <col min="2329" max="2329" width="9.109375" style="206"/>
    <col min="2330" max="2330" width="31.6640625" style="206" customWidth="1"/>
    <col min="2331" max="2331" width="26.6640625" style="206" customWidth="1"/>
    <col min="2332" max="2332" width="31.6640625" style="206" customWidth="1"/>
    <col min="2333" max="2333" width="23.109375" style="206" customWidth="1"/>
    <col min="2334" max="2560" width="9.109375" style="206"/>
    <col min="2561" max="2561" width="28.88671875" style="206" bestFit="1" customWidth="1"/>
    <col min="2562" max="2563" width="29.44140625" style="206" customWidth="1"/>
    <col min="2564" max="2564" width="41.88671875" style="206" bestFit="1" customWidth="1"/>
    <col min="2565" max="2574" width="41.88671875" style="206" customWidth="1"/>
    <col min="2575" max="2575" width="43.44140625" style="206" bestFit="1" customWidth="1"/>
    <col min="2576" max="2576" width="1.33203125" style="206" customWidth="1"/>
    <col min="2577" max="2577" width="5" style="206" bestFit="1" customWidth="1"/>
    <col min="2578" max="2578" width="2.6640625" style="206" bestFit="1" customWidth="1"/>
    <col min="2579" max="2579" width="4.109375" style="206" bestFit="1" customWidth="1"/>
    <col min="2580" max="2580" width="9.6640625" style="206" bestFit="1" customWidth="1"/>
    <col min="2581" max="2581" width="9.44140625" style="206" bestFit="1" customWidth="1"/>
    <col min="2582" max="2582" width="3.88671875" style="206" bestFit="1" customWidth="1"/>
    <col min="2583" max="2583" width="6.6640625" style="206" bestFit="1" customWidth="1"/>
    <col min="2584" max="2584" width="4.33203125" style="206" bestFit="1" customWidth="1"/>
    <col min="2585" max="2585" width="9.109375" style="206"/>
    <col min="2586" max="2586" width="31.6640625" style="206" customWidth="1"/>
    <col min="2587" max="2587" width="26.6640625" style="206" customWidth="1"/>
    <col min="2588" max="2588" width="31.6640625" style="206" customWidth="1"/>
    <col min="2589" max="2589" width="23.109375" style="206" customWidth="1"/>
    <col min="2590" max="2816" width="9.109375" style="206"/>
    <col min="2817" max="2817" width="28.88671875" style="206" bestFit="1" customWidth="1"/>
    <col min="2818" max="2819" width="29.44140625" style="206" customWidth="1"/>
    <col min="2820" max="2820" width="41.88671875" style="206" bestFit="1" customWidth="1"/>
    <col min="2821" max="2830" width="41.88671875" style="206" customWidth="1"/>
    <col min="2831" max="2831" width="43.44140625" style="206" bestFit="1" customWidth="1"/>
    <col min="2832" max="2832" width="1.33203125" style="206" customWidth="1"/>
    <col min="2833" max="2833" width="5" style="206" bestFit="1" customWidth="1"/>
    <col min="2834" max="2834" width="2.6640625" style="206" bestFit="1" customWidth="1"/>
    <col min="2835" max="2835" width="4.109375" style="206" bestFit="1" customWidth="1"/>
    <col min="2836" max="2836" width="9.6640625" style="206" bestFit="1" customWidth="1"/>
    <col min="2837" max="2837" width="9.44140625" style="206" bestFit="1" customWidth="1"/>
    <col min="2838" max="2838" width="3.88671875" style="206" bestFit="1" customWidth="1"/>
    <col min="2839" max="2839" width="6.6640625" style="206" bestFit="1" customWidth="1"/>
    <col min="2840" max="2840" width="4.33203125" style="206" bestFit="1" customWidth="1"/>
    <col min="2841" max="2841" width="9.109375" style="206"/>
    <col min="2842" max="2842" width="31.6640625" style="206" customWidth="1"/>
    <col min="2843" max="2843" width="26.6640625" style="206" customWidth="1"/>
    <col min="2844" max="2844" width="31.6640625" style="206" customWidth="1"/>
    <col min="2845" max="2845" width="23.109375" style="206" customWidth="1"/>
    <col min="2846" max="3072" width="9.109375" style="206"/>
    <col min="3073" max="3073" width="28.88671875" style="206" bestFit="1" customWidth="1"/>
    <col min="3074" max="3075" width="29.44140625" style="206" customWidth="1"/>
    <col min="3076" max="3076" width="41.88671875" style="206" bestFit="1" customWidth="1"/>
    <col min="3077" max="3086" width="41.88671875" style="206" customWidth="1"/>
    <col min="3087" max="3087" width="43.44140625" style="206" bestFit="1" customWidth="1"/>
    <col min="3088" max="3088" width="1.33203125" style="206" customWidth="1"/>
    <col min="3089" max="3089" width="5" style="206" bestFit="1" customWidth="1"/>
    <col min="3090" max="3090" width="2.6640625" style="206" bestFit="1" customWidth="1"/>
    <col min="3091" max="3091" width="4.109375" style="206" bestFit="1" customWidth="1"/>
    <col min="3092" max="3092" width="9.6640625" style="206" bestFit="1" customWidth="1"/>
    <col min="3093" max="3093" width="9.44140625" style="206" bestFit="1" customWidth="1"/>
    <col min="3094" max="3094" width="3.88671875" style="206" bestFit="1" customWidth="1"/>
    <col min="3095" max="3095" width="6.6640625" style="206" bestFit="1" customWidth="1"/>
    <col min="3096" max="3096" width="4.33203125" style="206" bestFit="1" customWidth="1"/>
    <col min="3097" max="3097" width="9.109375" style="206"/>
    <col min="3098" max="3098" width="31.6640625" style="206" customWidth="1"/>
    <col min="3099" max="3099" width="26.6640625" style="206" customWidth="1"/>
    <col min="3100" max="3100" width="31.6640625" style="206" customWidth="1"/>
    <col min="3101" max="3101" width="23.109375" style="206" customWidth="1"/>
    <col min="3102" max="3328" width="9.109375" style="206"/>
    <col min="3329" max="3329" width="28.88671875" style="206" bestFit="1" customWidth="1"/>
    <col min="3330" max="3331" width="29.44140625" style="206" customWidth="1"/>
    <col min="3332" max="3332" width="41.88671875" style="206" bestFit="1" customWidth="1"/>
    <col min="3333" max="3342" width="41.88671875" style="206" customWidth="1"/>
    <col min="3343" max="3343" width="43.44140625" style="206" bestFit="1" customWidth="1"/>
    <col min="3344" max="3344" width="1.33203125" style="206" customWidth="1"/>
    <col min="3345" max="3345" width="5" style="206" bestFit="1" customWidth="1"/>
    <col min="3346" max="3346" width="2.6640625" style="206" bestFit="1" customWidth="1"/>
    <col min="3347" max="3347" width="4.109375" style="206" bestFit="1" customWidth="1"/>
    <col min="3348" max="3348" width="9.6640625" style="206" bestFit="1" customWidth="1"/>
    <col min="3349" max="3349" width="9.44140625" style="206" bestFit="1" customWidth="1"/>
    <col min="3350" max="3350" width="3.88671875" style="206" bestFit="1" customWidth="1"/>
    <col min="3351" max="3351" width="6.6640625" style="206" bestFit="1" customWidth="1"/>
    <col min="3352" max="3352" width="4.33203125" style="206" bestFit="1" customWidth="1"/>
    <col min="3353" max="3353" width="9.109375" style="206"/>
    <col min="3354" max="3354" width="31.6640625" style="206" customWidth="1"/>
    <col min="3355" max="3355" width="26.6640625" style="206" customWidth="1"/>
    <col min="3356" max="3356" width="31.6640625" style="206" customWidth="1"/>
    <col min="3357" max="3357" width="23.109375" style="206" customWidth="1"/>
    <col min="3358" max="3584" width="9.109375" style="206"/>
    <col min="3585" max="3585" width="28.88671875" style="206" bestFit="1" customWidth="1"/>
    <col min="3586" max="3587" width="29.44140625" style="206" customWidth="1"/>
    <col min="3588" max="3588" width="41.88671875" style="206" bestFit="1" customWidth="1"/>
    <col min="3589" max="3598" width="41.88671875" style="206" customWidth="1"/>
    <col min="3599" max="3599" width="43.44140625" style="206" bestFit="1" customWidth="1"/>
    <col min="3600" max="3600" width="1.33203125" style="206" customWidth="1"/>
    <col min="3601" max="3601" width="5" style="206" bestFit="1" customWidth="1"/>
    <col min="3602" max="3602" width="2.6640625" style="206" bestFit="1" customWidth="1"/>
    <col min="3603" max="3603" width="4.109375" style="206" bestFit="1" customWidth="1"/>
    <col min="3604" max="3604" width="9.6640625" style="206" bestFit="1" customWidth="1"/>
    <col min="3605" max="3605" width="9.44140625" style="206" bestFit="1" customWidth="1"/>
    <col min="3606" max="3606" width="3.88671875" style="206" bestFit="1" customWidth="1"/>
    <col min="3607" max="3607" width="6.6640625" style="206" bestFit="1" customWidth="1"/>
    <col min="3608" max="3608" width="4.33203125" style="206" bestFit="1" customWidth="1"/>
    <col min="3609" max="3609" width="9.109375" style="206"/>
    <col min="3610" max="3610" width="31.6640625" style="206" customWidth="1"/>
    <col min="3611" max="3611" width="26.6640625" style="206" customWidth="1"/>
    <col min="3612" max="3612" width="31.6640625" style="206" customWidth="1"/>
    <col min="3613" max="3613" width="23.109375" style="206" customWidth="1"/>
    <col min="3614" max="3840" width="9.109375" style="206"/>
    <col min="3841" max="3841" width="28.88671875" style="206" bestFit="1" customWidth="1"/>
    <col min="3842" max="3843" width="29.44140625" style="206" customWidth="1"/>
    <col min="3844" max="3844" width="41.88671875" style="206" bestFit="1" customWidth="1"/>
    <col min="3845" max="3854" width="41.88671875" style="206" customWidth="1"/>
    <col min="3855" max="3855" width="43.44140625" style="206" bestFit="1" customWidth="1"/>
    <col min="3856" max="3856" width="1.33203125" style="206" customWidth="1"/>
    <col min="3857" max="3857" width="5" style="206" bestFit="1" customWidth="1"/>
    <col min="3858" max="3858" width="2.6640625" style="206" bestFit="1" customWidth="1"/>
    <col min="3859" max="3859" width="4.109375" style="206" bestFit="1" customWidth="1"/>
    <col min="3860" max="3860" width="9.6640625" style="206" bestFit="1" customWidth="1"/>
    <col min="3861" max="3861" width="9.44140625" style="206" bestFit="1" customWidth="1"/>
    <col min="3862" max="3862" width="3.88671875" style="206" bestFit="1" customWidth="1"/>
    <col min="3863" max="3863" width="6.6640625" style="206" bestFit="1" customWidth="1"/>
    <col min="3864" max="3864" width="4.33203125" style="206" bestFit="1" customWidth="1"/>
    <col min="3865" max="3865" width="9.109375" style="206"/>
    <col min="3866" max="3866" width="31.6640625" style="206" customWidth="1"/>
    <col min="3867" max="3867" width="26.6640625" style="206" customWidth="1"/>
    <col min="3868" max="3868" width="31.6640625" style="206" customWidth="1"/>
    <col min="3869" max="3869" width="23.109375" style="206" customWidth="1"/>
    <col min="3870" max="4096" width="9.109375" style="206"/>
    <col min="4097" max="4097" width="28.88671875" style="206" bestFit="1" customWidth="1"/>
    <col min="4098" max="4099" width="29.44140625" style="206" customWidth="1"/>
    <col min="4100" max="4100" width="41.88671875" style="206" bestFit="1" customWidth="1"/>
    <col min="4101" max="4110" width="41.88671875" style="206" customWidth="1"/>
    <col min="4111" max="4111" width="43.44140625" style="206" bestFit="1" customWidth="1"/>
    <col min="4112" max="4112" width="1.33203125" style="206" customWidth="1"/>
    <col min="4113" max="4113" width="5" style="206" bestFit="1" customWidth="1"/>
    <col min="4114" max="4114" width="2.6640625" style="206" bestFit="1" customWidth="1"/>
    <col min="4115" max="4115" width="4.109375" style="206" bestFit="1" customWidth="1"/>
    <col min="4116" max="4116" width="9.6640625" style="206" bestFit="1" customWidth="1"/>
    <col min="4117" max="4117" width="9.44140625" style="206" bestFit="1" customWidth="1"/>
    <col min="4118" max="4118" width="3.88671875" style="206" bestFit="1" customWidth="1"/>
    <col min="4119" max="4119" width="6.6640625" style="206" bestFit="1" customWidth="1"/>
    <col min="4120" max="4120" width="4.33203125" style="206" bestFit="1" customWidth="1"/>
    <col min="4121" max="4121" width="9.109375" style="206"/>
    <col min="4122" max="4122" width="31.6640625" style="206" customWidth="1"/>
    <col min="4123" max="4123" width="26.6640625" style="206" customWidth="1"/>
    <col min="4124" max="4124" width="31.6640625" style="206" customWidth="1"/>
    <col min="4125" max="4125" width="23.109375" style="206" customWidth="1"/>
    <col min="4126" max="4352" width="9.109375" style="206"/>
    <col min="4353" max="4353" width="28.88671875" style="206" bestFit="1" customWidth="1"/>
    <col min="4354" max="4355" width="29.44140625" style="206" customWidth="1"/>
    <col min="4356" max="4356" width="41.88671875" style="206" bestFit="1" customWidth="1"/>
    <col min="4357" max="4366" width="41.88671875" style="206" customWidth="1"/>
    <col min="4367" max="4367" width="43.44140625" style="206" bestFit="1" customWidth="1"/>
    <col min="4368" max="4368" width="1.33203125" style="206" customWidth="1"/>
    <col min="4369" max="4369" width="5" style="206" bestFit="1" customWidth="1"/>
    <col min="4370" max="4370" width="2.6640625" style="206" bestFit="1" customWidth="1"/>
    <col min="4371" max="4371" width="4.109375" style="206" bestFit="1" customWidth="1"/>
    <col min="4372" max="4372" width="9.6640625" style="206" bestFit="1" customWidth="1"/>
    <col min="4373" max="4373" width="9.44140625" style="206" bestFit="1" customWidth="1"/>
    <col min="4374" max="4374" width="3.88671875" style="206" bestFit="1" customWidth="1"/>
    <col min="4375" max="4375" width="6.6640625" style="206" bestFit="1" customWidth="1"/>
    <col min="4376" max="4376" width="4.33203125" style="206" bestFit="1" customWidth="1"/>
    <col min="4377" max="4377" width="9.109375" style="206"/>
    <col min="4378" max="4378" width="31.6640625" style="206" customWidth="1"/>
    <col min="4379" max="4379" width="26.6640625" style="206" customWidth="1"/>
    <col min="4380" max="4380" width="31.6640625" style="206" customWidth="1"/>
    <col min="4381" max="4381" width="23.109375" style="206" customWidth="1"/>
    <col min="4382" max="4608" width="9.109375" style="206"/>
    <col min="4609" max="4609" width="28.88671875" style="206" bestFit="1" customWidth="1"/>
    <col min="4610" max="4611" width="29.44140625" style="206" customWidth="1"/>
    <col min="4612" max="4612" width="41.88671875" style="206" bestFit="1" customWidth="1"/>
    <col min="4613" max="4622" width="41.88671875" style="206" customWidth="1"/>
    <col min="4623" max="4623" width="43.44140625" style="206" bestFit="1" customWidth="1"/>
    <col min="4624" max="4624" width="1.33203125" style="206" customWidth="1"/>
    <col min="4625" max="4625" width="5" style="206" bestFit="1" customWidth="1"/>
    <col min="4626" max="4626" width="2.6640625" style="206" bestFit="1" customWidth="1"/>
    <col min="4627" max="4627" width="4.109375" style="206" bestFit="1" customWidth="1"/>
    <col min="4628" max="4628" width="9.6640625" style="206" bestFit="1" customWidth="1"/>
    <col min="4629" max="4629" width="9.44140625" style="206" bestFit="1" customWidth="1"/>
    <col min="4630" max="4630" width="3.88671875" style="206" bestFit="1" customWidth="1"/>
    <col min="4631" max="4631" width="6.6640625" style="206" bestFit="1" customWidth="1"/>
    <col min="4632" max="4632" width="4.33203125" style="206" bestFit="1" customWidth="1"/>
    <col min="4633" max="4633" width="9.109375" style="206"/>
    <col min="4634" max="4634" width="31.6640625" style="206" customWidth="1"/>
    <col min="4635" max="4635" width="26.6640625" style="206" customWidth="1"/>
    <col min="4636" max="4636" width="31.6640625" style="206" customWidth="1"/>
    <col min="4637" max="4637" width="23.109375" style="206" customWidth="1"/>
    <col min="4638" max="4864" width="9.109375" style="206"/>
    <col min="4865" max="4865" width="28.88671875" style="206" bestFit="1" customWidth="1"/>
    <col min="4866" max="4867" width="29.44140625" style="206" customWidth="1"/>
    <col min="4868" max="4868" width="41.88671875" style="206" bestFit="1" customWidth="1"/>
    <col min="4869" max="4878" width="41.88671875" style="206" customWidth="1"/>
    <col min="4879" max="4879" width="43.44140625" style="206" bestFit="1" customWidth="1"/>
    <col min="4880" max="4880" width="1.33203125" style="206" customWidth="1"/>
    <col min="4881" max="4881" width="5" style="206" bestFit="1" customWidth="1"/>
    <col min="4882" max="4882" width="2.6640625" style="206" bestFit="1" customWidth="1"/>
    <col min="4883" max="4883" width="4.109375" style="206" bestFit="1" customWidth="1"/>
    <col min="4884" max="4884" width="9.6640625" style="206" bestFit="1" customWidth="1"/>
    <col min="4885" max="4885" width="9.44140625" style="206" bestFit="1" customWidth="1"/>
    <col min="4886" max="4886" width="3.88671875" style="206" bestFit="1" customWidth="1"/>
    <col min="4887" max="4887" width="6.6640625" style="206" bestFit="1" customWidth="1"/>
    <col min="4888" max="4888" width="4.33203125" style="206" bestFit="1" customWidth="1"/>
    <col min="4889" max="4889" width="9.109375" style="206"/>
    <col min="4890" max="4890" width="31.6640625" style="206" customWidth="1"/>
    <col min="4891" max="4891" width="26.6640625" style="206" customWidth="1"/>
    <col min="4892" max="4892" width="31.6640625" style="206" customWidth="1"/>
    <col min="4893" max="4893" width="23.109375" style="206" customWidth="1"/>
    <col min="4894" max="5120" width="9.109375" style="206"/>
    <col min="5121" max="5121" width="28.88671875" style="206" bestFit="1" customWidth="1"/>
    <col min="5122" max="5123" width="29.44140625" style="206" customWidth="1"/>
    <col min="5124" max="5124" width="41.88671875" style="206" bestFit="1" customWidth="1"/>
    <col min="5125" max="5134" width="41.88671875" style="206" customWidth="1"/>
    <col min="5135" max="5135" width="43.44140625" style="206" bestFit="1" customWidth="1"/>
    <col min="5136" max="5136" width="1.33203125" style="206" customWidth="1"/>
    <col min="5137" max="5137" width="5" style="206" bestFit="1" customWidth="1"/>
    <col min="5138" max="5138" width="2.6640625" style="206" bestFit="1" customWidth="1"/>
    <col min="5139" max="5139" width="4.109375" style="206" bestFit="1" customWidth="1"/>
    <col min="5140" max="5140" width="9.6640625" style="206" bestFit="1" customWidth="1"/>
    <col min="5141" max="5141" width="9.44140625" style="206" bestFit="1" customWidth="1"/>
    <col min="5142" max="5142" width="3.88671875" style="206" bestFit="1" customWidth="1"/>
    <col min="5143" max="5143" width="6.6640625" style="206" bestFit="1" customWidth="1"/>
    <col min="5144" max="5144" width="4.33203125" style="206" bestFit="1" customWidth="1"/>
    <col min="5145" max="5145" width="9.109375" style="206"/>
    <col min="5146" max="5146" width="31.6640625" style="206" customWidth="1"/>
    <col min="5147" max="5147" width="26.6640625" style="206" customWidth="1"/>
    <col min="5148" max="5148" width="31.6640625" style="206" customWidth="1"/>
    <col min="5149" max="5149" width="23.109375" style="206" customWidth="1"/>
    <col min="5150" max="5376" width="9.109375" style="206"/>
    <col min="5377" max="5377" width="28.88671875" style="206" bestFit="1" customWidth="1"/>
    <col min="5378" max="5379" width="29.44140625" style="206" customWidth="1"/>
    <col min="5380" max="5380" width="41.88671875" style="206" bestFit="1" customWidth="1"/>
    <col min="5381" max="5390" width="41.88671875" style="206" customWidth="1"/>
    <col min="5391" max="5391" width="43.44140625" style="206" bestFit="1" customWidth="1"/>
    <col min="5392" max="5392" width="1.33203125" style="206" customWidth="1"/>
    <col min="5393" max="5393" width="5" style="206" bestFit="1" customWidth="1"/>
    <col min="5394" max="5394" width="2.6640625" style="206" bestFit="1" customWidth="1"/>
    <col min="5395" max="5395" width="4.109375" style="206" bestFit="1" customWidth="1"/>
    <col min="5396" max="5396" width="9.6640625" style="206" bestFit="1" customWidth="1"/>
    <col min="5397" max="5397" width="9.44140625" style="206" bestFit="1" customWidth="1"/>
    <col min="5398" max="5398" width="3.88671875" style="206" bestFit="1" customWidth="1"/>
    <col min="5399" max="5399" width="6.6640625" style="206" bestFit="1" customWidth="1"/>
    <col min="5400" max="5400" width="4.33203125" style="206" bestFit="1" customWidth="1"/>
    <col min="5401" max="5401" width="9.109375" style="206"/>
    <col min="5402" max="5402" width="31.6640625" style="206" customWidth="1"/>
    <col min="5403" max="5403" width="26.6640625" style="206" customWidth="1"/>
    <col min="5404" max="5404" width="31.6640625" style="206" customWidth="1"/>
    <col min="5405" max="5405" width="23.109375" style="206" customWidth="1"/>
    <col min="5406" max="5632" width="9.109375" style="206"/>
    <col min="5633" max="5633" width="28.88671875" style="206" bestFit="1" customWidth="1"/>
    <col min="5634" max="5635" width="29.44140625" style="206" customWidth="1"/>
    <col min="5636" max="5636" width="41.88671875" style="206" bestFit="1" customWidth="1"/>
    <col min="5637" max="5646" width="41.88671875" style="206" customWidth="1"/>
    <col min="5647" max="5647" width="43.44140625" style="206" bestFit="1" customWidth="1"/>
    <col min="5648" max="5648" width="1.33203125" style="206" customWidth="1"/>
    <col min="5649" max="5649" width="5" style="206" bestFit="1" customWidth="1"/>
    <col min="5650" max="5650" width="2.6640625" style="206" bestFit="1" customWidth="1"/>
    <col min="5651" max="5651" width="4.109375" style="206" bestFit="1" customWidth="1"/>
    <col min="5652" max="5652" width="9.6640625" style="206" bestFit="1" customWidth="1"/>
    <col min="5653" max="5653" width="9.44140625" style="206" bestFit="1" customWidth="1"/>
    <col min="5654" max="5654" width="3.88671875" style="206" bestFit="1" customWidth="1"/>
    <col min="5655" max="5655" width="6.6640625" style="206" bestFit="1" customWidth="1"/>
    <col min="5656" max="5656" width="4.33203125" style="206" bestFit="1" customWidth="1"/>
    <col min="5657" max="5657" width="9.109375" style="206"/>
    <col min="5658" max="5658" width="31.6640625" style="206" customWidth="1"/>
    <col min="5659" max="5659" width="26.6640625" style="206" customWidth="1"/>
    <col min="5660" max="5660" width="31.6640625" style="206" customWidth="1"/>
    <col min="5661" max="5661" width="23.109375" style="206" customWidth="1"/>
    <col min="5662" max="5888" width="9.109375" style="206"/>
    <col min="5889" max="5889" width="28.88671875" style="206" bestFit="1" customWidth="1"/>
    <col min="5890" max="5891" width="29.44140625" style="206" customWidth="1"/>
    <col min="5892" max="5892" width="41.88671875" style="206" bestFit="1" customWidth="1"/>
    <col min="5893" max="5902" width="41.88671875" style="206" customWidth="1"/>
    <col min="5903" max="5903" width="43.44140625" style="206" bestFit="1" customWidth="1"/>
    <col min="5904" max="5904" width="1.33203125" style="206" customWidth="1"/>
    <col min="5905" max="5905" width="5" style="206" bestFit="1" customWidth="1"/>
    <col min="5906" max="5906" width="2.6640625" style="206" bestFit="1" customWidth="1"/>
    <col min="5907" max="5907" width="4.109375" style="206" bestFit="1" customWidth="1"/>
    <col min="5908" max="5908" width="9.6640625" style="206" bestFit="1" customWidth="1"/>
    <col min="5909" max="5909" width="9.44140625" style="206" bestFit="1" customWidth="1"/>
    <col min="5910" max="5910" width="3.88671875" style="206" bestFit="1" customWidth="1"/>
    <col min="5911" max="5911" width="6.6640625" style="206" bestFit="1" customWidth="1"/>
    <col min="5912" max="5912" width="4.33203125" style="206" bestFit="1" customWidth="1"/>
    <col min="5913" max="5913" width="9.109375" style="206"/>
    <col min="5914" max="5914" width="31.6640625" style="206" customWidth="1"/>
    <col min="5915" max="5915" width="26.6640625" style="206" customWidth="1"/>
    <col min="5916" max="5916" width="31.6640625" style="206" customWidth="1"/>
    <col min="5917" max="5917" width="23.109375" style="206" customWidth="1"/>
    <col min="5918" max="6144" width="9.109375" style="206"/>
    <col min="6145" max="6145" width="28.88671875" style="206" bestFit="1" customWidth="1"/>
    <col min="6146" max="6147" width="29.44140625" style="206" customWidth="1"/>
    <col min="6148" max="6148" width="41.88671875" style="206" bestFit="1" customWidth="1"/>
    <col min="6149" max="6158" width="41.88671875" style="206" customWidth="1"/>
    <col min="6159" max="6159" width="43.44140625" style="206" bestFit="1" customWidth="1"/>
    <col min="6160" max="6160" width="1.33203125" style="206" customWidth="1"/>
    <col min="6161" max="6161" width="5" style="206" bestFit="1" customWidth="1"/>
    <col min="6162" max="6162" width="2.6640625" style="206" bestFit="1" customWidth="1"/>
    <col min="6163" max="6163" width="4.109375" style="206" bestFit="1" customWidth="1"/>
    <col min="6164" max="6164" width="9.6640625" style="206" bestFit="1" customWidth="1"/>
    <col min="6165" max="6165" width="9.44140625" style="206" bestFit="1" customWidth="1"/>
    <col min="6166" max="6166" width="3.88671875" style="206" bestFit="1" customWidth="1"/>
    <col min="6167" max="6167" width="6.6640625" style="206" bestFit="1" customWidth="1"/>
    <col min="6168" max="6168" width="4.33203125" style="206" bestFit="1" customWidth="1"/>
    <col min="6169" max="6169" width="9.109375" style="206"/>
    <col min="6170" max="6170" width="31.6640625" style="206" customWidth="1"/>
    <col min="6171" max="6171" width="26.6640625" style="206" customWidth="1"/>
    <col min="6172" max="6172" width="31.6640625" style="206" customWidth="1"/>
    <col min="6173" max="6173" width="23.109375" style="206" customWidth="1"/>
    <col min="6174" max="6400" width="9.109375" style="206"/>
    <col min="6401" max="6401" width="28.88671875" style="206" bestFit="1" customWidth="1"/>
    <col min="6402" max="6403" width="29.44140625" style="206" customWidth="1"/>
    <col min="6404" max="6404" width="41.88671875" style="206" bestFit="1" customWidth="1"/>
    <col min="6405" max="6414" width="41.88671875" style="206" customWidth="1"/>
    <col min="6415" max="6415" width="43.44140625" style="206" bestFit="1" customWidth="1"/>
    <col min="6416" max="6416" width="1.33203125" style="206" customWidth="1"/>
    <col min="6417" max="6417" width="5" style="206" bestFit="1" customWidth="1"/>
    <col min="6418" max="6418" width="2.6640625" style="206" bestFit="1" customWidth="1"/>
    <col min="6419" max="6419" width="4.109375" style="206" bestFit="1" customWidth="1"/>
    <col min="6420" max="6420" width="9.6640625" style="206" bestFit="1" customWidth="1"/>
    <col min="6421" max="6421" width="9.44140625" style="206" bestFit="1" customWidth="1"/>
    <col min="6422" max="6422" width="3.88671875" style="206" bestFit="1" customWidth="1"/>
    <col min="6423" max="6423" width="6.6640625" style="206" bestFit="1" customWidth="1"/>
    <col min="6424" max="6424" width="4.33203125" style="206" bestFit="1" customWidth="1"/>
    <col min="6425" max="6425" width="9.109375" style="206"/>
    <col min="6426" max="6426" width="31.6640625" style="206" customWidth="1"/>
    <col min="6427" max="6427" width="26.6640625" style="206" customWidth="1"/>
    <col min="6428" max="6428" width="31.6640625" style="206" customWidth="1"/>
    <col min="6429" max="6429" width="23.109375" style="206" customWidth="1"/>
    <col min="6430" max="6656" width="9.109375" style="206"/>
    <col min="6657" max="6657" width="28.88671875" style="206" bestFit="1" customWidth="1"/>
    <col min="6658" max="6659" width="29.44140625" style="206" customWidth="1"/>
    <col min="6660" max="6660" width="41.88671875" style="206" bestFit="1" customWidth="1"/>
    <col min="6661" max="6670" width="41.88671875" style="206" customWidth="1"/>
    <col min="6671" max="6671" width="43.44140625" style="206" bestFit="1" customWidth="1"/>
    <col min="6672" max="6672" width="1.33203125" style="206" customWidth="1"/>
    <col min="6673" max="6673" width="5" style="206" bestFit="1" customWidth="1"/>
    <col min="6674" max="6674" width="2.6640625" style="206" bestFit="1" customWidth="1"/>
    <col min="6675" max="6675" width="4.109375" style="206" bestFit="1" customWidth="1"/>
    <col min="6676" max="6676" width="9.6640625" style="206" bestFit="1" customWidth="1"/>
    <col min="6677" max="6677" width="9.44140625" style="206" bestFit="1" customWidth="1"/>
    <col min="6678" max="6678" width="3.88671875" style="206" bestFit="1" customWidth="1"/>
    <col min="6679" max="6679" width="6.6640625" style="206" bestFit="1" customWidth="1"/>
    <col min="6680" max="6680" width="4.33203125" style="206" bestFit="1" customWidth="1"/>
    <col min="6681" max="6681" width="9.109375" style="206"/>
    <col min="6682" max="6682" width="31.6640625" style="206" customWidth="1"/>
    <col min="6683" max="6683" width="26.6640625" style="206" customWidth="1"/>
    <col min="6684" max="6684" width="31.6640625" style="206" customWidth="1"/>
    <col min="6685" max="6685" width="23.109375" style="206" customWidth="1"/>
    <col min="6686" max="6912" width="9.109375" style="206"/>
    <col min="6913" max="6913" width="28.88671875" style="206" bestFit="1" customWidth="1"/>
    <col min="6914" max="6915" width="29.44140625" style="206" customWidth="1"/>
    <col min="6916" max="6916" width="41.88671875" style="206" bestFit="1" customWidth="1"/>
    <col min="6917" max="6926" width="41.88671875" style="206" customWidth="1"/>
    <col min="6927" max="6927" width="43.44140625" style="206" bestFit="1" customWidth="1"/>
    <col min="6928" max="6928" width="1.33203125" style="206" customWidth="1"/>
    <col min="6929" max="6929" width="5" style="206" bestFit="1" customWidth="1"/>
    <col min="6930" max="6930" width="2.6640625" style="206" bestFit="1" customWidth="1"/>
    <col min="6931" max="6931" width="4.109375" style="206" bestFit="1" customWidth="1"/>
    <col min="6932" max="6932" width="9.6640625" style="206" bestFit="1" customWidth="1"/>
    <col min="6933" max="6933" width="9.44140625" style="206" bestFit="1" customWidth="1"/>
    <col min="6934" max="6934" width="3.88671875" style="206" bestFit="1" customWidth="1"/>
    <col min="6935" max="6935" width="6.6640625" style="206" bestFit="1" customWidth="1"/>
    <col min="6936" max="6936" width="4.33203125" style="206" bestFit="1" customWidth="1"/>
    <col min="6937" max="6937" width="9.109375" style="206"/>
    <col min="6938" max="6938" width="31.6640625" style="206" customWidth="1"/>
    <col min="6939" max="6939" width="26.6640625" style="206" customWidth="1"/>
    <col min="6940" max="6940" width="31.6640625" style="206" customWidth="1"/>
    <col min="6941" max="6941" width="23.109375" style="206" customWidth="1"/>
    <col min="6942" max="7168" width="9.109375" style="206"/>
    <col min="7169" max="7169" width="28.88671875" style="206" bestFit="1" customWidth="1"/>
    <col min="7170" max="7171" width="29.44140625" style="206" customWidth="1"/>
    <col min="7172" max="7172" width="41.88671875" style="206" bestFit="1" customWidth="1"/>
    <col min="7173" max="7182" width="41.88671875" style="206" customWidth="1"/>
    <col min="7183" max="7183" width="43.44140625" style="206" bestFit="1" customWidth="1"/>
    <col min="7184" max="7184" width="1.33203125" style="206" customWidth="1"/>
    <col min="7185" max="7185" width="5" style="206" bestFit="1" customWidth="1"/>
    <col min="7186" max="7186" width="2.6640625" style="206" bestFit="1" customWidth="1"/>
    <col min="7187" max="7187" width="4.109375" style="206" bestFit="1" customWidth="1"/>
    <col min="7188" max="7188" width="9.6640625" style="206" bestFit="1" customWidth="1"/>
    <col min="7189" max="7189" width="9.44140625" style="206" bestFit="1" customWidth="1"/>
    <col min="7190" max="7190" width="3.88671875" style="206" bestFit="1" customWidth="1"/>
    <col min="7191" max="7191" width="6.6640625" style="206" bestFit="1" customWidth="1"/>
    <col min="7192" max="7192" width="4.33203125" style="206" bestFit="1" customWidth="1"/>
    <col min="7193" max="7193" width="9.109375" style="206"/>
    <col min="7194" max="7194" width="31.6640625" style="206" customWidth="1"/>
    <col min="7195" max="7195" width="26.6640625" style="206" customWidth="1"/>
    <col min="7196" max="7196" width="31.6640625" style="206" customWidth="1"/>
    <col min="7197" max="7197" width="23.109375" style="206" customWidth="1"/>
    <col min="7198" max="7424" width="9.109375" style="206"/>
    <col min="7425" max="7425" width="28.88671875" style="206" bestFit="1" customWidth="1"/>
    <col min="7426" max="7427" width="29.44140625" style="206" customWidth="1"/>
    <col min="7428" max="7428" width="41.88671875" style="206" bestFit="1" customWidth="1"/>
    <col min="7429" max="7438" width="41.88671875" style="206" customWidth="1"/>
    <col min="7439" max="7439" width="43.44140625" style="206" bestFit="1" customWidth="1"/>
    <col min="7440" max="7440" width="1.33203125" style="206" customWidth="1"/>
    <col min="7441" max="7441" width="5" style="206" bestFit="1" customWidth="1"/>
    <col min="7442" max="7442" width="2.6640625" style="206" bestFit="1" customWidth="1"/>
    <col min="7443" max="7443" width="4.109375" style="206" bestFit="1" customWidth="1"/>
    <col min="7444" max="7444" width="9.6640625" style="206" bestFit="1" customWidth="1"/>
    <col min="7445" max="7445" width="9.44140625" style="206" bestFit="1" customWidth="1"/>
    <col min="7446" max="7446" width="3.88671875" style="206" bestFit="1" customWidth="1"/>
    <col min="7447" max="7447" width="6.6640625" style="206" bestFit="1" customWidth="1"/>
    <col min="7448" max="7448" width="4.33203125" style="206" bestFit="1" customWidth="1"/>
    <col min="7449" max="7449" width="9.109375" style="206"/>
    <col min="7450" max="7450" width="31.6640625" style="206" customWidth="1"/>
    <col min="7451" max="7451" width="26.6640625" style="206" customWidth="1"/>
    <col min="7452" max="7452" width="31.6640625" style="206" customWidth="1"/>
    <col min="7453" max="7453" width="23.109375" style="206" customWidth="1"/>
    <col min="7454" max="7680" width="9.109375" style="206"/>
    <col min="7681" max="7681" width="28.88671875" style="206" bestFit="1" customWidth="1"/>
    <col min="7682" max="7683" width="29.44140625" style="206" customWidth="1"/>
    <col min="7684" max="7684" width="41.88671875" style="206" bestFit="1" customWidth="1"/>
    <col min="7685" max="7694" width="41.88671875" style="206" customWidth="1"/>
    <col min="7695" max="7695" width="43.44140625" style="206" bestFit="1" customWidth="1"/>
    <col min="7696" max="7696" width="1.33203125" style="206" customWidth="1"/>
    <col min="7697" max="7697" width="5" style="206" bestFit="1" customWidth="1"/>
    <col min="7698" max="7698" width="2.6640625" style="206" bestFit="1" customWidth="1"/>
    <col min="7699" max="7699" width="4.109375" style="206" bestFit="1" customWidth="1"/>
    <col min="7700" max="7700" width="9.6640625" style="206" bestFit="1" customWidth="1"/>
    <col min="7701" max="7701" width="9.44140625" style="206" bestFit="1" customWidth="1"/>
    <col min="7702" max="7702" width="3.88671875" style="206" bestFit="1" customWidth="1"/>
    <col min="7703" max="7703" width="6.6640625" style="206" bestFit="1" customWidth="1"/>
    <col min="7704" max="7704" width="4.33203125" style="206" bestFit="1" customWidth="1"/>
    <col min="7705" max="7705" width="9.109375" style="206"/>
    <col min="7706" max="7706" width="31.6640625" style="206" customWidth="1"/>
    <col min="7707" max="7707" width="26.6640625" style="206" customWidth="1"/>
    <col min="7708" max="7708" width="31.6640625" style="206" customWidth="1"/>
    <col min="7709" max="7709" width="23.109375" style="206" customWidth="1"/>
    <col min="7710" max="7936" width="9.109375" style="206"/>
    <col min="7937" max="7937" width="28.88671875" style="206" bestFit="1" customWidth="1"/>
    <col min="7938" max="7939" width="29.44140625" style="206" customWidth="1"/>
    <col min="7940" max="7940" width="41.88671875" style="206" bestFit="1" customWidth="1"/>
    <col min="7941" max="7950" width="41.88671875" style="206" customWidth="1"/>
    <col min="7951" max="7951" width="43.44140625" style="206" bestFit="1" customWidth="1"/>
    <col min="7952" max="7952" width="1.33203125" style="206" customWidth="1"/>
    <col min="7953" max="7953" width="5" style="206" bestFit="1" customWidth="1"/>
    <col min="7954" max="7954" width="2.6640625" style="206" bestFit="1" customWidth="1"/>
    <col min="7955" max="7955" width="4.109375" style="206" bestFit="1" customWidth="1"/>
    <col min="7956" max="7956" width="9.6640625" style="206" bestFit="1" customWidth="1"/>
    <col min="7957" max="7957" width="9.44140625" style="206" bestFit="1" customWidth="1"/>
    <col min="7958" max="7958" width="3.88671875" style="206" bestFit="1" customWidth="1"/>
    <col min="7959" max="7959" width="6.6640625" style="206" bestFit="1" customWidth="1"/>
    <col min="7960" max="7960" width="4.33203125" style="206" bestFit="1" customWidth="1"/>
    <col min="7961" max="7961" width="9.109375" style="206"/>
    <col min="7962" max="7962" width="31.6640625" style="206" customWidth="1"/>
    <col min="7963" max="7963" width="26.6640625" style="206" customWidth="1"/>
    <col min="7964" max="7964" width="31.6640625" style="206" customWidth="1"/>
    <col min="7965" max="7965" width="23.109375" style="206" customWidth="1"/>
    <col min="7966" max="8192" width="9.109375" style="206"/>
    <col min="8193" max="8193" width="28.88671875" style="206" bestFit="1" customWidth="1"/>
    <col min="8194" max="8195" width="29.44140625" style="206" customWidth="1"/>
    <col min="8196" max="8196" width="41.88671875" style="206" bestFit="1" customWidth="1"/>
    <col min="8197" max="8206" width="41.88671875" style="206" customWidth="1"/>
    <col min="8207" max="8207" width="43.44140625" style="206" bestFit="1" customWidth="1"/>
    <col min="8208" max="8208" width="1.33203125" style="206" customWidth="1"/>
    <col min="8209" max="8209" width="5" style="206" bestFit="1" customWidth="1"/>
    <col min="8210" max="8210" width="2.6640625" style="206" bestFit="1" customWidth="1"/>
    <col min="8211" max="8211" width="4.109375" style="206" bestFit="1" customWidth="1"/>
    <col min="8212" max="8212" width="9.6640625" style="206" bestFit="1" customWidth="1"/>
    <col min="8213" max="8213" width="9.44140625" style="206" bestFit="1" customWidth="1"/>
    <col min="8214" max="8214" width="3.88671875" style="206" bestFit="1" customWidth="1"/>
    <col min="8215" max="8215" width="6.6640625" style="206" bestFit="1" customWidth="1"/>
    <col min="8216" max="8216" width="4.33203125" style="206" bestFit="1" customWidth="1"/>
    <col min="8217" max="8217" width="9.109375" style="206"/>
    <col min="8218" max="8218" width="31.6640625" style="206" customWidth="1"/>
    <col min="8219" max="8219" width="26.6640625" style="206" customWidth="1"/>
    <col min="8220" max="8220" width="31.6640625" style="206" customWidth="1"/>
    <col min="8221" max="8221" width="23.109375" style="206" customWidth="1"/>
    <col min="8222" max="8448" width="9.109375" style="206"/>
    <col min="8449" max="8449" width="28.88671875" style="206" bestFit="1" customWidth="1"/>
    <col min="8450" max="8451" width="29.44140625" style="206" customWidth="1"/>
    <col min="8452" max="8452" width="41.88671875" style="206" bestFit="1" customWidth="1"/>
    <col min="8453" max="8462" width="41.88671875" style="206" customWidth="1"/>
    <col min="8463" max="8463" width="43.44140625" style="206" bestFit="1" customWidth="1"/>
    <col min="8464" max="8464" width="1.33203125" style="206" customWidth="1"/>
    <col min="8465" max="8465" width="5" style="206" bestFit="1" customWidth="1"/>
    <col min="8466" max="8466" width="2.6640625" style="206" bestFit="1" customWidth="1"/>
    <col min="8467" max="8467" width="4.109375" style="206" bestFit="1" customWidth="1"/>
    <col min="8468" max="8468" width="9.6640625" style="206" bestFit="1" customWidth="1"/>
    <col min="8469" max="8469" width="9.44140625" style="206" bestFit="1" customWidth="1"/>
    <col min="8470" max="8470" width="3.88671875" style="206" bestFit="1" customWidth="1"/>
    <col min="8471" max="8471" width="6.6640625" style="206" bestFit="1" customWidth="1"/>
    <col min="8472" max="8472" width="4.33203125" style="206" bestFit="1" customWidth="1"/>
    <col min="8473" max="8473" width="9.109375" style="206"/>
    <col min="8474" max="8474" width="31.6640625" style="206" customWidth="1"/>
    <col min="8475" max="8475" width="26.6640625" style="206" customWidth="1"/>
    <col min="8476" max="8476" width="31.6640625" style="206" customWidth="1"/>
    <col min="8477" max="8477" width="23.109375" style="206" customWidth="1"/>
    <col min="8478" max="8704" width="9.109375" style="206"/>
    <col min="8705" max="8705" width="28.88671875" style="206" bestFit="1" customWidth="1"/>
    <col min="8706" max="8707" width="29.44140625" style="206" customWidth="1"/>
    <col min="8708" max="8708" width="41.88671875" style="206" bestFit="1" customWidth="1"/>
    <col min="8709" max="8718" width="41.88671875" style="206" customWidth="1"/>
    <col min="8719" max="8719" width="43.44140625" style="206" bestFit="1" customWidth="1"/>
    <col min="8720" max="8720" width="1.33203125" style="206" customWidth="1"/>
    <col min="8721" max="8721" width="5" style="206" bestFit="1" customWidth="1"/>
    <col min="8722" max="8722" width="2.6640625" style="206" bestFit="1" customWidth="1"/>
    <col min="8723" max="8723" width="4.109375" style="206" bestFit="1" customWidth="1"/>
    <col min="8724" max="8724" width="9.6640625" style="206" bestFit="1" customWidth="1"/>
    <col min="8725" max="8725" width="9.44140625" style="206" bestFit="1" customWidth="1"/>
    <col min="8726" max="8726" width="3.88671875" style="206" bestFit="1" customWidth="1"/>
    <col min="8727" max="8727" width="6.6640625" style="206" bestFit="1" customWidth="1"/>
    <col min="8728" max="8728" width="4.33203125" style="206" bestFit="1" customWidth="1"/>
    <col min="8729" max="8729" width="9.109375" style="206"/>
    <col min="8730" max="8730" width="31.6640625" style="206" customWidth="1"/>
    <col min="8731" max="8731" width="26.6640625" style="206" customWidth="1"/>
    <col min="8732" max="8732" width="31.6640625" style="206" customWidth="1"/>
    <col min="8733" max="8733" width="23.109375" style="206" customWidth="1"/>
    <col min="8734" max="8960" width="9.109375" style="206"/>
    <col min="8961" max="8961" width="28.88671875" style="206" bestFit="1" customWidth="1"/>
    <col min="8962" max="8963" width="29.44140625" style="206" customWidth="1"/>
    <col min="8964" max="8964" width="41.88671875" style="206" bestFit="1" customWidth="1"/>
    <col min="8965" max="8974" width="41.88671875" style="206" customWidth="1"/>
    <col min="8975" max="8975" width="43.44140625" style="206" bestFit="1" customWidth="1"/>
    <col min="8976" max="8976" width="1.33203125" style="206" customWidth="1"/>
    <col min="8977" max="8977" width="5" style="206" bestFit="1" customWidth="1"/>
    <col min="8978" max="8978" width="2.6640625" style="206" bestFit="1" customWidth="1"/>
    <col min="8979" max="8979" width="4.109375" style="206" bestFit="1" customWidth="1"/>
    <col min="8980" max="8980" width="9.6640625" style="206" bestFit="1" customWidth="1"/>
    <col min="8981" max="8981" width="9.44140625" style="206" bestFit="1" customWidth="1"/>
    <col min="8982" max="8982" width="3.88671875" style="206" bestFit="1" customWidth="1"/>
    <col min="8983" max="8983" width="6.6640625" style="206" bestFit="1" customWidth="1"/>
    <col min="8984" max="8984" width="4.33203125" style="206" bestFit="1" customWidth="1"/>
    <col min="8985" max="8985" width="9.109375" style="206"/>
    <col min="8986" max="8986" width="31.6640625" style="206" customWidth="1"/>
    <col min="8987" max="8987" width="26.6640625" style="206" customWidth="1"/>
    <col min="8988" max="8988" width="31.6640625" style="206" customWidth="1"/>
    <col min="8989" max="8989" width="23.109375" style="206" customWidth="1"/>
    <col min="8990" max="9216" width="9.109375" style="206"/>
    <col min="9217" max="9217" width="28.88671875" style="206" bestFit="1" customWidth="1"/>
    <col min="9218" max="9219" width="29.44140625" style="206" customWidth="1"/>
    <col min="9220" max="9220" width="41.88671875" style="206" bestFit="1" customWidth="1"/>
    <col min="9221" max="9230" width="41.88671875" style="206" customWidth="1"/>
    <col min="9231" max="9231" width="43.44140625" style="206" bestFit="1" customWidth="1"/>
    <col min="9232" max="9232" width="1.33203125" style="206" customWidth="1"/>
    <col min="9233" max="9233" width="5" style="206" bestFit="1" customWidth="1"/>
    <col min="9234" max="9234" width="2.6640625" style="206" bestFit="1" customWidth="1"/>
    <col min="9235" max="9235" width="4.109375" style="206" bestFit="1" customWidth="1"/>
    <col min="9236" max="9236" width="9.6640625" style="206" bestFit="1" customWidth="1"/>
    <col min="9237" max="9237" width="9.44140625" style="206" bestFit="1" customWidth="1"/>
    <col min="9238" max="9238" width="3.88671875" style="206" bestFit="1" customWidth="1"/>
    <col min="9239" max="9239" width="6.6640625" style="206" bestFit="1" customWidth="1"/>
    <col min="9240" max="9240" width="4.33203125" style="206" bestFit="1" customWidth="1"/>
    <col min="9241" max="9241" width="9.109375" style="206"/>
    <col min="9242" max="9242" width="31.6640625" style="206" customWidth="1"/>
    <col min="9243" max="9243" width="26.6640625" style="206" customWidth="1"/>
    <col min="9244" max="9244" width="31.6640625" style="206" customWidth="1"/>
    <col min="9245" max="9245" width="23.109375" style="206" customWidth="1"/>
    <col min="9246" max="9472" width="9.109375" style="206"/>
    <col min="9473" max="9473" width="28.88671875" style="206" bestFit="1" customWidth="1"/>
    <col min="9474" max="9475" width="29.44140625" style="206" customWidth="1"/>
    <col min="9476" max="9476" width="41.88671875" style="206" bestFit="1" customWidth="1"/>
    <col min="9477" max="9486" width="41.88671875" style="206" customWidth="1"/>
    <col min="9487" max="9487" width="43.44140625" style="206" bestFit="1" customWidth="1"/>
    <col min="9488" max="9488" width="1.33203125" style="206" customWidth="1"/>
    <col min="9489" max="9489" width="5" style="206" bestFit="1" customWidth="1"/>
    <col min="9490" max="9490" width="2.6640625" style="206" bestFit="1" customWidth="1"/>
    <col min="9491" max="9491" width="4.109375" style="206" bestFit="1" customWidth="1"/>
    <col min="9492" max="9492" width="9.6640625" style="206" bestFit="1" customWidth="1"/>
    <col min="9493" max="9493" width="9.44140625" style="206" bestFit="1" customWidth="1"/>
    <col min="9494" max="9494" width="3.88671875" style="206" bestFit="1" customWidth="1"/>
    <col min="9495" max="9495" width="6.6640625" style="206" bestFit="1" customWidth="1"/>
    <col min="9496" max="9496" width="4.33203125" style="206" bestFit="1" customWidth="1"/>
    <col min="9497" max="9497" width="9.109375" style="206"/>
    <col min="9498" max="9498" width="31.6640625" style="206" customWidth="1"/>
    <col min="9499" max="9499" width="26.6640625" style="206" customWidth="1"/>
    <col min="9500" max="9500" width="31.6640625" style="206" customWidth="1"/>
    <col min="9501" max="9501" width="23.109375" style="206" customWidth="1"/>
    <col min="9502" max="9728" width="9.109375" style="206"/>
    <col min="9729" max="9729" width="28.88671875" style="206" bestFit="1" customWidth="1"/>
    <col min="9730" max="9731" width="29.44140625" style="206" customWidth="1"/>
    <col min="9732" max="9732" width="41.88671875" style="206" bestFit="1" customWidth="1"/>
    <col min="9733" max="9742" width="41.88671875" style="206" customWidth="1"/>
    <col min="9743" max="9743" width="43.44140625" style="206" bestFit="1" customWidth="1"/>
    <col min="9744" max="9744" width="1.33203125" style="206" customWidth="1"/>
    <col min="9745" max="9745" width="5" style="206" bestFit="1" customWidth="1"/>
    <col min="9746" max="9746" width="2.6640625" style="206" bestFit="1" customWidth="1"/>
    <col min="9747" max="9747" width="4.109375" style="206" bestFit="1" customWidth="1"/>
    <col min="9748" max="9748" width="9.6640625" style="206" bestFit="1" customWidth="1"/>
    <col min="9749" max="9749" width="9.44140625" style="206" bestFit="1" customWidth="1"/>
    <col min="9750" max="9750" width="3.88671875" style="206" bestFit="1" customWidth="1"/>
    <col min="9751" max="9751" width="6.6640625" style="206" bestFit="1" customWidth="1"/>
    <col min="9752" max="9752" width="4.33203125" style="206" bestFit="1" customWidth="1"/>
    <col min="9753" max="9753" width="9.109375" style="206"/>
    <col min="9754" max="9754" width="31.6640625" style="206" customWidth="1"/>
    <col min="9755" max="9755" width="26.6640625" style="206" customWidth="1"/>
    <col min="9756" max="9756" width="31.6640625" style="206" customWidth="1"/>
    <col min="9757" max="9757" width="23.109375" style="206" customWidth="1"/>
    <col min="9758" max="9984" width="9.109375" style="206"/>
    <col min="9985" max="9985" width="28.88671875" style="206" bestFit="1" customWidth="1"/>
    <col min="9986" max="9987" width="29.44140625" style="206" customWidth="1"/>
    <col min="9988" max="9988" width="41.88671875" style="206" bestFit="1" customWidth="1"/>
    <col min="9989" max="9998" width="41.88671875" style="206" customWidth="1"/>
    <col min="9999" max="9999" width="43.44140625" style="206" bestFit="1" customWidth="1"/>
    <col min="10000" max="10000" width="1.33203125" style="206" customWidth="1"/>
    <col min="10001" max="10001" width="5" style="206" bestFit="1" customWidth="1"/>
    <col min="10002" max="10002" width="2.6640625" style="206" bestFit="1" customWidth="1"/>
    <col min="10003" max="10003" width="4.109375" style="206" bestFit="1" customWidth="1"/>
    <col min="10004" max="10004" width="9.6640625" style="206" bestFit="1" customWidth="1"/>
    <col min="10005" max="10005" width="9.44140625" style="206" bestFit="1" customWidth="1"/>
    <col min="10006" max="10006" width="3.88671875" style="206" bestFit="1" customWidth="1"/>
    <col min="10007" max="10007" width="6.6640625" style="206" bestFit="1" customWidth="1"/>
    <col min="10008" max="10008" width="4.33203125" style="206" bestFit="1" customWidth="1"/>
    <col min="10009" max="10009" width="9.109375" style="206"/>
    <col min="10010" max="10010" width="31.6640625" style="206" customWidth="1"/>
    <col min="10011" max="10011" width="26.6640625" style="206" customWidth="1"/>
    <col min="10012" max="10012" width="31.6640625" style="206" customWidth="1"/>
    <col min="10013" max="10013" width="23.109375" style="206" customWidth="1"/>
    <col min="10014" max="10240" width="9.109375" style="206"/>
    <col min="10241" max="10241" width="28.88671875" style="206" bestFit="1" customWidth="1"/>
    <col min="10242" max="10243" width="29.44140625" style="206" customWidth="1"/>
    <col min="10244" max="10244" width="41.88671875" style="206" bestFit="1" customWidth="1"/>
    <col min="10245" max="10254" width="41.88671875" style="206" customWidth="1"/>
    <col min="10255" max="10255" width="43.44140625" style="206" bestFit="1" customWidth="1"/>
    <col min="10256" max="10256" width="1.33203125" style="206" customWidth="1"/>
    <col min="10257" max="10257" width="5" style="206" bestFit="1" customWidth="1"/>
    <col min="10258" max="10258" width="2.6640625" style="206" bestFit="1" customWidth="1"/>
    <col min="10259" max="10259" width="4.109375" style="206" bestFit="1" customWidth="1"/>
    <col min="10260" max="10260" width="9.6640625" style="206" bestFit="1" customWidth="1"/>
    <col min="10261" max="10261" width="9.44140625" style="206" bestFit="1" customWidth="1"/>
    <col min="10262" max="10262" width="3.88671875" style="206" bestFit="1" customWidth="1"/>
    <col min="10263" max="10263" width="6.6640625" style="206" bestFit="1" customWidth="1"/>
    <col min="10264" max="10264" width="4.33203125" style="206" bestFit="1" customWidth="1"/>
    <col min="10265" max="10265" width="9.109375" style="206"/>
    <col min="10266" max="10266" width="31.6640625" style="206" customWidth="1"/>
    <col min="10267" max="10267" width="26.6640625" style="206" customWidth="1"/>
    <col min="10268" max="10268" width="31.6640625" style="206" customWidth="1"/>
    <col min="10269" max="10269" width="23.109375" style="206" customWidth="1"/>
    <col min="10270" max="10496" width="9.109375" style="206"/>
    <col min="10497" max="10497" width="28.88671875" style="206" bestFit="1" customWidth="1"/>
    <col min="10498" max="10499" width="29.44140625" style="206" customWidth="1"/>
    <col min="10500" max="10500" width="41.88671875" style="206" bestFit="1" customWidth="1"/>
    <col min="10501" max="10510" width="41.88671875" style="206" customWidth="1"/>
    <col min="10511" max="10511" width="43.44140625" style="206" bestFit="1" customWidth="1"/>
    <col min="10512" max="10512" width="1.33203125" style="206" customWidth="1"/>
    <col min="10513" max="10513" width="5" style="206" bestFit="1" customWidth="1"/>
    <col min="10514" max="10514" width="2.6640625" style="206" bestFit="1" customWidth="1"/>
    <col min="10515" max="10515" width="4.109375" style="206" bestFit="1" customWidth="1"/>
    <col min="10516" max="10516" width="9.6640625" style="206" bestFit="1" customWidth="1"/>
    <col min="10517" max="10517" width="9.44140625" style="206" bestFit="1" customWidth="1"/>
    <col min="10518" max="10518" width="3.88671875" style="206" bestFit="1" customWidth="1"/>
    <col min="10519" max="10519" width="6.6640625" style="206" bestFit="1" customWidth="1"/>
    <col min="10520" max="10520" width="4.33203125" style="206" bestFit="1" customWidth="1"/>
    <col min="10521" max="10521" width="9.109375" style="206"/>
    <col min="10522" max="10522" width="31.6640625" style="206" customWidth="1"/>
    <col min="10523" max="10523" width="26.6640625" style="206" customWidth="1"/>
    <col min="10524" max="10524" width="31.6640625" style="206" customWidth="1"/>
    <col min="10525" max="10525" width="23.109375" style="206" customWidth="1"/>
    <col min="10526" max="10752" width="9.109375" style="206"/>
    <col min="10753" max="10753" width="28.88671875" style="206" bestFit="1" customWidth="1"/>
    <col min="10754" max="10755" width="29.44140625" style="206" customWidth="1"/>
    <col min="10756" max="10756" width="41.88671875" style="206" bestFit="1" customWidth="1"/>
    <col min="10757" max="10766" width="41.88671875" style="206" customWidth="1"/>
    <col min="10767" max="10767" width="43.44140625" style="206" bestFit="1" customWidth="1"/>
    <col min="10768" max="10768" width="1.33203125" style="206" customWidth="1"/>
    <col min="10769" max="10769" width="5" style="206" bestFit="1" customWidth="1"/>
    <col min="10770" max="10770" width="2.6640625" style="206" bestFit="1" customWidth="1"/>
    <col min="10771" max="10771" width="4.109375" style="206" bestFit="1" customWidth="1"/>
    <col min="10772" max="10772" width="9.6640625" style="206" bestFit="1" customWidth="1"/>
    <col min="10773" max="10773" width="9.44140625" style="206" bestFit="1" customWidth="1"/>
    <col min="10774" max="10774" width="3.88671875" style="206" bestFit="1" customWidth="1"/>
    <col min="10775" max="10775" width="6.6640625" style="206" bestFit="1" customWidth="1"/>
    <col min="10776" max="10776" width="4.33203125" style="206" bestFit="1" customWidth="1"/>
    <col min="10777" max="10777" width="9.109375" style="206"/>
    <col min="10778" max="10778" width="31.6640625" style="206" customWidth="1"/>
    <col min="10779" max="10779" width="26.6640625" style="206" customWidth="1"/>
    <col min="10780" max="10780" width="31.6640625" style="206" customWidth="1"/>
    <col min="10781" max="10781" width="23.109375" style="206" customWidth="1"/>
    <col min="10782" max="11008" width="9.109375" style="206"/>
    <col min="11009" max="11009" width="28.88671875" style="206" bestFit="1" customWidth="1"/>
    <col min="11010" max="11011" width="29.44140625" style="206" customWidth="1"/>
    <col min="11012" max="11012" width="41.88671875" style="206" bestFit="1" customWidth="1"/>
    <col min="11013" max="11022" width="41.88671875" style="206" customWidth="1"/>
    <col min="11023" max="11023" width="43.44140625" style="206" bestFit="1" customWidth="1"/>
    <col min="11024" max="11024" width="1.33203125" style="206" customWidth="1"/>
    <col min="11025" max="11025" width="5" style="206" bestFit="1" customWidth="1"/>
    <col min="11026" max="11026" width="2.6640625" style="206" bestFit="1" customWidth="1"/>
    <col min="11027" max="11027" width="4.109375" style="206" bestFit="1" customWidth="1"/>
    <col min="11028" max="11028" width="9.6640625" style="206" bestFit="1" customWidth="1"/>
    <col min="11029" max="11029" width="9.44140625" style="206" bestFit="1" customWidth="1"/>
    <col min="11030" max="11030" width="3.88671875" style="206" bestFit="1" customWidth="1"/>
    <col min="11031" max="11031" width="6.6640625" style="206" bestFit="1" customWidth="1"/>
    <col min="11032" max="11032" width="4.33203125" style="206" bestFit="1" customWidth="1"/>
    <col min="11033" max="11033" width="9.109375" style="206"/>
    <col min="11034" max="11034" width="31.6640625" style="206" customWidth="1"/>
    <col min="11035" max="11035" width="26.6640625" style="206" customWidth="1"/>
    <col min="11036" max="11036" width="31.6640625" style="206" customWidth="1"/>
    <col min="11037" max="11037" width="23.109375" style="206" customWidth="1"/>
    <col min="11038" max="11264" width="9.109375" style="206"/>
    <col min="11265" max="11265" width="28.88671875" style="206" bestFit="1" customWidth="1"/>
    <col min="11266" max="11267" width="29.44140625" style="206" customWidth="1"/>
    <col min="11268" max="11268" width="41.88671875" style="206" bestFit="1" customWidth="1"/>
    <col min="11269" max="11278" width="41.88671875" style="206" customWidth="1"/>
    <col min="11279" max="11279" width="43.44140625" style="206" bestFit="1" customWidth="1"/>
    <col min="11280" max="11280" width="1.33203125" style="206" customWidth="1"/>
    <col min="11281" max="11281" width="5" style="206" bestFit="1" customWidth="1"/>
    <col min="11282" max="11282" width="2.6640625" style="206" bestFit="1" customWidth="1"/>
    <col min="11283" max="11283" width="4.109375" style="206" bestFit="1" customWidth="1"/>
    <col min="11284" max="11284" width="9.6640625" style="206" bestFit="1" customWidth="1"/>
    <col min="11285" max="11285" width="9.44140625" style="206" bestFit="1" customWidth="1"/>
    <col min="11286" max="11286" width="3.88671875" style="206" bestFit="1" customWidth="1"/>
    <col min="11287" max="11287" width="6.6640625" style="206" bestFit="1" customWidth="1"/>
    <col min="11288" max="11288" width="4.33203125" style="206" bestFit="1" customWidth="1"/>
    <col min="11289" max="11289" width="9.109375" style="206"/>
    <col min="11290" max="11290" width="31.6640625" style="206" customWidth="1"/>
    <col min="11291" max="11291" width="26.6640625" style="206" customWidth="1"/>
    <col min="11292" max="11292" width="31.6640625" style="206" customWidth="1"/>
    <col min="11293" max="11293" width="23.109375" style="206" customWidth="1"/>
    <col min="11294" max="11520" width="9.109375" style="206"/>
    <col min="11521" max="11521" width="28.88671875" style="206" bestFit="1" customWidth="1"/>
    <col min="11522" max="11523" width="29.44140625" style="206" customWidth="1"/>
    <col min="11524" max="11524" width="41.88671875" style="206" bestFit="1" customWidth="1"/>
    <col min="11525" max="11534" width="41.88671875" style="206" customWidth="1"/>
    <col min="11535" max="11535" width="43.44140625" style="206" bestFit="1" customWidth="1"/>
    <col min="11536" max="11536" width="1.33203125" style="206" customWidth="1"/>
    <col min="11537" max="11537" width="5" style="206" bestFit="1" customWidth="1"/>
    <col min="11538" max="11538" width="2.6640625" style="206" bestFit="1" customWidth="1"/>
    <col min="11539" max="11539" width="4.109375" style="206" bestFit="1" customWidth="1"/>
    <col min="11540" max="11540" width="9.6640625" style="206" bestFit="1" customWidth="1"/>
    <col min="11541" max="11541" width="9.44140625" style="206" bestFit="1" customWidth="1"/>
    <col min="11542" max="11542" width="3.88671875" style="206" bestFit="1" customWidth="1"/>
    <col min="11543" max="11543" width="6.6640625" style="206" bestFit="1" customWidth="1"/>
    <col min="11544" max="11544" width="4.33203125" style="206" bestFit="1" customWidth="1"/>
    <col min="11545" max="11545" width="9.109375" style="206"/>
    <col min="11546" max="11546" width="31.6640625" style="206" customWidth="1"/>
    <col min="11547" max="11547" width="26.6640625" style="206" customWidth="1"/>
    <col min="11548" max="11548" width="31.6640625" style="206" customWidth="1"/>
    <col min="11549" max="11549" width="23.109375" style="206" customWidth="1"/>
    <col min="11550" max="11776" width="9.109375" style="206"/>
    <col min="11777" max="11777" width="28.88671875" style="206" bestFit="1" customWidth="1"/>
    <col min="11778" max="11779" width="29.44140625" style="206" customWidth="1"/>
    <col min="11780" max="11780" width="41.88671875" style="206" bestFit="1" customWidth="1"/>
    <col min="11781" max="11790" width="41.88671875" style="206" customWidth="1"/>
    <col min="11791" max="11791" width="43.44140625" style="206" bestFit="1" customWidth="1"/>
    <col min="11792" max="11792" width="1.33203125" style="206" customWidth="1"/>
    <col min="11793" max="11793" width="5" style="206" bestFit="1" customWidth="1"/>
    <col min="11794" max="11794" width="2.6640625" style="206" bestFit="1" customWidth="1"/>
    <col min="11795" max="11795" width="4.109375" style="206" bestFit="1" customWidth="1"/>
    <col min="11796" max="11796" width="9.6640625" style="206" bestFit="1" customWidth="1"/>
    <col min="11797" max="11797" width="9.44140625" style="206" bestFit="1" customWidth="1"/>
    <col min="11798" max="11798" width="3.88671875" style="206" bestFit="1" customWidth="1"/>
    <col min="11799" max="11799" width="6.6640625" style="206" bestFit="1" customWidth="1"/>
    <col min="11800" max="11800" width="4.33203125" style="206" bestFit="1" customWidth="1"/>
    <col min="11801" max="11801" width="9.109375" style="206"/>
    <col min="11802" max="11802" width="31.6640625" style="206" customWidth="1"/>
    <col min="11803" max="11803" width="26.6640625" style="206" customWidth="1"/>
    <col min="11804" max="11804" width="31.6640625" style="206" customWidth="1"/>
    <col min="11805" max="11805" width="23.109375" style="206" customWidth="1"/>
    <col min="11806" max="12032" width="9.109375" style="206"/>
    <col min="12033" max="12033" width="28.88671875" style="206" bestFit="1" customWidth="1"/>
    <col min="12034" max="12035" width="29.44140625" style="206" customWidth="1"/>
    <col min="12036" max="12036" width="41.88671875" style="206" bestFit="1" customWidth="1"/>
    <col min="12037" max="12046" width="41.88671875" style="206" customWidth="1"/>
    <col min="12047" max="12047" width="43.44140625" style="206" bestFit="1" customWidth="1"/>
    <col min="12048" max="12048" width="1.33203125" style="206" customWidth="1"/>
    <col min="12049" max="12049" width="5" style="206" bestFit="1" customWidth="1"/>
    <col min="12050" max="12050" width="2.6640625" style="206" bestFit="1" customWidth="1"/>
    <col min="12051" max="12051" width="4.109375" style="206" bestFit="1" customWidth="1"/>
    <col min="12052" max="12052" width="9.6640625" style="206" bestFit="1" customWidth="1"/>
    <col min="12053" max="12053" width="9.44140625" style="206" bestFit="1" customWidth="1"/>
    <col min="12054" max="12054" width="3.88671875" style="206" bestFit="1" customWidth="1"/>
    <col min="12055" max="12055" width="6.6640625" style="206" bestFit="1" customWidth="1"/>
    <col min="12056" max="12056" width="4.33203125" style="206" bestFit="1" customWidth="1"/>
    <col min="12057" max="12057" width="9.109375" style="206"/>
    <col min="12058" max="12058" width="31.6640625" style="206" customWidth="1"/>
    <col min="12059" max="12059" width="26.6640625" style="206" customWidth="1"/>
    <col min="12060" max="12060" width="31.6640625" style="206" customWidth="1"/>
    <col min="12061" max="12061" width="23.109375" style="206" customWidth="1"/>
    <col min="12062" max="12288" width="9.109375" style="206"/>
    <col min="12289" max="12289" width="28.88671875" style="206" bestFit="1" customWidth="1"/>
    <col min="12290" max="12291" width="29.44140625" style="206" customWidth="1"/>
    <col min="12292" max="12292" width="41.88671875" style="206" bestFit="1" customWidth="1"/>
    <col min="12293" max="12302" width="41.88671875" style="206" customWidth="1"/>
    <col min="12303" max="12303" width="43.44140625" style="206" bestFit="1" customWidth="1"/>
    <col min="12304" max="12304" width="1.33203125" style="206" customWidth="1"/>
    <col min="12305" max="12305" width="5" style="206" bestFit="1" customWidth="1"/>
    <col min="12306" max="12306" width="2.6640625" style="206" bestFit="1" customWidth="1"/>
    <col min="12307" max="12307" width="4.109375" style="206" bestFit="1" customWidth="1"/>
    <col min="12308" max="12308" width="9.6640625" style="206" bestFit="1" customWidth="1"/>
    <col min="12309" max="12309" width="9.44140625" style="206" bestFit="1" customWidth="1"/>
    <col min="12310" max="12310" width="3.88671875" style="206" bestFit="1" customWidth="1"/>
    <col min="12311" max="12311" width="6.6640625" style="206" bestFit="1" customWidth="1"/>
    <col min="12312" max="12312" width="4.33203125" style="206" bestFit="1" customWidth="1"/>
    <col min="12313" max="12313" width="9.109375" style="206"/>
    <col min="12314" max="12314" width="31.6640625" style="206" customWidth="1"/>
    <col min="12315" max="12315" width="26.6640625" style="206" customWidth="1"/>
    <col min="12316" max="12316" width="31.6640625" style="206" customWidth="1"/>
    <col min="12317" max="12317" width="23.109375" style="206" customWidth="1"/>
    <col min="12318" max="12544" width="9.109375" style="206"/>
    <col min="12545" max="12545" width="28.88671875" style="206" bestFit="1" customWidth="1"/>
    <col min="12546" max="12547" width="29.44140625" style="206" customWidth="1"/>
    <col min="12548" max="12548" width="41.88671875" style="206" bestFit="1" customWidth="1"/>
    <col min="12549" max="12558" width="41.88671875" style="206" customWidth="1"/>
    <col min="12559" max="12559" width="43.44140625" style="206" bestFit="1" customWidth="1"/>
    <col min="12560" max="12560" width="1.33203125" style="206" customWidth="1"/>
    <col min="12561" max="12561" width="5" style="206" bestFit="1" customWidth="1"/>
    <col min="12562" max="12562" width="2.6640625" style="206" bestFit="1" customWidth="1"/>
    <col min="12563" max="12563" width="4.109375" style="206" bestFit="1" customWidth="1"/>
    <col min="12564" max="12564" width="9.6640625" style="206" bestFit="1" customWidth="1"/>
    <col min="12565" max="12565" width="9.44140625" style="206" bestFit="1" customWidth="1"/>
    <col min="12566" max="12566" width="3.88671875" style="206" bestFit="1" customWidth="1"/>
    <col min="12567" max="12567" width="6.6640625" style="206" bestFit="1" customWidth="1"/>
    <col min="12568" max="12568" width="4.33203125" style="206" bestFit="1" customWidth="1"/>
    <col min="12569" max="12569" width="9.109375" style="206"/>
    <col min="12570" max="12570" width="31.6640625" style="206" customWidth="1"/>
    <col min="12571" max="12571" width="26.6640625" style="206" customWidth="1"/>
    <col min="12572" max="12572" width="31.6640625" style="206" customWidth="1"/>
    <col min="12573" max="12573" width="23.109375" style="206" customWidth="1"/>
    <col min="12574" max="12800" width="9.109375" style="206"/>
    <col min="12801" max="12801" width="28.88671875" style="206" bestFit="1" customWidth="1"/>
    <col min="12802" max="12803" width="29.44140625" style="206" customWidth="1"/>
    <col min="12804" max="12804" width="41.88671875" style="206" bestFit="1" customWidth="1"/>
    <col min="12805" max="12814" width="41.88671875" style="206" customWidth="1"/>
    <col min="12815" max="12815" width="43.44140625" style="206" bestFit="1" customWidth="1"/>
    <col min="12816" max="12816" width="1.33203125" style="206" customWidth="1"/>
    <col min="12817" max="12817" width="5" style="206" bestFit="1" customWidth="1"/>
    <col min="12818" max="12818" width="2.6640625" style="206" bestFit="1" customWidth="1"/>
    <col min="12819" max="12819" width="4.109375" style="206" bestFit="1" customWidth="1"/>
    <col min="12820" max="12820" width="9.6640625" style="206" bestFit="1" customWidth="1"/>
    <col min="12821" max="12821" width="9.44140625" style="206" bestFit="1" customWidth="1"/>
    <col min="12822" max="12822" width="3.88671875" style="206" bestFit="1" customWidth="1"/>
    <col min="12823" max="12823" width="6.6640625" style="206" bestFit="1" customWidth="1"/>
    <col min="12824" max="12824" width="4.33203125" style="206" bestFit="1" customWidth="1"/>
    <col min="12825" max="12825" width="9.109375" style="206"/>
    <col min="12826" max="12826" width="31.6640625" style="206" customWidth="1"/>
    <col min="12827" max="12827" width="26.6640625" style="206" customWidth="1"/>
    <col min="12828" max="12828" width="31.6640625" style="206" customWidth="1"/>
    <col min="12829" max="12829" width="23.109375" style="206" customWidth="1"/>
    <col min="12830" max="13056" width="9.109375" style="206"/>
    <col min="13057" max="13057" width="28.88671875" style="206" bestFit="1" customWidth="1"/>
    <col min="13058" max="13059" width="29.44140625" style="206" customWidth="1"/>
    <col min="13060" max="13060" width="41.88671875" style="206" bestFit="1" customWidth="1"/>
    <col min="13061" max="13070" width="41.88671875" style="206" customWidth="1"/>
    <col min="13071" max="13071" width="43.44140625" style="206" bestFit="1" customWidth="1"/>
    <col min="13072" max="13072" width="1.33203125" style="206" customWidth="1"/>
    <col min="13073" max="13073" width="5" style="206" bestFit="1" customWidth="1"/>
    <col min="13074" max="13074" width="2.6640625" style="206" bestFit="1" customWidth="1"/>
    <col min="13075" max="13075" width="4.109375" style="206" bestFit="1" customWidth="1"/>
    <col min="13076" max="13076" width="9.6640625" style="206" bestFit="1" customWidth="1"/>
    <col min="13077" max="13077" width="9.44140625" style="206" bestFit="1" customWidth="1"/>
    <col min="13078" max="13078" width="3.88671875" style="206" bestFit="1" customWidth="1"/>
    <col min="13079" max="13079" width="6.6640625" style="206" bestFit="1" customWidth="1"/>
    <col min="13080" max="13080" width="4.33203125" style="206" bestFit="1" customWidth="1"/>
    <col min="13081" max="13081" width="9.109375" style="206"/>
    <col min="13082" max="13082" width="31.6640625" style="206" customWidth="1"/>
    <col min="13083" max="13083" width="26.6640625" style="206" customWidth="1"/>
    <col min="13084" max="13084" width="31.6640625" style="206" customWidth="1"/>
    <col min="13085" max="13085" width="23.109375" style="206" customWidth="1"/>
    <col min="13086" max="13312" width="9.109375" style="206"/>
    <col min="13313" max="13313" width="28.88671875" style="206" bestFit="1" customWidth="1"/>
    <col min="13314" max="13315" width="29.44140625" style="206" customWidth="1"/>
    <col min="13316" max="13316" width="41.88671875" style="206" bestFit="1" customWidth="1"/>
    <col min="13317" max="13326" width="41.88671875" style="206" customWidth="1"/>
    <col min="13327" max="13327" width="43.44140625" style="206" bestFit="1" customWidth="1"/>
    <col min="13328" max="13328" width="1.33203125" style="206" customWidth="1"/>
    <col min="13329" max="13329" width="5" style="206" bestFit="1" customWidth="1"/>
    <col min="13330" max="13330" width="2.6640625" style="206" bestFit="1" customWidth="1"/>
    <col min="13331" max="13331" width="4.109375" style="206" bestFit="1" customWidth="1"/>
    <col min="13332" max="13332" width="9.6640625" style="206" bestFit="1" customWidth="1"/>
    <col min="13333" max="13333" width="9.44140625" style="206" bestFit="1" customWidth="1"/>
    <col min="13334" max="13334" width="3.88671875" style="206" bestFit="1" customWidth="1"/>
    <col min="13335" max="13335" width="6.6640625" style="206" bestFit="1" customWidth="1"/>
    <col min="13336" max="13336" width="4.33203125" style="206" bestFit="1" customWidth="1"/>
    <col min="13337" max="13337" width="9.109375" style="206"/>
    <col min="13338" max="13338" width="31.6640625" style="206" customWidth="1"/>
    <col min="13339" max="13339" width="26.6640625" style="206" customWidth="1"/>
    <col min="13340" max="13340" width="31.6640625" style="206" customWidth="1"/>
    <col min="13341" max="13341" width="23.109375" style="206" customWidth="1"/>
    <col min="13342" max="13568" width="9.109375" style="206"/>
    <col min="13569" max="13569" width="28.88671875" style="206" bestFit="1" customWidth="1"/>
    <col min="13570" max="13571" width="29.44140625" style="206" customWidth="1"/>
    <col min="13572" max="13572" width="41.88671875" style="206" bestFit="1" customWidth="1"/>
    <col min="13573" max="13582" width="41.88671875" style="206" customWidth="1"/>
    <col min="13583" max="13583" width="43.44140625" style="206" bestFit="1" customWidth="1"/>
    <col min="13584" max="13584" width="1.33203125" style="206" customWidth="1"/>
    <col min="13585" max="13585" width="5" style="206" bestFit="1" customWidth="1"/>
    <col min="13586" max="13586" width="2.6640625" style="206" bestFit="1" customWidth="1"/>
    <col min="13587" max="13587" width="4.109375" style="206" bestFit="1" customWidth="1"/>
    <col min="13588" max="13588" width="9.6640625" style="206" bestFit="1" customWidth="1"/>
    <col min="13589" max="13589" width="9.44140625" style="206" bestFit="1" customWidth="1"/>
    <col min="13590" max="13590" width="3.88671875" style="206" bestFit="1" customWidth="1"/>
    <col min="13591" max="13591" width="6.6640625" style="206" bestFit="1" customWidth="1"/>
    <col min="13592" max="13592" width="4.33203125" style="206" bestFit="1" customWidth="1"/>
    <col min="13593" max="13593" width="9.109375" style="206"/>
    <col min="13594" max="13594" width="31.6640625" style="206" customWidth="1"/>
    <col min="13595" max="13595" width="26.6640625" style="206" customWidth="1"/>
    <col min="13596" max="13596" width="31.6640625" style="206" customWidth="1"/>
    <col min="13597" max="13597" width="23.109375" style="206" customWidth="1"/>
    <col min="13598" max="13824" width="9.109375" style="206"/>
    <col min="13825" max="13825" width="28.88671875" style="206" bestFit="1" customWidth="1"/>
    <col min="13826" max="13827" width="29.44140625" style="206" customWidth="1"/>
    <col min="13828" max="13828" width="41.88671875" style="206" bestFit="1" customWidth="1"/>
    <col min="13829" max="13838" width="41.88671875" style="206" customWidth="1"/>
    <col min="13839" max="13839" width="43.44140625" style="206" bestFit="1" customWidth="1"/>
    <col min="13840" max="13840" width="1.33203125" style="206" customWidth="1"/>
    <col min="13841" max="13841" width="5" style="206" bestFit="1" customWidth="1"/>
    <col min="13842" max="13842" width="2.6640625" style="206" bestFit="1" customWidth="1"/>
    <col min="13843" max="13843" width="4.109375" style="206" bestFit="1" customWidth="1"/>
    <col min="13844" max="13844" width="9.6640625" style="206" bestFit="1" customWidth="1"/>
    <col min="13845" max="13845" width="9.44140625" style="206" bestFit="1" customWidth="1"/>
    <col min="13846" max="13846" width="3.88671875" style="206" bestFit="1" customWidth="1"/>
    <col min="13847" max="13847" width="6.6640625" style="206" bestFit="1" customWidth="1"/>
    <col min="13848" max="13848" width="4.33203125" style="206" bestFit="1" customWidth="1"/>
    <col min="13849" max="13849" width="9.109375" style="206"/>
    <col min="13850" max="13850" width="31.6640625" style="206" customWidth="1"/>
    <col min="13851" max="13851" width="26.6640625" style="206" customWidth="1"/>
    <col min="13852" max="13852" width="31.6640625" style="206" customWidth="1"/>
    <col min="13853" max="13853" width="23.109375" style="206" customWidth="1"/>
    <col min="13854" max="14080" width="9.109375" style="206"/>
    <col min="14081" max="14081" width="28.88671875" style="206" bestFit="1" customWidth="1"/>
    <col min="14082" max="14083" width="29.44140625" style="206" customWidth="1"/>
    <col min="14084" max="14084" width="41.88671875" style="206" bestFit="1" customWidth="1"/>
    <col min="14085" max="14094" width="41.88671875" style="206" customWidth="1"/>
    <col min="14095" max="14095" width="43.44140625" style="206" bestFit="1" customWidth="1"/>
    <col min="14096" max="14096" width="1.33203125" style="206" customWidth="1"/>
    <col min="14097" max="14097" width="5" style="206" bestFit="1" customWidth="1"/>
    <col min="14098" max="14098" width="2.6640625" style="206" bestFit="1" customWidth="1"/>
    <col min="14099" max="14099" width="4.109375" style="206" bestFit="1" customWidth="1"/>
    <col min="14100" max="14100" width="9.6640625" style="206" bestFit="1" customWidth="1"/>
    <col min="14101" max="14101" width="9.44140625" style="206" bestFit="1" customWidth="1"/>
    <col min="14102" max="14102" width="3.88671875" style="206" bestFit="1" customWidth="1"/>
    <col min="14103" max="14103" width="6.6640625" style="206" bestFit="1" customWidth="1"/>
    <col min="14104" max="14104" width="4.33203125" style="206" bestFit="1" customWidth="1"/>
    <col min="14105" max="14105" width="9.109375" style="206"/>
    <col min="14106" max="14106" width="31.6640625" style="206" customWidth="1"/>
    <col min="14107" max="14107" width="26.6640625" style="206" customWidth="1"/>
    <col min="14108" max="14108" width="31.6640625" style="206" customWidth="1"/>
    <col min="14109" max="14109" width="23.109375" style="206" customWidth="1"/>
    <col min="14110" max="14336" width="9.109375" style="206"/>
    <col min="14337" max="14337" width="28.88671875" style="206" bestFit="1" customWidth="1"/>
    <col min="14338" max="14339" width="29.44140625" style="206" customWidth="1"/>
    <col min="14340" max="14340" width="41.88671875" style="206" bestFit="1" customWidth="1"/>
    <col min="14341" max="14350" width="41.88671875" style="206" customWidth="1"/>
    <col min="14351" max="14351" width="43.44140625" style="206" bestFit="1" customWidth="1"/>
    <col min="14352" max="14352" width="1.33203125" style="206" customWidth="1"/>
    <col min="14353" max="14353" width="5" style="206" bestFit="1" customWidth="1"/>
    <col min="14354" max="14354" width="2.6640625" style="206" bestFit="1" customWidth="1"/>
    <col min="14355" max="14355" width="4.109375" style="206" bestFit="1" customWidth="1"/>
    <col min="14356" max="14356" width="9.6640625" style="206" bestFit="1" customWidth="1"/>
    <col min="14357" max="14357" width="9.44140625" style="206" bestFit="1" customWidth="1"/>
    <col min="14358" max="14358" width="3.88671875" style="206" bestFit="1" customWidth="1"/>
    <col min="14359" max="14359" width="6.6640625" style="206" bestFit="1" customWidth="1"/>
    <col min="14360" max="14360" width="4.33203125" style="206" bestFit="1" customWidth="1"/>
    <col min="14361" max="14361" width="9.109375" style="206"/>
    <col min="14362" max="14362" width="31.6640625" style="206" customWidth="1"/>
    <col min="14363" max="14363" width="26.6640625" style="206" customWidth="1"/>
    <col min="14364" max="14364" width="31.6640625" style="206" customWidth="1"/>
    <col min="14365" max="14365" width="23.109375" style="206" customWidth="1"/>
    <col min="14366" max="14592" width="9.109375" style="206"/>
    <col min="14593" max="14593" width="28.88671875" style="206" bestFit="1" customWidth="1"/>
    <col min="14594" max="14595" width="29.44140625" style="206" customWidth="1"/>
    <col min="14596" max="14596" width="41.88671875" style="206" bestFit="1" customWidth="1"/>
    <col min="14597" max="14606" width="41.88671875" style="206" customWidth="1"/>
    <col min="14607" max="14607" width="43.44140625" style="206" bestFit="1" customWidth="1"/>
    <col min="14608" max="14608" width="1.33203125" style="206" customWidth="1"/>
    <col min="14609" max="14609" width="5" style="206" bestFit="1" customWidth="1"/>
    <col min="14610" max="14610" width="2.6640625" style="206" bestFit="1" customWidth="1"/>
    <col min="14611" max="14611" width="4.109375" style="206" bestFit="1" customWidth="1"/>
    <col min="14612" max="14612" width="9.6640625" style="206" bestFit="1" customWidth="1"/>
    <col min="14613" max="14613" width="9.44140625" style="206" bestFit="1" customWidth="1"/>
    <col min="14614" max="14614" width="3.88671875" style="206" bestFit="1" customWidth="1"/>
    <col min="14615" max="14615" width="6.6640625" style="206" bestFit="1" customWidth="1"/>
    <col min="14616" max="14616" width="4.33203125" style="206" bestFit="1" customWidth="1"/>
    <col min="14617" max="14617" width="9.109375" style="206"/>
    <col min="14618" max="14618" width="31.6640625" style="206" customWidth="1"/>
    <col min="14619" max="14619" width="26.6640625" style="206" customWidth="1"/>
    <col min="14620" max="14620" width="31.6640625" style="206" customWidth="1"/>
    <col min="14621" max="14621" width="23.109375" style="206" customWidth="1"/>
    <col min="14622" max="14848" width="9.109375" style="206"/>
    <col min="14849" max="14849" width="28.88671875" style="206" bestFit="1" customWidth="1"/>
    <col min="14850" max="14851" width="29.44140625" style="206" customWidth="1"/>
    <col min="14852" max="14852" width="41.88671875" style="206" bestFit="1" customWidth="1"/>
    <col min="14853" max="14862" width="41.88671875" style="206" customWidth="1"/>
    <col min="14863" max="14863" width="43.44140625" style="206" bestFit="1" customWidth="1"/>
    <col min="14864" max="14864" width="1.33203125" style="206" customWidth="1"/>
    <col min="14865" max="14865" width="5" style="206" bestFit="1" customWidth="1"/>
    <col min="14866" max="14866" width="2.6640625" style="206" bestFit="1" customWidth="1"/>
    <col min="14867" max="14867" width="4.109375" style="206" bestFit="1" customWidth="1"/>
    <col min="14868" max="14868" width="9.6640625" style="206" bestFit="1" customWidth="1"/>
    <col min="14869" max="14869" width="9.44140625" style="206" bestFit="1" customWidth="1"/>
    <col min="14870" max="14870" width="3.88671875" style="206" bestFit="1" customWidth="1"/>
    <col min="14871" max="14871" width="6.6640625" style="206" bestFit="1" customWidth="1"/>
    <col min="14872" max="14872" width="4.33203125" style="206" bestFit="1" customWidth="1"/>
    <col min="14873" max="14873" width="9.109375" style="206"/>
    <col min="14874" max="14874" width="31.6640625" style="206" customWidth="1"/>
    <col min="14875" max="14875" width="26.6640625" style="206" customWidth="1"/>
    <col min="14876" max="14876" width="31.6640625" style="206" customWidth="1"/>
    <col min="14877" max="14877" width="23.109375" style="206" customWidth="1"/>
    <col min="14878" max="15104" width="9.109375" style="206"/>
    <col min="15105" max="15105" width="28.88671875" style="206" bestFit="1" customWidth="1"/>
    <col min="15106" max="15107" width="29.44140625" style="206" customWidth="1"/>
    <col min="15108" max="15108" width="41.88671875" style="206" bestFit="1" customWidth="1"/>
    <col min="15109" max="15118" width="41.88671875" style="206" customWidth="1"/>
    <col min="15119" max="15119" width="43.44140625" style="206" bestFit="1" customWidth="1"/>
    <col min="15120" max="15120" width="1.33203125" style="206" customWidth="1"/>
    <col min="15121" max="15121" width="5" style="206" bestFit="1" customWidth="1"/>
    <col min="15122" max="15122" width="2.6640625" style="206" bestFit="1" customWidth="1"/>
    <col min="15123" max="15123" width="4.109375" style="206" bestFit="1" customWidth="1"/>
    <col min="15124" max="15124" width="9.6640625" style="206" bestFit="1" customWidth="1"/>
    <col min="15125" max="15125" width="9.44140625" style="206" bestFit="1" customWidth="1"/>
    <col min="15126" max="15126" width="3.88671875" style="206" bestFit="1" customWidth="1"/>
    <col min="15127" max="15127" width="6.6640625" style="206" bestFit="1" customWidth="1"/>
    <col min="15128" max="15128" width="4.33203125" style="206" bestFit="1" customWidth="1"/>
    <col min="15129" max="15129" width="9.109375" style="206"/>
    <col min="15130" max="15130" width="31.6640625" style="206" customWidth="1"/>
    <col min="15131" max="15131" width="26.6640625" style="206" customWidth="1"/>
    <col min="15132" max="15132" width="31.6640625" style="206" customWidth="1"/>
    <col min="15133" max="15133" width="23.109375" style="206" customWidth="1"/>
    <col min="15134" max="15360" width="9.109375" style="206"/>
    <col min="15361" max="15361" width="28.88671875" style="206" bestFit="1" customWidth="1"/>
    <col min="15362" max="15363" width="29.44140625" style="206" customWidth="1"/>
    <col min="15364" max="15364" width="41.88671875" style="206" bestFit="1" customWidth="1"/>
    <col min="15365" max="15374" width="41.88671875" style="206" customWidth="1"/>
    <col min="15375" max="15375" width="43.44140625" style="206" bestFit="1" customWidth="1"/>
    <col min="15376" max="15376" width="1.33203125" style="206" customWidth="1"/>
    <col min="15377" max="15377" width="5" style="206" bestFit="1" customWidth="1"/>
    <col min="15378" max="15378" width="2.6640625" style="206" bestFit="1" customWidth="1"/>
    <col min="15379" max="15379" width="4.109375" style="206" bestFit="1" customWidth="1"/>
    <col min="15380" max="15380" width="9.6640625" style="206" bestFit="1" customWidth="1"/>
    <col min="15381" max="15381" width="9.44140625" style="206" bestFit="1" customWidth="1"/>
    <col min="15382" max="15382" width="3.88671875" style="206" bestFit="1" customWidth="1"/>
    <col min="15383" max="15383" width="6.6640625" style="206" bestFit="1" customWidth="1"/>
    <col min="15384" max="15384" width="4.33203125" style="206" bestFit="1" customWidth="1"/>
    <col min="15385" max="15385" width="9.109375" style="206"/>
    <col min="15386" max="15386" width="31.6640625" style="206" customWidth="1"/>
    <col min="15387" max="15387" width="26.6640625" style="206" customWidth="1"/>
    <col min="15388" max="15388" width="31.6640625" style="206" customWidth="1"/>
    <col min="15389" max="15389" width="23.109375" style="206" customWidth="1"/>
    <col min="15390" max="15616" width="9.109375" style="206"/>
    <col min="15617" max="15617" width="28.88671875" style="206" bestFit="1" customWidth="1"/>
    <col min="15618" max="15619" width="29.44140625" style="206" customWidth="1"/>
    <col min="15620" max="15620" width="41.88671875" style="206" bestFit="1" customWidth="1"/>
    <col min="15621" max="15630" width="41.88671875" style="206" customWidth="1"/>
    <col min="15631" max="15631" width="43.44140625" style="206" bestFit="1" customWidth="1"/>
    <col min="15632" max="15632" width="1.33203125" style="206" customWidth="1"/>
    <col min="15633" max="15633" width="5" style="206" bestFit="1" customWidth="1"/>
    <col min="15634" max="15634" width="2.6640625" style="206" bestFit="1" customWidth="1"/>
    <col min="15635" max="15635" width="4.109375" style="206" bestFit="1" customWidth="1"/>
    <col min="15636" max="15636" width="9.6640625" style="206" bestFit="1" customWidth="1"/>
    <col min="15637" max="15637" width="9.44140625" style="206" bestFit="1" customWidth="1"/>
    <col min="15638" max="15638" width="3.88671875" style="206" bestFit="1" customWidth="1"/>
    <col min="15639" max="15639" width="6.6640625" style="206" bestFit="1" customWidth="1"/>
    <col min="15640" max="15640" width="4.33203125" style="206" bestFit="1" customWidth="1"/>
    <col min="15641" max="15641" width="9.109375" style="206"/>
    <col min="15642" max="15642" width="31.6640625" style="206" customWidth="1"/>
    <col min="15643" max="15643" width="26.6640625" style="206" customWidth="1"/>
    <col min="15644" max="15644" width="31.6640625" style="206" customWidth="1"/>
    <col min="15645" max="15645" width="23.109375" style="206" customWidth="1"/>
    <col min="15646" max="15872" width="9.109375" style="206"/>
    <col min="15873" max="15873" width="28.88671875" style="206" bestFit="1" customWidth="1"/>
    <col min="15874" max="15875" width="29.44140625" style="206" customWidth="1"/>
    <col min="15876" max="15876" width="41.88671875" style="206" bestFit="1" customWidth="1"/>
    <col min="15877" max="15886" width="41.88671875" style="206" customWidth="1"/>
    <col min="15887" max="15887" width="43.44140625" style="206" bestFit="1" customWidth="1"/>
    <col min="15888" max="15888" width="1.33203125" style="206" customWidth="1"/>
    <col min="15889" max="15889" width="5" style="206" bestFit="1" customWidth="1"/>
    <col min="15890" max="15890" width="2.6640625" style="206" bestFit="1" customWidth="1"/>
    <col min="15891" max="15891" width="4.109375" style="206" bestFit="1" customWidth="1"/>
    <col min="15892" max="15892" width="9.6640625" style="206" bestFit="1" customWidth="1"/>
    <col min="15893" max="15893" width="9.44140625" style="206" bestFit="1" customWidth="1"/>
    <col min="15894" max="15894" width="3.88671875" style="206" bestFit="1" customWidth="1"/>
    <col min="15895" max="15895" width="6.6640625" style="206" bestFit="1" customWidth="1"/>
    <col min="15896" max="15896" width="4.33203125" style="206" bestFit="1" customWidth="1"/>
    <col min="15897" max="15897" width="9.109375" style="206"/>
    <col min="15898" max="15898" width="31.6640625" style="206" customWidth="1"/>
    <col min="15899" max="15899" width="26.6640625" style="206" customWidth="1"/>
    <col min="15900" max="15900" width="31.6640625" style="206" customWidth="1"/>
    <col min="15901" max="15901" width="23.109375" style="206" customWidth="1"/>
    <col min="15902" max="16128" width="9.109375" style="206"/>
    <col min="16129" max="16129" width="28.88671875" style="206" bestFit="1" customWidth="1"/>
    <col min="16130" max="16131" width="29.44140625" style="206" customWidth="1"/>
    <col min="16132" max="16132" width="41.88671875" style="206" bestFit="1" customWidth="1"/>
    <col min="16133" max="16142" width="41.88671875" style="206" customWidth="1"/>
    <col min="16143" max="16143" width="43.44140625" style="206" bestFit="1" customWidth="1"/>
    <col min="16144" max="16144" width="1.33203125" style="206" customWidth="1"/>
    <col min="16145" max="16145" width="5" style="206" bestFit="1" customWidth="1"/>
    <col min="16146" max="16146" width="2.6640625" style="206" bestFit="1" customWidth="1"/>
    <col min="16147" max="16147" width="4.109375" style="206" bestFit="1" customWidth="1"/>
    <col min="16148" max="16148" width="9.6640625" style="206" bestFit="1" customWidth="1"/>
    <col min="16149" max="16149" width="9.44140625" style="206" bestFit="1" customWidth="1"/>
    <col min="16150" max="16150" width="3.88671875" style="206" bestFit="1" customWidth="1"/>
    <col min="16151" max="16151" width="6.6640625" style="206" bestFit="1" customWidth="1"/>
    <col min="16152" max="16152" width="4.33203125" style="206" bestFit="1" customWidth="1"/>
    <col min="16153" max="16153" width="9.109375" style="206"/>
    <col min="16154" max="16154" width="31.6640625" style="206" customWidth="1"/>
    <col min="16155" max="16155" width="26.6640625" style="206" customWidth="1"/>
    <col min="16156" max="16156" width="31.6640625" style="206" customWidth="1"/>
    <col min="16157" max="16157" width="23.109375" style="206" customWidth="1"/>
    <col min="16158" max="16384" width="9.109375" style="206"/>
  </cols>
  <sheetData>
    <row r="1" spans="1:30" s="198" customFormat="1" x14ac:dyDescent="0.2">
      <c r="A1" s="191" t="s">
        <v>188</v>
      </c>
      <c r="B1" s="192">
        <v>2007</v>
      </c>
      <c r="C1" s="192">
        <v>2008</v>
      </c>
      <c r="D1" s="192">
        <v>2009</v>
      </c>
      <c r="E1" s="193">
        <v>2010</v>
      </c>
      <c r="F1" s="193">
        <v>2011</v>
      </c>
      <c r="G1" s="192">
        <v>2012</v>
      </c>
      <c r="H1" s="193">
        <v>2013</v>
      </c>
      <c r="I1" s="193">
        <v>2014</v>
      </c>
      <c r="J1" s="193">
        <v>2015</v>
      </c>
      <c r="K1" s="193">
        <v>2016</v>
      </c>
      <c r="L1" s="193">
        <v>2017</v>
      </c>
      <c r="M1" s="193">
        <v>2018</v>
      </c>
      <c r="N1" s="193">
        <v>2019</v>
      </c>
      <c r="O1" s="193">
        <v>2020</v>
      </c>
      <c r="P1" s="194"/>
      <c r="Q1" s="195" t="s">
        <v>1042</v>
      </c>
      <c r="R1" s="196"/>
      <c r="S1" s="196"/>
      <c r="T1" s="196"/>
      <c r="U1" s="196"/>
      <c r="V1" s="196"/>
      <c r="W1" s="196"/>
      <c r="X1" s="196"/>
      <c r="Y1" s="197" t="s">
        <v>432</v>
      </c>
      <c r="Z1" s="197" t="s">
        <v>433</v>
      </c>
      <c r="AA1" s="197" t="s">
        <v>434</v>
      </c>
      <c r="AB1" s="197" t="s">
        <v>435</v>
      </c>
      <c r="AC1" s="197" t="s">
        <v>436</v>
      </c>
    </row>
    <row r="2" spans="1:30" x14ac:dyDescent="0.2">
      <c r="A2" s="199" t="e">
        <f>#REF!</f>
        <v>#REF!</v>
      </c>
      <c r="B2" s="200" t="s">
        <v>437</v>
      </c>
      <c r="C2" s="200" t="s">
        <v>89</v>
      </c>
      <c r="D2" s="200" t="s">
        <v>438</v>
      </c>
      <c r="E2" s="201" t="str">
        <f t="shared" ref="E2:O2" si="0">E1-2&amp;"/"&amp;RIGHT(E1,2)-1</f>
        <v>2008/9</v>
      </c>
      <c r="F2" s="201" t="str">
        <f t="shared" si="0"/>
        <v>2009/10</v>
      </c>
      <c r="G2" s="201" t="str">
        <f t="shared" si="0"/>
        <v>2010/11</v>
      </c>
      <c r="H2" s="201" t="str">
        <f t="shared" si="0"/>
        <v>2011/12</v>
      </c>
      <c r="I2" s="201" t="str">
        <f t="shared" si="0"/>
        <v>2012/13</v>
      </c>
      <c r="J2" s="201" t="str">
        <f t="shared" si="0"/>
        <v>2013/14</v>
      </c>
      <c r="K2" s="201" t="str">
        <f t="shared" si="0"/>
        <v>2014/15</v>
      </c>
      <c r="L2" s="201" t="str">
        <f t="shared" si="0"/>
        <v>2015/16</v>
      </c>
      <c r="M2" s="201" t="str">
        <f t="shared" si="0"/>
        <v>2016/17</v>
      </c>
      <c r="N2" s="201" t="str">
        <f t="shared" si="0"/>
        <v>2017/18</v>
      </c>
      <c r="O2" s="201" t="str">
        <f t="shared" si="0"/>
        <v>2018/19</v>
      </c>
      <c r="P2" s="200"/>
      <c r="Q2" s="202" t="s">
        <v>535</v>
      </c>
      <c r="R2" s="203" t="s">
        <v>1043</v>
      </c>
      <c r="S2" s="203" t="s">
        <v>1044</v>
      </c>
      <c r="T2" s="204" t="s">
        <v>1045</v>
      </c>
      <c r="U2" s="201" t="s">
        <v>1046</v>
      </c>
      <c r="V2" s="204" t="s">
        <v>535</v>
      </c>
      <c r="W2" s="205" t="s">
        <v>1047</v>
      </c>
      <c r="X2" s="205" t="s">
        <v>1048</v>
      </c>
      <c r="Z2" s="206" t="s">
        <v>1049</v>
      </c>
      <c r="AA2" s="206" t="s">
        <v>1050</v>
      </c>
      <c r="AB2" s="206" t="s">
        <v>1051</v>
      </c>
      <c r="AC2" s="206" t="s">
        <v>1052</v>
      </c>
    </row>
    <row r="3" spans="1:30" x14ac:dyDescent="0.2">
      <c r="A3" s="199" t="e">
        <f>#REF!</f>
        <v>#REF!</v>
      </c>
      <c r="B3" s="200" t="s">
        <v>67</v>
      </c>
      <c r="C3" s="200" t="s">
        <v>437</v>
      </c>
      <c r="D3" s="200" t="s">
        <v>89</v>
      </c>
      <c r="E3" s="201" t="str">
        <f t="shared" ref="E3:O3" si="1">E1-3&amp;"/"&amp;RIGHT(E1,2)-2</f>
        <v>2007/8</v>
      </c>
      <c r="F3" s="201" t="str">
        <f t="shared" si="1"/>
        <v>2008/9</v>
      </c>
      <c r="G3" s="201" t="str">
        <f t="shared" si="1"/>
        <v>2009/10</v>
      </c>
      <c r="H3" s="201" t="str">
        <f t="shared" si="1"/>
        <v>2010/11</v>
      </c>
      <c r="I3" s="201" t="str">
        <f t="shared" si="1"/>
        <v>2011/12</v>
      </c>
      <c r="J3" s="201" t="str">
        <f t="shared" si="1"/>
        <v>2012/13</v>
      </c>
      <c r="K3" s="201" t="str">
        <f t="shared" si="1"/>
        <v>2013/14</v>
      </c>
      <c r="L3" s="201" t="str">
        <f t="shared" si="1"/>
        <v>2014/15</v>
      </c>
      <c r="M3" s="201" t="str">
        <f t="shared" si="1"/>
        <v>2015/16</v>
      </c>
      <c r="N3" s="201" t="str">
        <f t="shared" si="1"/>
        <v>2016/17</v>
      </c>
      <c r="O3" s="201" t="str">
        <f t="shared" si="1"/>
        <v>2017/18</v>
      </c>
      <c r="P3" s="200"/>
      <c r="Q3" s="202" t="s">
        <v>536</v>
      </c>
      <c r="R3" s="204">
        <v>1</v>
      </c>
      <c r="S3" s="204">
        <v>4</v>
      </c>
      <c r="T3" s="204" t="s">
        <v>1053</v>
      </c>
      <c r="U3" s="201" t="s">
        <v>1054</v>
      </c>
      <c r="V3" s="207" t="s">
        <v>536</v>
      </c>
      <c r="W3" s="207" t="s">
        <v>1055</v>
      </c>
      <c r="X3" s="207" t="s">
        <v>1056</v>
      </c>
      <c r="Z3" s="206" t="s">
        <v>1057</v>
      </c>
      <c r="AA3" s="206" t="s">
        <v>1058</v>
      </c>
      <c r="AB3" s="206" t="s">
        <v>1059</v>
      </c>
      <c r="AC3" s="206" t="s">
        <v>1060</v>
      </c>
    </row>
    <row r="4" spans="1:30" x14ac:dyDescent="0.2">
      <c r="A4" s="199" t="e">
        <f>#REF!</f>
        <v>#REF!</v>
      </c>
      <c r="B4" s="200" t="s">
        <v>68</v>
      </c>
      <c r="C4" s="200" t="s">
        <v>67</v>
      </c>
      <c r="D4" s="200" t="s">
        <v>437</v>
      </c>
      <c r="E4" s="201" t="str">
        <f t="shared" ref="E4:O4" si="2">E1-4&amp;"/"&amp;RIGHT(E1,2)-3</f>
        <v>2006/7</v>
      </c>
      <c r="F4" s="201" t="str">
        <f t="shared" si="2"/>
        <v>2007/8</v>
      </c>
      <c r="G4" s="201" t="str">
        <f t="shared" si="2"/>
        <v>2008/9</v>
      </c>
      <c r="H4" s="201" t="str">
        <f t="shared" si="2"/>
        <v>2009/10</v>
      </c>
      <c r="I4" s="201" t="str">
        <f t="shared" si="2"/>
        <v>2010/11</v>
      </c>
      <c r="J4" s="201" t="str">
        <f t="shared" si="2"/>
        <v>2011/12</v>
      </c>
      <c r="K4" s="201" t="str">
        <f t="shared" si="2"/>
        <v>2012/13</v>
      </c>
      <c r="L4" s="201" t="str">
        <f t="shared" si="2"/>
        <v>2013/14</v>
      </c>
      <c r="M4" s="201" t="str">
        <f t="shared" si="2"/>
        <v>2014/15</v>
      </c>
      <c r="N4" s="201" t="str">
        <f t="shared" si="2"/>
        <v>2015/16</v>
      </c>
      <c r="O4" s="201" t="str">
        <f t="shared" si="2"/>
        <v>2016/17</v>
      </c>
      <c r="P4" s="200"/>
      <c r="Q4" s="208"/>
      <c r="R4" s="204">
        <v>2</v>
      </c>
      <c r="S4" s="204">
        <v>5</v>
      </c>
      <c r="T4" s="207" t="s">
        <v>228</v>
      </c>
      <c r="U4" s="209" t="s">
        <v>228</v>
      </c>
      <c r="V4" s="210"/>
      <c r="Z4" s="206" t="s">
        <v>1061</v>
      </c>
      <c r="AA4" s="206" t="s">
        <v>943</v>
      </c>
      <c r="AB4" s="206" t="s">
        <v>1062</v>
      </c>
      <c r="AC4" s="206" t="s">
        <v>1063</v>
      </c>
    </row>
    <row r="5" spans="1:30" x14ac:dyDescent="0.2">
      <c r="A5" s="199" t="e">
        <f>#REF!</f>
        <v>#REF!</v>
      </c>
      <c r="B5" s="200" t="s">
        <v>449</v>
      </c>
      <c r="C5" s="200" t="s">
        <v>450</v>
      </c>
      <c r="D5" s="200" t="s">
        <v>451</v>
      </c>
      <c r="E5" s="201" t="str">
        <f t="shared" ref="E5:O5" si="3">"Current Year "&amp; E1-1&amp;"/"&amp;RIGHT(E1,2)</f>
        <v>Current Year 2009/10</v>
      </c>
      <c r="F5" s="201" t="str">
        <f t="shared" si="3"/>
        <v>Current Year 2010/11</v>
      </c>
      <c r="G5" s="201" t="str">
        <f t="shared" si="3"/>
        <v>Current Year 2011/12</v>
      </c>
      <c r="H5" s="201" t="str">
        <f t="shared" si="3"/>
        <v>Current Year 2012/13</v>
      </c>
      <c r="I5" s="201" t="str">
        <f t="shared" si="3"/>
        <v>Current Year 2013/14</v>
      </c>
      <c r="J5" s="201" t="str">
        <f t="shared" si="3"/>
        <v>Current Year 2014/15</v>
      </c>
      <c r="K5" s="201" t="str">
        <f t="shared" si="3"/>
        <v>Current Year 2015/16</v>
      </c>
      <c r="L5" s="201" t="str">
        <f t="shared" si="3"/>
        <v>Current Year 2016/17</v>
      </c>
      <c r="M5" s="201" t="str">
        <f t="shared" si="3"/>
        <v>Current Year 2017/18</v>
      </c>
      <c r="N5" s="201" t="str">
        <f t="shared" si="3"/>
        <v>Current Year 2018/19</v>
      </c>
      <c r="O5" s="201" t="str">
        <f t="shared" si="3"/>
        <v>Current Year 2019/20</v>
      </c>
      <c r="P5" s="200"/>
      <c r="R5" s="204">
        <v>3</v>
      </c>
      <c r="S5" s="204">
        <v>6</v>
      </c>
      <c r="Z5" s="206" t="s">
        <v>1064</v>
      </c>
      <c r="AA5" s="206" t="s">
        <v>1065</v>
      </c>
      <c r="AB5" s="206" t="s">
        <v>1066</v>
      </c>
      <c r="AC5" s="206" t="s">
        <v>1067</v>
      </c>
    </row>
    <row r="6" spans="1:30" x14ac:dyDescent="0.2">
      <c r="A6" s="199" t="e">
        <f>#REF!</f>
        <v>#REF!</v>
      </c>
      <c r="B6" s="200" t="s">
        <v>89</v>
      </c>
      <c r="C6" s="200" t="s">
        <v>438</v>
      </c>
      <c r="D6" s="200" t="s">
        <v>439</v>
      </c>
      <c r="E6" s="201" t="str">
        <f t="shared" ref="E6:O6" si="4">E1-1&amp;"/"&amp;RIGHT(E1,2)</f>
        <v>2009/10</v>
      </c>
      <c r="F6" s="201" t="str">
        <f t="shared" si="4"/>
        <v>2010/11</v>
      </c>
      <c r="G6" s="201" t="str">
        <f t="shared" si="4"/>
        <v>2011/12</v>
      </c>
      <c r="H6" s="201" t="str">
        <f t="shared" si="4"/>
        <v>2012/13</v>
      </c>
      <c r="I6" s="201" t="str">
        <f t="shared" si="4"/>
        <v>2013/14</v>
      </c>
      <c r="J6" s="201" t="str">
        <f t="shared" si="4"/>
        <v>2014/15</v>
      </c>
      <c r="K6" s="201" t="str">
        <f t="shared" si="4"/>
        <v>2015/16</v>
      </c>
      <c r="L6" s="201" t="str">
        <f t="shared" si="4"/>
        <v>2016/17</v>
      </c>
      <c r="M6" s="201" t="str">
        <f t="shared" si="4"/>
        <v>2017/18</v>
      </c>
      <c r="N6" s="201" t="str">
        <f t="shared" si="4"/>
        <v>2018/19</v>
      </c>
      <c r="O6" s="201" t="str">
        <f t="shared" si="4"/>
        <v>2019/20</v>
      </c>
      <c r="P6" s="200"/>
      <c r="R6" s="204">
        <v>4</v>
      </c>
      <c r="S6" s="211" t="s">
        <v>1068</v>
      </c>
      <c r="Z6" s="206" t="s">
        <v>1069</v>
      </c>
      <c r="AB6" s="206" t="s">
        <v>1070</v>
      </c>
      <c r="AC6" s="206" t="s">
        <v>1071</v>
      </c>
    </row>
    <row r="7" spans="1:30" x14ac:dyDescent="0.2">
      <c r="A7" s="199" t="e">
        <f>#REF!</f>
        <v>#REF!</v>
      </c>
      <c r="B7" s="200" t="s">
        <v>457</v>
      </c>
      <c r="C7" s="200" t="s">
        <v>458</v>
      </c>
      <c r="D7" s="200" t="s">
        <v>459</v>
      </c>
      <c r="E7" s="201" t="str">
        <f t="shared" ref="E7:O7" si="5">E1&amp;"/"&amp;RIGHT(E1,2)+1&amp;" Medium Term Revenue &amp; Expenditure Framework"</f>
        <v>2010/11 Medium Term Revenue &amp; Expenditure Framework</v>
      </c>
      <c r="F7" s="201" t="str">
        <f t="shared" si="5"/>
        <v>2011/12 Medium Term Revenue &amp; Expenditure Framework</v>
      </c>
      <c r="G7" s="201" t="str">
        <f t="shared" si="5"/>
        <v>2012/13 Medium Term Revenue &amp; Expenditure Framework</v>
      </c>
      <c r="H7" s="201" t="str">
        <f t="shared" si="5"/>
        <v>2013/14 Medium Term Revenue &amp; Expenditure Framework</v>
      </c>
      <c r="I7" s="201" t="str">
        <f t="shared" si="5"/>
        <v>2014/15 Medium Term Revenue &amp; Expenditure Framework</v>
      </c>
      <c r="J7" s="201" t="str">
        <f t="shared" si="5"/>
        <v>2015/16 Medium Term Revenue &amp; Expenditure Framework</v>
      </c>
      <c r="K7" s="201" t="str">
        <f t="shared" si="5"/>
        <v>2016/17 Medium Term Revenue &amp; Expenditure Framework</v>
      </c>
      <c r="L7" s="201" t="str">
        <f t="shared" si="5"/>
        <v>2017/18 Medium Term Revenue &amp; Expenditure Framework</v>
      </c>
      <c r="M7" s="201" t="str">
        <f t="shared" si="5"/>
        <v>2018/19 Medium Term Revenue &amp; Expenditure Framework</v>
      </c>
      <c r="N7" s="201" t="str">
        <f t="shared" si="5"/>
        <v>2019/20 Medium Term Revenue &amp; Expenditure Framework</v>
      </c>
      <c r="O7" s="201" t="str">
        <f t="shared" si="5"/>
        <v>2020/21 Medium Term Revenue &amp; Expenditure Framework</v>
      </c>
      <c r="P7" s="200"/>
      <c r="R7" s="204">
        <v>5</v>
      </c>
      <c r="S7" s="207" t="s">
        <v>1072</v>
      </c>
      <c r="Z7" s="206" t="s">
        <v>1073</v>
      </c>
      <c r="AB7" s="206" t="s">
        <v>1074</v>
      </c>
      <c r="AC7" s="206" t="s">
        <v>1075</v>
      </c>
    </row>
    <row r="8" spans="1:30" x14ac:dyDescent="0.2">
      <c r="A8" s="199" t="e">
        <f>#REF!</f>
        <v>#REF!</v>
      </c>
      <c r="B8" s="200" t="s">
        <v>461</v>
      </c>
      <c r="C8" s="200" t="s">
        <v>462</v>
      </c>
      <c r="D8" s="200" t="s">
        <v>463</v>
      </c>
      <c r="E8" s="201" t="str">
        <f t="shared" ref="E8:O8" si="6">"Budget Year "&amp;E1&amp;"/"&amp;RIGHT(E1,2)+1</f>
        <v>Budget Year 2010/11</v>
      </c>
      <c r="F8" s="201" t="str">
        <f t="shared" si="6"/>
        <v>Budget Year 2011/12</v>
      </c>
      <c r="G8" s="201" t="str">
        <f t="shared" si="6"/>
        <v>Budget Year 2012/13</v>
      </c>
      <c r="H8" s="201" t="str">
        <f t="shared" si="6"/>
        <v>Budget Year 2013/14</v>
      </c>
      <c r="I8" s="201" t="str">
        <f t="shared" si="6"/>
        <v>Budget Year 2014/15</v>
      </c>
      <c r="J8" s="201" t="str">
        <f t="shared" si="6"/>
        <v>Budget Year 2015/16</v>
      </c>
      <c r="K8" s="201" t="str">
        <f t="shared" si="6"/>
        <v>Budget Year 2016/17</v>
      </c>
      <c r="L8" s="201" t="str">
        <f t="shared" si="6"/>
        <v>Budget Year 2017/18</v>
      </c>
      <c r="M8" s="201" t="str">
        <f t="shared" si="6"/>
        <v>Budget Year 2018/19</v>
      </c>
      <c r="N8" s="201" t="str">
        <f t="shared" si="6"/>
        <v>Budget Year 2019/20</v>
      </c>
      <c r="O8" s="201" t="str">
        <f t="shared" si="6"/>
        <v>Budget Year 2020/21</v>
      </c>
      <c r="P8" s="200"/>
      <c r="R8" s="207" t="s">
        <v>1076</v>
      </c>
      <c r="Z8" s="206" t="s">
        <v>1077</v>
      </c>
      <c r="AB8" s="206" t="s">
        <v>1078</v>
      </c>
      <c r="AC8" s="206" t="s">
        <v>1065</v>
      </c>
    </row>
    <row r="9" spans="1:30" x14ac:dyDescent="0.2">
      <c r="A9" s="199" t="e">
        <f>#REF!</f>
        <v>#REF!</v>
      </c>
      <c r="B9" s="200" t="s">
        <v>464</v>
      </c>
      <c r="C9" s="200" t="s">
        <v>465</v>
      </c>
      <c r="D9" s="200" t="s">
        <v>466</v>
      </c>
      <c r="E9" s="201" t="str">
        <f t="shared" ref="E9:O9" si="7">"Budget Year +1 "&amp;E1+1&amp;"/"&amp;RIGHT(E1,2)+2</f>
        <v>Budget Year +1 2011/12</v>
      </c>
      <c r="F9" s="201" t="str">
        <f t="shared" si="7"/>
        <v>Budget Year +1 2012/13</v>
      </c>
      <c r="G9" s="201" t="str">
        <f t="shared" si="7"/>
        <v>Budget Year +1 2013/14</v>
      </c>
      <c r="H9" s="201" t="str">
        <f t="shared" si="7"/>
        <v>Budget Year +1 2014/15</v>
      </c>
      <c r="I9" s="201" t="str">
        <f t="shared" si="7"/>
        <v>Budget Year +1 2015/16</v>
      </c>
      <c r="J9" s="201" t="str">
        <f t="shared" si="7"/>
        <v>Budget Year +1 2016/17</v>
      </c>
      <c r="K9" s="201" t="str">
        <f t="shared" si="7"/>
        <v>Budget Year +1 2017/18</v>
      </c>
      <c r="L9" s="201" t="str">
        <f t="shared" si="7"/>
        <v>Budget Year +1 2018/19</v>
      </c>
      <c r="M9" s="201" t="str">
        <f t="shared" si="7"/>
        <v>Budget Year +1 2019/20</v>
      </c>
      <c r="N9" s="201" t="str">
        <f t="shared" si="7"/>
        <v>Budget Year +1 2020/21</v>
      </c>
      <c r="O9" s="201" t="str">
        <f t="shared" si="7"/>
        <v>Budget Year +1 2021/22</v>
      </c>
      <c r="P9" s="200"/>
      <c r="Z9" s="206" t="s">
        <v>1079</v>
      </c>
    </row>
    <row r="10" spans="1:30" x14ac:dyDescent="0.2">
      <c r="A10" s="199" t="e">
        <f>#REF!</f>
        <v>#REF!</v>
      </c>
      <c r="B10" s="200" t="s">
        <v>467</v>
      </c>
      <c r="C10" s="200" t="s">
        <v>468</v>
      </c>
      <c r="D10" s="200" t="s">
        <v>469</v>
      </c>
      <c r="E10" s="201" t="str">
        <f t="shared" ref="E10:O10" si="8">"Budget Year +2 "&amp;E1+2&amp;"/"&amp;RIGHT(E1,2)+3</f>
        <v>Budget Year +2 2012/13</v>
      </c>
      <c r="F10" s="201" t="str">
        <f t="shared" si="8"/>
        <v>Budget Year +2 2013/14</v>
      </c>
      <c r="G10" s="201" t="str">
        <f t="shared" si="8"/>
        <v>Budget Year +2 2014/15</v>
      </c>
      <c r="H10" s="201" t="str">
        <f t="shared" si="8"/>
        <v>Budget Year +2 2015/16</v>
      </c>
      <c r="I10" s="201" t="str">
        <f t="shared" si="8"/>
        <v>Budget Year +2 2016/17</v>
      </c>
      <c r="J10" s="201" t="str">
        <f t="shared" si="8"/>
        <v>Budget Year +2 2017/18</v>
      </c>
      <c r="K10" s="201" t="str">
        <f t="shared" si="8"/>
        <v>Budget Year +2 2018/19</v>
      </c>
      <c r="L10" s="201" t="str">
        <f t="shared" si="8"/>
        <v>Budget Year +2 2019/20</v>
      </c>
      <c r="M10" s="201" t="str">
        <f t="shared" si="8"/>
        <v>Budget Year +2 2020/21</v>
      </c>
      <c r="N10" s="201" t="str">
        <f t="shared" si="8"/>
        <v>Budget Year +2 2021/22</v>
      </c>
      <c r="O10" s="201" t="str">
        <f t="shared" si="8"/>
        <v>Budget Year +2 2022/23</v>
      </c>
      <c r="P10" s="200"/>
      <c r="Z10" s="206" t="s">
        <v>1080</v>
      </c>
    </row>
    <row r="11" spans="1:30" x14ac:dyDescent="0.2">
      <c r="A11" s="199" t="e">
        <f>#REF!</f>
        <v>#REF!</v>
      </c>
      <c r="B11" s="200" t="s">
        <v>215</v>
      </c>
      <c r="C11" s="200" t="s">
        <v>216</v>
      </c>
      <c r="D11" s="200" t="s">
        <v>217</v>
      </c>
      <c r="E11" s="201" t="str">
        <f t="shared" ref="E11:O11" si="9">"Forecast "&amp;E1+3&amp;"/"&amp;RIGHT(E1,2)+4</f>
        <v>Forecast 2013/14</v>
      </c>
      <c r="F11" s="201" t="str">
        <f t="shared" si="9"/>
        <v>Forecast 2014/15</v>
      </c>
      <c r="G11" s="201" t="str">
        <f t="shared" si="9"/>
        <v>Forecast 2015/16</v>
      </c>
      <c r="H11" s="201" t="str">
        <f t="shared" si="9"/>
        <v>Forecast 2016/17</v>
      </c>
      <c r="I11" s="201" t="str">
        <f t="shared" si="9"/>
        <v>Forecast 2017/18</v>
      </c>
      <c r="J11" s="201" t="str">
        <f t="shared" si="9"/>
        <v>Forecast 2018/19</v>
      </c>
      <c r="K11" s="201" t="str">
        <f t="shared" si="9"/>
        <v>Forecast 2019/20</v>
      </c>
      <c r="L11" s="201" t="str">
        <f t="shared" si="9"/>
        <v>Forecast 2020/21</v>
      </c>
      <c r="M11" s="201" t="str">
        <f t="shared" si="9"/>
        <v>Forecast 2021/22</v>
      </c>
      <c r="N11" s="201" t="str">
        <f t="shared" si="9"/>
        <v>Forecast 2022/23</v>
      </c>
      <c r="O11" s="201" t="str">
        <f t="shared" si="9"/>
        <v>Forecast 2023/24</v>
      </c>
      <c r="P11" s="200"/>
      <c r="Z11" s="206" t="s">
        <v>1081</v>
      </c>
    </row>
    <row r="12" spans="1:30" x14ac:dyDescent="0.2">
      <c r="A12" s="199" t="e">
        <f>#REF!</f>
        <v>#REF!</v>
      </c>
      <c r="B12" s="200" t="s">
        <v>216</v>
      </c>
      <c r="C12" s="200" t="s">
        <v>217</v>
      </c>
      <c r="D12" s="200" t="s">
        <v>218</v>
      </c>
      <c r="E12" s="201" t="str">
        <f t="shared" ref="E12:O12" si="10">"Forecast "&amp;E1+4&amp;"/"&amp;RIGHT(E1,2)+5</f>
        <v>Forecast 2014/15</v>
      </c>
      <c r="F12" s="201" t="str">
        <f t="shared" si="10"/>
        <v>Forecast 2015/16</v>
      </c>
      <c r="G12" s="201" t="str">
        <f t="shared" si="10"/>
        <v>Forecast 2016/17</v>
      </c>
      <c r="H12" s="201" t="str">
        <f t="shared" si="10"/>
        <v>Forecast 2017/18</v>
      </c>
      <c r="I12" s="201" t="str">
        <f t="shared" si="10"/>
        <v>Forecast 2018/19</v>
      </c>
      <c r="J12" s="201" t="str">
        <f t="shared" si="10"/>
        <v>Forecast 2019/20</v>
      </c>
      <c r="K12" s="201" t="str">
        <f t="shared" si="10"/>
        <v>Forecast 2020/21</v>
      </c>
      <c r="L12" s="201" t="str">
        <f t="shared" si="10"/>
        <v>Forecast 2021/22</v>
      </c>
      <c r="M12" s="201" t="str">
        <f t="shared" si="10"/>
        <v>Forecast 2022/23</v>
      </c>
      <c r="N12" s="201" t="str">
        <f t="shared" si="10"/>
        <v>Forecast 2023/24</v>
      </c>
      <c r="O12" s="201" t="str">
        <f t="shared" si="10"/>
        <v>Forecast 2024/25</v>
      </c>
      <c r="P12" s="200"/>
      <c r="Z12" s="206" t="s">
        <v>1082</v>
      </c>
    </row>
    <row r="13" spans="1:30" x14ac:dyDescent="0.2">
      <c r="A13" s="199" t="e">
        <f>#REF!</f>
        <v>#REF!</v>
      </c>
      <c r="B13" s="200" t="s">
        <v>217</v>
      </c>
      <c r="C13" s="200" t="s">
        <v>218</v>
      </c>
      <c r="D13" s="200" t="s">
        <v>93</v>
      </c>
      <c r="E13" s="201" t="str">
        <f t="shared" ref="E13:O13" si="11">"Forecast "&amp;E1+5&amp;"/"&amp;RIGHT(E1,2)+6</f>
        <v>Forecast 2015/16</v>
      </c>
      <c r="F13" s="201" t="str">
        <f t="shared" si="11"/>
        <v>Forecast 2016/17</v>
      </c>
      <c r="G13" s="201" t="str">
        <f t="shared" si="11"/>
        <v>Forecast 2017/18</v>
      </c>
      <c r="H13" s="201" t="str">
        <f t="shared" si="11"/>
        <v>Forecast 2018/19</v>
      </c>
      <c r="I13" s="201" t="str">
        <f t="shared" si="11"/>
        <v>Forecast 2019/20</v>
      </c>
      <c r="J13" s="201" t="str">
        <f t="shared" si="11"/>
        <v>Forecast 2020/21</v>
      </c>
      <c r="K13" s="201" t="str">
        <f t="shared" si="11"/>
        <v>Forecast 2021/22</v>
      </c>
      <c r="L13" s="201" t="str">
        <f t="shared" si="11"/>
        <v>Forecast 2022/23</v>
      </c>
      <c r="M13" s="201" t="str">
        <f t="shared" si="11"/>
        <v>Forecast 2023/24</v>
      </c>
      <c r="N13" s="201" t="str">
        <f t="shared" si="11"/>
        <v>Forecast 2024/25</v>
      </c>
      <c r="O13" s="201" t="str">
        <f t="shared" si="11"/>
        <v>Forecast 2025/26</v>
      </c>
      <c r="P13" s="200"/>
    </row>
    <row r="14" spans="1:30" x14ac:dyDescent="0.2">
      <c r="A14" s="199" t="e">
        <f>#REF!</f>
        <v>#REF!</v>
      </c>
      <c r="B14" s="200" t="s">
        <v>218</v>
      </c>
      <c r="C14" s="200" t="s">
        <v>93</v>
      </c>
      <c r="D14" s="200" t="s">
        <v>94</v>
      </c>
      <c r="E14" s="201" t="str">
        <f t="shared" ref="E14:O14" si="12">"Forecast "&amp;E1+6&amp;"/"&amp;RIGHT(E1,2)+7</f>
        <v>Forecast 2016/17</v>
      </c>
      <c r="F14" s="201" t="str">
        <f t="shared" si="12"/>
        <v>Forecast 2017/18</v>
      </c>
      <c r="G14" s="201" t="str">
        <f t="shared" si="12"/>
        <v>Forecast 2018/19</v>
      </c>
      <c r="H14" s="201" t="str">
        <f t="shared" si="12"/>
        <v>Forecast 2019/20</v>
      </c>
      <c r="I14" s="201" t="str">
        <f t="shared" si="12"/>
        <v>Forecast 2020/21</v>
      </c>
      <c r="J14" s="201" t="str">
        <f t="shared" si="12"/>
        <v>Forecast 2021/22</v>
      </c>
      <c r="K14" s="201" t="str">
        <f t="shared" si="12"/>
        <v>Forecast 2022/23</v>
      </c>
      <c r="L14" s="201" t="str">
        <f t="shared" si="12"/>
        <v>Forecast 2023/24</v>
      </c>
      <c r="M14" s="201" t="str">
        <f t="shared" si="12"/>
        <v>Forecast 2024/25</v>
      </c>
      <c r="N14" s="201" t="str">
        <f t="shared" si="12"/>
        <v>Forecast 2025/26</v>
      </c>
      <c r="O14" s="201" t="str">
        <f t="shared" si="12"/>
        <v>Forecast 2026/27</v>
      </c>
      <c r="P14" s="200"/>
      <c r="Z14" s="197" t="s">
        <v>995</v>
      </c>
      <c r="AA14" s="197" t="s">
        <v>1083</v>
      </c>
      <c r="AB14" s="197" t="s">
        <v>1084</v>
      </c>
      <c r="AC14" s="197" t="s">
        <v>993</v>
      </c>
      <c r="AD14" s="197" t="s">
        <v>1085</v>
      </c>
    </row>
    <row r="15" spans="1:30" x14ac:dyDescent="0.2">
      <c r="A15" s="199" t="e">
        <f>#REF!</f>
        <v>#REF!</v>
      </c>
      <c r="B15" s="200" t="s">
        <v>93</v>
      </c>
      <c r="C15" s="200" t="s">
        <v>94</v>
      </c>
      <c r="D15" s="200" t="s">
        <v>95</v>
      </c>
      <c r="E15" s="201" t="str">
        <f t="shared" ref="E15:O15" si="13">"Forecast "&amp;E1+7&amp;"/"&amp;RIGHT(E1,2)+8</f>
        <v>Forecast 2017/18</v>
      </c>
      <c r="F15" s="201" t="str">
        <f t="shared" si="13"/>
        <v>Forecast 2018/19</v>
      </c>
      <c r="G15" s="201" t="str">
        <f t="shared" si="13"/>
        <v>Forecast 2019/20</v>
      </c>
      <c r="H15" s="201" t="str">
        <f t="shared" si="13"/>
        <v>Forecast 2020/21</v>
      </c>
      <c r="I15" s="201" t="str">
        <f t="shared" si="13"/>
        <v>Forecast 2021/22</v>
      </c>
      <c r="J15" s="201" t="str">
        <f t="shared" si="13"/>
        <v>Forecast 2022/23</v>
      </c>
      <c r="K15" s="201" t="str">
        <f t="shared" si="13"/>
        <v>Forecast 2023/24</v>
      </c>
      <c r="L15" s="201" t="str">
        <f t="shared" si="13"/>
        <v>Forecast 2024/25</v>
      </c>
      <c r="M15" s="201" t="str">
        <f t="shared" si="13"/>
        <v>Forecast 2025/26</v>
      </c>
      <c r="N15" s="201" t="str">
        <f t="shared" si="13"/>
        <v>Forecast 2026/27</v>
      </c>
      <c r="O15" s="201" t="str">
        <f t="shared" si="13"/>
        <v>Forecast 2027/28</v>
      </c>
      <c r="P15" s="200"/>
    </row>
    <row r="16" spans="1:30" x14ac:dyDescent="0.2">
      <c r="A16" s="199" t="e">
        <f>#REF!</f>
        <v>#REF!</v>
      </c>
      <c r="B16" s="200" t="s">
        <v>94</v>
      </c>
      <c r="C16" s="200" t="s">
        <v>95</v>
      </c>
      <c r="D16" s="200" t="s">
        <v>96</v>
      </c>
      <c r="E16" s="201" t="str">
        <f t="shared" ref="E16:O16" si="14">"Forecast "&amp;E1+8&amp;"/"&amp;RIGHT(E1,2)+9</f>
        <v>Forecast 2018/19</v>
      </c>
      <c r="F16" s="201" t="str">
        <f t="shared" si="14"/>
        <v>Forecast 2019/20</v>
      </c>
      <c r="G16" s="201" t="str">
        <f t="shared" si="14"/>
        <v>Forecast 2020/21</v>
      </c>
      <c r="H16" s="201" t="str">
        <f t="shared" si="14"/>
        <v>Forecast 2021/22</v>
      </c>
      <c r="I16" s="201" t="str">
        <f t="shared" si="14"/>
        <v>Forecast 2022/23</v>
      </c>
      <c r="J16" s="201" t="str">
        <f t="shared" si="14"/>
        <v>Forecast 2023/24</v>
      </c>
      <c r="K16" s="201" t="str">
        <f t="shared" si="14"/>
        <v>Forecast 2024/25</v>
      </c>
      <c r="L16" s="201" t="str">
        <f t="shared" si="14"/>
        <v>Forecast 2025/26</v>
      </c>
      <c r="M16" s="201" t="str">
        <f t="shared" si="14"/>
        <v>Forecast 2026/27</v>
      </c>
      <c r="N16" s="201" t="str">
        <f t="shared" si="14"/>
        <v>Forecast 2027/28</v>
      </c>
      <c r="O16" s="201" t="str">
        <f t="shared" si="14"/>
        <v>Forecast 2028/29</v>
      </c>
      <c r="P16" s="200"/>
      <c r="Z16" s="206" t="s">
        <v>849</v>
      </c>
      <c r="AA16" s="206" t="s">
        <v>1086</v>
      </c>
      <c r="AB16" s="206" t="s">
        <v>504</v>
      </c>
      <c r="AC16" s="206" t="s">
        <v>1087</v>
      </c>
      <c r="AD16" s="206" t="s">
        <v>1088</v>
      </c>
    </row>
    <row r="17" spans="1:30" x14ac:dyDescent="0.2">
      <c r="A17" s="199" t="e">
        <f>#REF!</f>
        <v>#REF!</v>
      </c>
      <c r="B17" s="200" t="s">
        <v>95</v>
      </c>
      <c r="C17" s="200" t="s">
        <v>96</v>
      </c>
      <c r="D17" s="200" t="s">
        <v>13</v>
      </c>
      <c r="E17" s="201" t="str">
        <f t="shared" ref="E17:O17" si="15">"Forecast "&amp;E1+9&amp;"/"&amp;RIGHT(E1,2)+10</f>
        <v>Forecast 2019/20</v>
      </c>
      <c r="F17" s="201" t="str">
        <f t="shared" si="15"/>
        <v>Forecast 2020/21</v>
      </c>
      <c r="G17" s="201" t="str">
        <f t="shared" si="15"/>
        <v>Forecast 2021/22</v>
      </c>
      <c r="H17" s="201" t="str">
        <f t="shared" si="15"/>
        <v>Forecast 2022/23</v>
      </c>
      <c r="I17" s="201" t="str">
        <f t="shared" si="15"/>
        <v>Forecast 2023/24</v>
      </c>
      <c r="J17" s="201" t="str">
        <f t="shared" si="15"/>
        <v>Forecast 2024/25</v>
      </c>
      <c r="K17" s="201" t="str">
        <f t="shared" si="15"/>
        <v>Forecast 2025/26</v>
      </c>
      <c r="L17" s="201" t="str">
        <f t="shared" si="15"/>
        <v>Forecast 2026/27</v>
      </c>
      <c r="M17" s="201" t="str">
        <f t="shared" si="15"/>
        <v>Forecast 2027/28</v>
      </c>
      <c r="N17" s="201" t="str">
        <f t="shared" si="15"/>
        <v>Forecast 2028/29</v>
      </c>
      <c r="O17" s="201" t="str">
        <f t="shared" si="15"/>
        <v>Forecast 2029/30</v>
      </c>
      <c r="P17" s="200"/>
      <c r="Z17" s="206" t="s">
        <v>853</v>
      </c>
      <c r="AA17" s="206" t="s">
        <v>1089</v>
      </c>
      <c r="AB17" s="206" t="s">
        <v>850</v>
      </c>
      <c r="AC17" s="206" t="s">
        <v>1090</v>
      </c>
      <c r="AD17" s="206" t="s">
        <v>1091</v>
      </c>
    </row>
    <row r="18" spans="1:30" x14ac:dyDescent="0.2">
      <c r="A18" s="199" t="e">
        <f>#REF!</f>
        <v>#REF!</v>
      </c>
      <c r="B18" s="200" t="s">
        <v>96</v>
      </c>
      <c r="C18" s="200" t="s">
        <v>13</v>
      </c>
      <c r="D18" s="200" t="s">
        <v>12</v>
      </c>
      <c r="E18" s="201" t="str">
        <f t="shared" ref="E18:O18" si="16">"Forecast "&amp;E1+10&amp;"/"&amp;RIGHT(E1,2)+11</f>
        <v>Forecast 2020/21</v>
      </c>
      <c r="F18" s="201" t="str">
        <f t="shared" si="16"/>
        <v>Forecast 2021/22</v>
      </c>
      <c r="G18" s="201" t="str">
        <f t="shared" si="16"/>
        <v>Forecast 2022/23</v>
      </c>
      <c r="H18" s="201" t="str">
        <f t="shared" si="16"/>
        <v>Forecast 2023/24</v>
      </c>
      <c r="I18" s="201" t="str">
        <f t="shared" si="16"/>
        <v>Forecast 2024/25</v>
      </c>
      <c r="J18" s="201" t="str">
        <f t="shared" si="16"/>
        <v>Forecast 2025/26</v>
      </c>
      <c r="K18" s="201" t="str">
        <f t="shared" si="16"/>
        <v>Forecast 2026/27</v>
      </c>
      <c r="L18" s="201" t="str">
        <f t="shared" si="16"/>
        <v>Forecast 2027/28</v>
      </c>
      <c r="M18" s="201" t="str">
        <f t="shared" si="16"/>
        <v>Forecast 2028/29</v>
      </c>
      <c r="N18" s="201" t="str">
        <f t="shared" si="16"/>
        <v>Forecast 2029/30</v>
      </c>
      <c r="O18" s="201" t="str">
        <f t="shared" si="16"/>
        <v>Forecast 2030/31</v>
      </c>
      <c r="P18" s="200"/>
      <c r="Z18" s="206" t="s">
        <v>857</v>
      </c>
      <c r="AA18" s="206" t="s">
        <v>1092</v>
      </c>
      <c r="AB18" s="206" t="s">
        <v>851</v>
      </c>
      <c r="AC18" s="206" t="s">
        <v>1093</v>
      </c>
      <c r="AD18" s="206" t="s">
        <v>1094</v>
      </c>
    </row>
    <row r="19" spans="1:30" x14ac:dyDescent="0.2">
      <c r="A19" s="199" t="e">
        <f>#REF!</f>
        <v>#REF!</v>
      </c>
      <c r="B19" s="200" t="s">
        <v>13</v>
      </c>
      <c r="C19" s="200" t="s">
        <v>12</v>
      </c>
      <c r="D19" s="200" t="s">
        <v>97</v>
      </c>
      <c r="E19" s="201" t="str">
        <f t="shared" ref="E19:O19" si="17">"Forecast "&amp;E1+11&amp;"/"&amp;RIGHT(E1,2)+12</f>
        <v>Forecast 2021/22</v>
      </c>
      <c r="F19" s="201" t="str">
        <f t="shared" si="17"/>
        <v>Forecast 2022/23</v>
      </c>
      <c r="G19" s="201" t="str">
        <f t="shared" si="17"/>
        <v>Forecast 2023/24</v>
      </c>
      <c r="H19" s="201" t="str">
        <f t="shared" si="17"/>
        <v>Forecast 2024/25</v>
      </c>
      <c r="I19" s="201" t="str">
        <f t="shared" si="17"/>
        <v>Forecast 2025/26</v>
      </c>
      <c r="J19" s="201" t="str">
        <f t="shared" si="17"/>
        <v>Forecast 2026/27</v>
      </c>
      <c r="K19" s="201" t="str">
        <f t="shared" si="17"/>
        <v>Forecast 2027/28</v>
      </c>
      <c r="L19" s="201" t="str">
        <f t="shared" si="17"/>
        <v>Forecast 2028/29</v>
      </c>
      <c r="M19" s="201" t="str">
        <f t="shared" si="17"/>
        <v>Forecast 2029/30</v>
      </c>
      <c r="N19" s="201" t="str">
        <f t="shared" si="17"/>
        <v>Forecast 2030/31</v>
      </c>
      <c r="O19" s="201" t="str">
        <f t="shared" si="17"/>
        <v>Forecast 2031/32</v>
      </c>
      <c r="P19" s="200"/>
      <c r="Z19" s="206" t="s">
        <v>866</v>
      </c>
      <c r="AA19" s="206" t="s">
        <v>1095</v>
      </c>
      <c r="AB19" s="206" t="s">
        <v>852</v>
      </c>
      <c r="AC19" s="206" t="s">
        <v>1096</v>
      </c>
      <c r="AD19" s="206" t="s">
        <v>1097</v>
      </c>
    </row>
    <row r="20" spans="1:30" x14ac:dyDescent="0.2">
      <c r="A20" s="199" t="e">
        <f>#REF!</f>
        <v>#REF!</v>
      </c>
      <c r="B20" s="200" t="s">
        <v>12</v>
      </c>
      <c r="C20" s="200" t="s">
        <v>97</v>
      </c>
      <c r="D20" s="200" t="s">
        <v>367</v>
      </c>
      <c r="E20" s="201" t="str">
        <f t="shared" ref="E20:O20" si="18">"Forecast "&amp;E1+12&amp;"/"&amp;RIGHT(E1,2)+13</f>
        <v>Forecast 2022/23</v>
      </c>
      <c r="F20" s="201" t="str">
        <f t="shared" si="18"/>
        <v>Forecast 2023/24</v>
      </c>
      <c r="G20" s="201" t="str">
        <f t="shared" si="18"/>
        <v>Forecast 2024/25</v>
      </c>
      <c r="H20" s="201" t="str">
        <f t="shared" si="18"/>
        <v>Forecast 2025/26</v>
      </c>
      <c r="I20" s="201" t="str">
        <f t="shared" si="18"/>
        <v>Forecast 2026/27</v>
      </c>
      <c r="J20" s="201" t="str">
        <f t="shared" si="18"/>
        <v>Forecast 2027/28</v>
      </c>
      <c r="K20" s="201" t="str">
        <f t="shared" si="18"/>
        <v>Forecast 2028/29</v>
      </c>
      <c r="L20" s="201" t="str">
        <f t="shared" si="18"/>
        <v>Forecast 2029/30</v>
      </c>
      <c r="M20" s="201" t="str">
        <f t="shared" si="18"/>
        <v>Forecast 2030/31</v>
      </c>
      <c r="N20" s="201" t="str">
        <f t="shared" si="18"/>
        <v>Forecast 2031/32</v>
      </c>
      <c r="O20" s="201" t="str">
        <f t="shared" si="18"/>
        <v>Forecast 2032/33</v>
      </c>
      <c r="P20" s="200"/>
      <c r="Z20" s="206" t="s">
        <v>876</v>
      </c>
      <c r="AA20" s="206" t="s">
        <v>1098</v>
      </c>
      <c r="AB20" s="206" t="s">
        <v>854</v>
      </c>
      <c r="AD20" s="206" t="s">
        <v>1099</v>
      </c>
    </row>
    <row r="21" spans="1:30" x14ac:dyDescent="0.2">
      <c r="A21" s="199" t="e">
        <f>#REF!</f>
        <v>#REF!</v>
      </c>
      <c r="B21" s="200" t="s">
        <v>97</v>
      </c>
      <c r="C21" s="200" t="s">
        <v>367</v>
      </c>
      <c r="D21" s="200" t="s">
        <v>470</v>
      </c>
      <c r="E21" s="201" t="str">
        <f t="shared" ref="E21:O21" si="19">"Forecast "&amp;E1+13&amp;"/"&amp;RIGHT(E1,2)+14</f>
        <v>Forecast 2023/24</v>
      </c>
      <c r="F21" s="201" t="str">
        <f t="shared" si="19"/>
        <v>Forecast 2024/25</v>
      </c>
      <c r="G21" s="201" t="str">
        <f t="shared" si="19"/>
        <v>Forecast 2025/26</v>
      </c>
      <c r="H21" s="201" t="str">
        <f t="shared" si="19"/>
        <v>Forecast 2026/27</v>
      </c>
      <c r="I21" s="201" t="str">
        <f t="shared" si="19"/>
        <v>Forecast 2027/28</v>
      </c>
      <c r="J21" s="201" t="str">
        <f t="shared" si="19"/>
        <v>Forecast 2028/29</v>
      </c>
      <c r="K21" s="201" t="str">
        <f t="shared" si="19"/>
        <v>Forecast 2029/30</v>
      </c>
      <c r="L21" s="201" t="str">
        <f t="shared" si="19"/>
        <v>Forecast 2030/31</v>
      </c>
      <c r="M21" s="201" t="str">
        <f t="shared" si="19"/>
        <v>Forecast 2031/32</v>
      </c>
      <c r="N21" s="201" t="str">
        <f t="shared" si="19"/>
        <v>Forecast 2032/33</v>
      </c>
      <c r="O21" s="201" t="str">
        <f t="shared" si="19"/>
        <v>Forecast 2033/34</v>
      </c>
      <c r="P21" s="200"/>
      <c r="Z21" s="206" t="s">
        <v>881</v>
      </c>
      <c r="AA21" s="206" t="s">
        <v>1100</v>
      </c>
      <c r="AB21" s="206" t="s">
        <v>855</v>
      </c>
      <c r="AD21" s="206" t="s">
        <v>1101</v>
      </c>
    </row>
    <row r="22" spans="1:30" x14ac:dyDescent="0.2">
      <c r="A22" s="199" t="e">
        <f>#REF!</f>
        <v>#REF!</v>
      </c>
      <c r="B22" s="200" t="s">
        <v>367</v>
      </c>
      <c r="C22" s="200" t="s">
        <v>470</v>
      </c>
      <c r="D22" s="200" t="s">
        <v>471</v>
      </c>
      <c r="E22" s="201" t="str">
        <f t="shared" ref="E22:O22" si="20">"Forecast "&amp;E1+14&amp;"/"&amp;RIGHT(E1,2)+15</f>
        <v>Forecast 2024/25</v>
      </c>
      <c r="F22" s="201" t="str">
        <f t="shared" si="20"/>
        <v>Forecast 2025/26</v>
      </c>
      <c r="G22" s="201" t="str">
        <f t="shared" si="20"/>
        <v>Forecast 2026/27</v>
      </c>
      <c r="H22" s="201" t="str">
        <f t="shared" si="20"/>
        <v>Forecast 2027/28</v>
      </c>
      <c r="I22" s="201" t="str">
        <f t="shared" si="20"/>
        <v>Forecast 2028/29</v>
      </c>
      <c r="J22" s="201" t="str">
        <f t="shared" si="20"/>
        <v>Forecast 2029/30</v>
      </c>
      <c r="K22" s="201" t="str">
        <f t="shared" si="20"/>
        <v>Forecast 2030/31</v>
      </c>
      <c r="L22" s="201" t="str">
        <f t="shared" si="20"/>
        <v>Forecast 2031/32</v>
      </c>
      <c r="M22" s="201" t="str">
        <f t="shared" si="20"/>
        <v>Forecast 2032/33</v>
      </c>
      <c r="N22" s="201" t="str">
        <f t="shared" si="20"/>
        <v>Forecast 2033/34</v>
      </c>
      <c r="O22" s="201" t="str">
        <f t="shared" si="20"/>
        <v>Forecast 2034/35</v>
      </c>
      <c r="P22" s="200"/>
      <c r="Z22" s="206" t="s">
        <v>888</v>
      </c>
      <c r="AA22" s="206" t="s">
        <v>1102</v>
      </c>
      <c r="AB22" s="206" t="s">
        <v>856</v>
      </c>
      <c r="AD22" s="206" t="s">
        <v>1103</v>
      </c>
    </row>
    <row r="23" spans="1:30" x14ac:dyDescent="0.2">
      <c r="A23" s="199" t="s">
        <v>472</v>
      </c>
      <c r="B23" s="200" t="s">
        <v>262</v>
      </c>
      <c r="C23" s="200" t="s">
        <v>473</v>
      </c>
      <c r="D23" s="200" t="s">
        <v>474</v>
      </c>
      <c r="E23" s="201" t="str">
        <f t="shared" ref="E23:O23" si="21">"Annual target " &amp; E1&amp;"/"&amp;RIGHT(E1,2)+1</f>
        <v>Annual target 2010/11</v>
      </c>
      <c r="F23" s="201" t="str">
        <f t="shared" si="21"/>
        <v>Annual target 2011/12</v>
      </c>
      <c r="G23" s="201" t="str">
        <f t="shared" si="21"/>
        <v>Annual target 2012/13</v>
      </c>
      <c r="H23" s="201" t="str">
        <f t="shared" si="21"/>
        <v>Annual target 2013/14</v>
      </c>
      <c r="I23" s="201" t="str">
        <f t="shared" si="21"/>
        <v>Annual target 2014/15</v>
      </c>
      <c r="J23" s="201" t="str">
        <f t="shared" si="21"/>
        <v>Annual target 2015/16</v>
      </c>
      <c r="K23" s="201" t="str">
        <f t="shared" si="21"/>
        <v>Annual target 2016/17</v>
      </c>
      <c r="L23" s="201" t="str">
        <f t="shared" si="21"/>
        <v>Annual target 2017/18</v>
      </c>
      <c r="M23" s="201" t="str">
        <f t="shared" si="21"/>
        <v>Annual target 2018/19</v>
      </c>
      <c r="N23" s="201" t="str">
        <f t="shared" si="21"/>
        <v>Annual target 2019/20</v>
      </c>
      <c r="O23" s="201" t="str">
        <f t="shared" si="21"/>
        <v>Annual target 2020/21</v>
      </c>
      <c r="P23" s="200"/>
      <c r="Z23" s="206" t="s">
        <v>892</v>
      </c>
      <c r="AA23" s="206" t="s">
        <v>494</v>
      </c>
      <c r="AB23" s="206" t="s">
        <v>858</v>
      </c>
      <c r="AD23" s="206" t="s">
        <v>1104</v>
      </c>
    </row>
    <row r="24" spans="1:30" x14ac:dyDescent="0.2">
      <c r="A24" s="212" t="str">
        <f>A23</f>
        <v>Adjustments Budget</v>
      </c>
      <c r="B24" s="213" t="s">
        <v>263</v>
      </c>
      <c r="C24" s="213" t="s">
        <v>475</v>
      </c>
      <c r="D24" s="213" t="s">
        <v>476</v>
      </c>
      <c r="E24" s="209" t="str">
        <f t="shared" ref="E24:O24" si="22">"Revised target "&amp; E1&amp;"/"&amp;RIGHT(E1,2)+1</f>
        <v>Revised target 2010/11</v>
      </c>
      <c r="F24" s="209" t="str">
        <f t="shared" si="22"/>
        <v>Revised target 2011/12</v>
      </c>
      <c r="G24" s="209" t="str">
        <f t="shared" si="22"/>
        <v>Revised target 2012/13</v>
      </c>
      <c r="H24" s="209" t="str">
        <f t="shared" si="22"/>
        <v>Revised target 2013/14</v>
      </c>
      <c r="I24" s="209" t="str">
        <f t="shared" si="22"/>
        <v>Revised target 2014/15</v>
      </c>
      <c r="J24" s="209" t="str">
        <f t="shared" si="22"/>
        <v>Revised target 2015/16</v>
      </c>
      <c r="K24" s="209" t="str">
        <f t="shared" si="22"/>
        <v>Revised target 2016/17</v>
      </c>
      <c r="L24" s="209" t="str">
        <f t="shared" si="22"/>
        <v>Revised target 2017/18</v>
      </c>
      <c r="M24" s="209" t="str">
        <f t="shared" si="22"/>
        <v>Revised target 2018/19</v>
      </c>
      <c r="N24" s="209" t="str">
        <f t="shared" si="22"/>
        <v>Revised target 2019/20</v>
      </c>
      <c r="O24" s="209" t="str">
        <f t="shared" si="22"/>
        <v>Revised target 2020/21</v>
      </c>
      <c r="P24" s="200"/>
      <c r="Z24" s="206" t="s">
        <v>897</v>
      </c>
      <c r="AA24" s="206" t="s">
        <v>1105</v>
      </c>
      <c r="AB24" s="206" t="s">
        <v>859</v>
      </c>
      <c r="AD24" s="206" t="s">
        <v>1106</v>
      </c>
    </row>
    <row r="25" spans="1:30" ht="17.399999999999999" x14ac:dyDescent="0.3">
      <c r="A25" s="214" t="s">
        <v>1107</v>
      </c>
      <c r="Z25" s="206" t="s">
        <v>902</v>
      </c>
      <c r="AA25" s="206" t="s">
        <v>1108</v>
      </c>
      <c r="AB25" s="206" t="s">
        <v>860</v>
      </c>
      <c r="AD25" s="206" t="s">
        <v>1109</v>
      </c>
    </row>
    <row r="26" spans="1:30" x14ac:dyDescent="0.2">
      <c r="Z26" s="206" t="s">
        <v>920</v>
      </c>
      <c r="AA26" s="206" t="s">
        <v>1110</v>
      </c>
      <c r="AB26" s="206" t="s">
        <v>861</v>
      </c>
      <c r="AD26" s="206" t="s">
        <v>1111</v>
      </c>
    </row>
    <row r="27" spans="1:30" ht="13.2" x14ac:dyDescent="0.25">
      <c r="A27" s="215" t="s">
        <v>553</v>
      </c>
      <c r="B27" s="215">
        <v>1</v>
      </c>
      <c r="C27" s="215"/>
      <c r="D27" s="215"/>
      <c r="Z27" s="206" t="s">
        <v>184</v>
      </c>
      <c r="AA27" s="206" t="s">
        <v>1112</v>
      </c>
      <c r="AB27" s="206" t="s">
        <v>862</v>
      </c>
      <c r="AD27" s="206" t="s">
        <v>1113</v>
      </c>
    </row>
    <row r="28" spans="1:30" ht="13.2" x14ac:dyDescent="0.25">
      <c r="A28" s="215" t="s">
        <v>554</v>
      </c>
      <c r="B28" s="215" t="str">
        <f>INDEX(B29:B307,B27,1)</f>
        <v>Choose name from list</v>
      </c>
      <c r="C28" s="215"/>
      <c r="D28" s="215"/>
      <c r="Z28" s="206" t="s">
        <v>928</v>
      </c>
      <c r="AA28" s="206" t="s">
        <v>1114</v>
      </c>
      <c r="AB28" s="206" t="s">
        <v>863</v>
      </c>
      <c r="AD28" s="206" t="s">
        <v>1115</v>
      </c>
    </row>
    <row r="29" spans="1:30" ht="13.2" x14ac:dyDescent="0.25">
      <c r="A29" s="215"/>
      <c r="B29" s="215" t="s">
        <v>555</v>
      </c>
      <c r="C29" s="215" t="s">
        <v>556</v>
      </c>
      <c r="D29" s="215"/>
      <c r="Z29" s="206" t="s">
        <v>931</v>
      </c>
      <c r="AA29" s="206" t="s">
        <v>1116</v>
      </c>
      <c r="AB29" s="206" t="s">
        <v>864</v>
      </c>
      <c r="AD29" s="206" t="s">
        <v>1117</v>
      </c>
    </row>
    <row r="30" spans="1:30" ht="13.2" x14ac:dyDescent="0.25">
      <c r="A30" s="215"/>
      <c r="B30" s="220" t="s">
        <v>795</v>
      </c>
      <c r="C30" s="221" t="s">
        <v>1118</v>
      </c>
      <c r="D30" s="215"/>
      <c r="Z30" s="206" t="s">
        <v>932</v>
      </c>
      <c r="AA30" s="206" t="s">
        <v>1119</v>
      </c>
      <c r="AB30" s="206" t="s">
        <v>865</v>
      </c>
    </row>
    <row r="31" spans="1:30" ht="13.2" x14ac:dyDescent="0.25">
      <c r="A31" s="215"/>
      <c r="B31" s="220" t="s">
        <v>796</v>
      </c>
      <c r="C31" s="222" t="s">
        <v>1118</v>
      </c>
      <c r="D31" s="215"/>
      <c r="Z31" s="206" t="s">
        <v>943</v>
      </c>
      <c r="AA31" s="206" t="s">
        <v>1120</v>
      </c>
      <c r="AB31" s="206" t="s">
        <v>852</v>
      </c>
    </row>
    <row r="32" spans="1:30" ht="13.2" x14ac:dyDescent="0.25">
      <c r="A32" s="215"/>
      <c r="B32" s="220" t="s">
        <v>975</v>
      </c>
      <c r="C32" s="221" t="s">
        <v>1118</v>
      </c>
      <c r="D32" s="215"/>
      <c r="Z32" s="206" t="s">
        <v>946</v>
      </c>
      <c r="AA32" s="206" t="s">
        <v>88</v>
      </c>
      <c r="AB32" s="206" t="s">
        <v>867</v>
      </c>
    </row>
    <row r="33" spans="1:28" ht="13.2" x14ac:dyDescent="0.25">
      <c r="A33" s="215"/>
      <c r="B33" s="220" t="s">
        <v>591</v>
      </c>
      <c r="C33" s="221" t="s">
        <v>1118</v>
      </c>
      <c r="D33" s="215"/>
      <c r="Z33" s="206" t="s">
        <v>948</v>
      </c>
      <c r="AA33" s="206" t="s">
        <v>1121</v>
      </c>
      <c r="AB33" s="206" t="s">
        <v>868</v>
      </c>
    </row>
    <row r="34" spans="1:28" ht="13.2" x14ac:dyDescent="0.25">
      <c r="A34" s="215"/>
      <c r="B34" s="220" t="s">
        <v>592</v>
      </c>
      <c r="C34" s="221" t="s">
        <v>1118</v>
      </c>
      <c r="D34" s="215"/>
      <c r="Z34" s="206" t="s">
        <v>949</v>
      </c>
      <c r="AA34" s="206" t="s">
        <v>1122</v>
      </c>
      <c r="AB34" s="206" t="s">
        <v>869</v>
      </c>
    </row>
    <row r="35" spans="1:28" ht="13.2" x14ac:dyDescent="0.25">
      <c r="A35" s="215"/>
      <c r="B35" s="220" t="s">
        <v>593</v>
      </c>
      <c r="C35" s="221" t="s">
        <v>1118</v>
      </c>
      <c r="D35" s="215"/>
      <c r="Z35" s="206" t="s">
        <v>956</v>
      </c>
      <c r="AA35" s="206" t="s">
        <v>1123</v>
      </c>
      <c r="AB35" s="206" t="s">
        <v>870</v>
      </c>
    </row>
    <row r="36" spans="1:28" ht="13.2" x14ac:dyDescent="0.25">
      <c r="A36" s="215"/>
      <c r="B36" s="220" t="s">
        <v>594</v>
      </c>
      <c r="C36" s="221" t="s">
        <v>1118</v>
      </c>
      <c r="D36" s="215"/>
      <c r="Z36" s="206" t="s">
        <v>957</v>
      </c>
      <c r="AA36" s="206" t="s">
        <v>1124</v>
      </c>
      <c r="AB36" s="206" t="s">
        <v>871</v>
      </c>
    </row>
    <row r="37" spans="1:28" ht="13.2" x14ac:dyDescent="0.25">
      <c r="A37" s="215"/>
      <c r="B37" s="220" t="s">
        <v>595</v>
      </c>
      <c r="C37" s="222" t="s">
        <v>1118</v>
      </c>
      <c r="D37" s="215"/>
      <c r="Z37" s="206" t="s">
        <v>958</v>
      </c>
      <c r="AA37" s="206" t="s">
        <v>1125</v>
      </c>
      <c r="AB37" s="206" t="s">
        <v>872</v>
      </c>
    </row>
    <row r="38" spans="1:28" ht="13.2" x14ac:dyDescent="0.25">
      <c r="A38" s="215"/>
      <c r="B38" s="220" t="s">
        <v>785</v>
      </c>
      <c r="C38" s="221" t="s">
        <v>1118</v>
      </c>
      <c r="D38" s="215"/>
      <c r="Z38" s="206" t="s">
        <v>959</v>
      </c>
      <c r="AA38" s="206" t="s">
        <v>1126</v>
      </c>
      <c r="AB38" s="206" t="s">
        <v>873</v>
      </c>
    </row>
    <row r="39" spans="1:28" ht="13.2" x14ac:dyDescent="0.25">
      <c r="A39" s="215"/>
      <c r="B39" s="220" t="s">
        <v>831</v>
      </c>
      <c r="C39" s="223" t="s">
        <v>1118</v>
      </c>
      <c r="D39" s="215"/>
      <c r="Z39" s="206" t="s">
        <v>974</v>
      </c>
      <c r="AA39" s="206" t="s">
        <v>1127</v>
      </c>
      <c r="AB39" s="206" t="s">
        <v>874</v>
      </c>
    </row>
    <row r="40" spans="1:28" ht="13.2" x14ac:dyDescent="0.25">
      <c r="A40" s="215"/>
      <c r="B40" s="220" t="s">
        <v>596</v>
      </c>
      <c r="C40" s="223" t="s">
        <v>1118</v>
      </c>
      <c r="D40" s="215"/>
      <c r="Z40" s="206" t="s">
        <v>960</v>
      </c>
      <c r="AA40" s="206" t="s">
        <v>1128</v>
      </c>
      <c r="AB40" s="206" t="s">
        <v>875</v>
      </c>
    </row>
    <row r="41" spans="1:28" ht="13.2" x14ac:dyDescent="0.25">
      <c r="A41" s="215"/>
      <c r="B41" s="220" t="s">
        <v>597</v>
      </c>
      <c r="C41" s="224" t="s">
        <v>1118</v>
      </c>
      <c r="D41" s="215"/>
      <c r="AA41" s="206" t="s">
        <v>1129</v>
      </c>
      <c r="AB41" s="206" t="s">
        <v>852</v>
      </c>
    </row>
    <row r="42" spans="1:28" ht="13.2" x14ac:dyDescent="0.25">
      <c r="A42" s="215"/>
      <c r="B42" s="220" t="s">
        <v>598</v>
      </c>
      <c r="C42" s="224" t="s">
        <v>1118</v>
      </c>
      <c r="D42" s="215"/>
      <c r="AA42" s="206" t="s">
        <v>1130</v>
      </c>
      <c r="AB42" s="206" t="s">
        <v>877</v>
      </c>
    </row>
    <row r="43" spans="1:28" ht="13.2" x14ac:dyDescent="0.25">
      <c r="A43" s="215"/>
      <c r="B43" s="220" t="s">
        <v>599</v>
      </c>
      <c r="C43" s="224" t="s">
        <v>1118</v>
      </c>
      <c r="D43" s="215"/>
      <c r="AA43" s="206" t="s">
        <v>1131</v>
      </c>
      <c r="AB43" s="206" t="s">
        <v>494</v>
      </c>
    </row>
    <row r="44" spans="1:28" ht="13.2" x14ac:dyDescent="0.25">
      <c r="A44" s="215"/>
      <c r="B44" s="220" t="s">
        <v>600</v>
      </c>
      <c r="C44" s="224" t="s">
        <v>1118</v>
      </c>
      <c r="D44" s="215"/>
      <c r="AA44" s="206" t="s">
        <v>1132</v>
      </c>
      <c r="AB44" s="206" t="s">
        <v>878</v>
      </c>
    </row>
    <row r="45" spans="1:28" ht="13.2" x14ac:dyDescent="0.25">
      <c r="A45" s="215"/>
      <c r="B45" s="225" t="s">
        <v>835</v>
      </c>
      <c r="C45" s="224" t="s">
        <v>1118</v>
      </c>
      <c r="D45" s="215"/>
      <c r="AA45" s="206" t="s">
        <v>1133</v>
      </c>
      <c r="AB45" s="206" t="s">
        <v>879</v>
      </c>
    </row>
    <row r="46" spans="1:28" ht="13.2" x14ac:dyDescent="0.25">
      <c r="A46" s="215"/>
      <c r="B46" s="220" t="s">
        <v>558</v>
      </c>
      <c r="C46" s="224" t="s">
        <v>1118</v>
      </c>
      <c r="D46" s="215"/>
      <c r="AA46" s="206" t="s">
        <v>1134</v>
      </c>
      <c r="AB46" s="206" t="s">
        <v>880</v>
      </c>
    </row>
    <row r="47" spans="1:28" ht="13.2" x14ac:dyDescent="0.25">
      <c r="A47" s="215"/>
      <c r="B47" s="220" t="s">
        <v>601</v>
      </c>
      <c r="C47" s="224" t="s">
        <v>1118</v>
      </c>
      <c r="D47" s="215"/>
      <c r="AA47" s="206" t="s">
        <v>1135</v>
      </c>
      <c r="AB47" s="206" t="s">
        <v>852</v>
      </c>
    </row>
    <row r="48" spans="1:28" ht="13.2" x14ac:dyDescent="0.25">
      <c r="A48" s="215"/>
      <c r="B48" s="220" t="s">
        <v>602</v>
      </c>
      <c r="C48" s="224" t="s">
        <v>1118</v>
      </c>
      <c r="D48" s="215"/>
      <c r="AA48" s="206" t="s">
        <v>1136</v>
      </c>
      <c r="AB48" s="206" t="s">
        <v>882</v>
      </c>
    </row>
    <row r="49" spans="1:28" ht="13.2" x14ac:dyDescent="0.25">
      <c r="A49" s="215"/>
      <c r="B49" s="220" t="s">
        <v>832</v>
      </c>
      <c r="C49" s="224" t="s">
        <v>1118</v>
      </c>
      <c r="D49" s="215"/>
      <c r="AA49" s="206" t="s">
        <v>1137</v>
      </c>
      <c r="AB49" s="206" t="s">
        <v>883</v>
      </c>
    </row>
    <row r="50" spans="1:28" ht="13.2" x14ac:dyDescent="0.25">
      <c r="A50" s="215"/>
      <c r="B50" s="220" t="s">
        <v>603</v>
      </c>
      <c r="C50" s="224" t="s">
        <v>1118</v>
      </c>
      <c r="D50" s="215"/>
      <c r="AA50" s="206" t="s">
        <v>1138</v>
      </c>
      <c r="AB50" s="206" t="s">
        <v>884</v>
      </c>
    </row>
    <row r="51" spans="1:28" ht="13.2" x14ac:dyDescent="0.25">
      <c r="A51" s="215"/>
      <c r="B51" s="220" t="s">
        <v>604</v>
      </c>
      <c r="C51" s="223" t="s">
        <v>1118</v>
      </c>
      <c r="D51" s="215"/>
      <c r="AA51" s="206" t="s">
        <v>10</v>
      </c>
      <c r="AB51" s="206" t="s">
        <v>885</v>
      </c>
    </row>
    <row r="52" spans="1:28" ht="13.2" x14ac:dyDescent="0.25">
      <c r="A52" s="215"/>
      <c r="B52" s="225" t="s">
        <v>836</v>
      </c>
      <c r="C52" s="223" t="s">
        <v>1118</v>
      </c>
      <c r="D52" s="215"/>
      <c r="AA52" s="206" t="s">
        <v>11</v>
      </c>
      <c r="AB52" s="206" t="s">
        <v>886</v>
      </c>
    </row>
    <row r="53" spans="1:28" ht="13.2" x14ac:dyDescent="0.25">
      <c r="A53" s="215"/>
      <c r="B53" s="220" t="s">
        <v>559</v>
      </c>
      <c r="C53" s="223" t="s">
        <v>1118</v>
      </c>
      <c r="D53" s="215"/>
      <c r="AA53" s="206" t="s">
        <v>1139</v>
      </c>
      <c r="AB53" s="206" t="s">
        <v>887</v>
      </c>
    </row>
    <row r="54" spans="1:28" ht="13.2" x14ac:dyDescent="0.25">
      <c r="A54" s="215"/>
      <c r="B54" s="220" t="s">
        <v>605</v>
      </c>
      <c r="C54" s="223" t="s">
        <v>1118</v>
      </c>
      <c r="D54" s="215"/>
      <c r="AA54" s="206" t="s">
        <v>1140</v>
      </c>
      <c r="AB54" s="206" t="s">
        <v>852</v>
      </c>
    </row>
    <row r="55" spans="1:28" ht="13.2" x14ac:dyDescent="0.25">
      <c r="A55" s="215"/>
      <c r="B55" s="220" t="s">
        <v>606</v>
      </c>
      <c r="C55" s="223" t="s">
        <v>1118</v>
      </c>
      <c r="D55" s="215"/>
      <c r="AA55" s="206" t="s">
        <v>1141</v>
      </c>
      <c r="AB55" s="206" t="s">
        <v>889</v>
      </c>
    </row>
    <row r="56" spans="1:28" ht="13.2" x14ac:dyDescent="0.25">
      <c r="A56" s="215"/>
      <c r="B56" s="225" t="s">
        <v>837</v>
      </c>
      <c r="C56" s="223" t="s">
        <v>1118</v>
      </c>
      <c r="D56" s="215"/>
      <c r="AA56" s="206" t="s">
        <v>1142</v>
      </c>
      <c r="AB56" s="206" t="s">
        <v>890</v>
      </c>
    </row>
    <row r="57" spans="1:28" ht="13.2" x14ac:dyDescent="0.25">
      <c r="A57" s="215"/>
      <c r="B57" s="220" t="s">
        <v>783</v>
      </c>
      <c r="C57" s="223" t="s">
        <v>1118</v>
      </c>
      <c r="D57" s="215"/>
      <c r="AA57" s="206" t="s">
        <v>1143</v>
      </c>
      <c r="AB57" s="206" t="s">
        <v>891</v>
      </c>
    </row>
    <row r="58" spans="1:28" ht="13.2" x14ac:dyDescent="0.25">
      <c r="A58" s="215"/>
      <c r="B58" s="220" t="s">
        <v>607</v>
      </c>
      <c r="C58" s="143" t="s">
        <v>1118</v>
      </c>
      <c r="D58" s="215"/>
      <c r="AA58" s="206" t="s">
        <v>228</v>
      </c>
      <c r="AB58" s="206" t="s">
        <v>854</v>
      </c>
    </row>
    <row r="59" spans="1:28" ht="13.2" x14ac:dyDescent="0.25">
      <c r="A59" s="215"/>
      <c r="B59" s="220" t="s">
        <v>608</v>
      </c>
      <c r="C59" s="143" t="s">
        <v>1118</v>
      </c>
      <c r="D59" s="215"/>
      <c r="AB59" s="206" t="s">
        <v>855</v>
      </c>
    </row>
    <row r="60" spans="1:28" ht="13.2" x14ac:dyDescent="0.25">
      <c r="A60" s="215"/>
      <c r="B60" s="220" t="s">
        <v>609</v>
      </c>
      <c r="C60" s="223" t="s">
        <v>1118</v>
      </c>
      <c r="D60" s="215"/>
      <c r="Z60" s="197" t="s">
        <v>1144</v>
      </c>
      <c r="AA60" s="197"/>
      <c r="AB60" s="206" t="s">
        <v>856</v>
      </c>
    </row>
    <row r="61" spans="1:28" ht="13.2" x14ac:dyDescent="0.25">
      <c r="A61" s="215"/>
      <c r="B61" s="220" t="s">
        <v>610</v>
      </c>
      <c r="C61" s="223" t="s">
        <v>1118</v>
      </c>
      <c r="D61" s="215"/>
      <c r="Z61" s="218" t="s">
        <v>1145</v>
      </c>
      <c r="AA61" s="218" t="s">
        <v>1146</v>
      </c>
      <c r="AB61" s="206" t="s">
        <v>862</v>
      </c>
    </row>
    <row r="62" spans="1:28" ht="13.2" x14ac:dyDescent="0.25">
      <c r="A62" s="215"/>
      <c r="B62" s="220" t="s">
        <v>611</v>
      </c>
      <c r="C62" s="223" t="s">
        <v>1118</v>
      </c>
      <c r="D62" s="215"/>
      <c r="Z62" s="219" t="s">
        <v>535</v>
      </c>
      <c r="AA62" s="219" t="s">
        <v>1147</v>
      </c>
      <c r="AB62" s="206" t="s">
        <v>865</v>
      </c>
    </row>
    <row r="63" spans="1:28" ht="13.2" x14ac:dyDescent="0.25">
      <c r="A63" s="215"/>
      <c r="B63" s="220" t="s">
        <v>560</v>
      </c>
      <c r="C63" s="223" t="s">
        <v>1118</v>
      </c>
      <c r="D63" s="215"/>
      <c r="Z63" s="219" t="s">
        <v>536</v>
      </c>
      <c r="AA63" s="219" t="s">
        <v>1055</v>
      </c>
      <c r="AB63" s="206" t="s">
        <v>852</v>
      </c>
    </row>
    <row r="64" spans="1:28" ht="13.2" x14ac:dyDescent="0.25">
      <c r="A64" s="215"/>
      <c r="B64" s="220" t="s">
        <v>612</v>
      </c>
      <c r="C64" s="224" t="s">
        <v>1118</v>
      </c>
      <c r="D64" s="215"/>
      <c r="AB64" s="206" t="s">
        <v>893</v>
      </c>
    </row>
    <row r="65" spans="1:28" ht="13.2" x14ac:dyDescent="0.25">
      <c r="A65" s="215"/>
      <c r="B65" s="220" t="s">
        <v>613</v>
      </c>
      <c r="C65" s="223" t="s">
        <v>1118</v>
      </c>
      <c r="D65" s="215"/>
      <c r="AB65" s="206" t="s">
        <v>894</v>
      </c>
    </row>
    <row r="66" spans="1:28" ht="13.2" x14ac:dyDescent="0.25">
      <c r="A66" s="215"/>
      <c r="B66" s="220" t="s">
        <v>797</v>
      </c>
      <c r="C66" s="223" t="s">
        <v>1118</v>
      </c>
      <c r="D66" s="215"/>
      <c r="Z66" s="197" t="s">
        <v>1148</v>
      </c>
      <c r="AB66" s="206" t="s">
        <v>895</v>
      </c>
    </row>
    <row r="67" spans="1:28" ht="13.2" x14ac:dyDescent="0.25">
      <c r="A67" s="215"/>
      <c r="B67" s="220" t="s">
        <v>798</v>
      </c>
      <c r="C67" s="223" t="s">
        <v>1118</v>
      </c>
      <c r="D67" s="215"/>
      <c r="Z67" s="206" t="s">
        <v>535</v>
      </c>
      <c r="AB67" s="206" t="s">
        <v>896</v>
      </c>
    </row>
    <row r="68" spans="1:28" ht="13.2" x14ac:dyDescent="0.25">
      <c r="A68" s="215"/>
      <c r="B68" s="220" t="s">
        <v>586</v>
      </c>
      <c r="C68" s="223" t="s">
        <v>1118</v>
      </c>
      <c r="D68" s="215"/>
      <c r="Z68" s="206" t="s">
        <v>536</v>
      </c>
      <c r="AB68" s="206" t="s">
        <v>852</v>
      </c>
    </row>
    <row r="69" spans="1:28" ht="13.2" x14ac:dyDescent="0.25">
      <c r="A69" s="215"/>
      <c r="B69" s="220" t="s">
        <v>799</v>
      </c>
      <c r="C69" s="223" t="s">
        <v>1149</v>
      </c>
      <c r="D69" s="215"/>
      <c r="AB69" s="206" t="s">
        <v>898</v>
      </c>
    </row>
    <row r="70" spans="1:28" ht="13.2" x14ac:dyDescent="0.25">
      <c r="A70" s="215"/>
      <c r="B70" s="220" t="s">
        <v>614</v>
      </c>
      <c r="C70" s="223" t="s">
        <v>1149</v>
      </c>
      <c r="D70" s="215"/>
      <c r="AB70" s="206" t="s">
        <v>899</v>
      </c>
    </row>
    <row r="71" spans="1:28" ht="13.2" x14ac:dyDescent="0.25">
      <c r="A71" s="215"/>
      <c r="B71" s="220" t="s">
        <v>615</v>
      </c>
      <c r="C71" s="223" t="s">
        <v>1149</v>
      </c>
      <c r="D71" s="215"/>
      <c r="AB71" s="206" t="s">
        <v>900</v>
      </c>
    </row>
    <row r="72" spans="1:28" ht="13.2" x14ac:dyDescent="0.25">
      <c r="A72" s="215"/>
      <c r="B72" s="220" t="s">
        <v>616</v>
      </c>
      <c r="C72" s="223" t="s">
        <v>1149</v>
      </c>
      <c r="D72" s="215"/>
      <c r="AB72" s="206" t="s">
        <v>852</v>
      </c>
    </row>
    <row r="73" spans="1:28" ht="13.2" x14ac:dyDescent="0.25">
      <c r="A73" s="215"/>
      <c r="B73" s="220" t="s">
        <v>561</v>
      </c>
      <c r="C73" s="223" t="s">
        <v>1149</v>
      </c>
      <c r="D73" s="215"/>
      <c r="AB73" s="206" t="s">
        <v>903</v>
      </c>
    </row>
    <row r="74" spans="1:28" ht="13.2" x14ac:dyDescent="0.25">
      <c r="A74" s="215"/>
      <c r="B74" s="220" t="s">
        <v>617</v>
      </c>
      <c r="C74" s="223" t="s">
        <v>1149</v>
      </c>
      <c r="D74" s="215"/>
      <c r="AB74" s="206" t="s">
        <v>904</v>
      </c>
    </row>
    <row r="75" spans="1:28" ht="13.2" x14ac:dyDescent="0.25">
      <c r="A75" s="215"/>
      <c r="B75" s="220" t="s">
        <v>618</v>
      </c>
      <c r="C75" s="223" t="s">
        <v>1149</v>
      </c>
      <c r="D75" s="215"/>
      <c r="AB75" s="206" t="s">
        <v>905</v>
      </c>
    </row>
    <row r="76" spans="1:28" ht="13.2" x14ac:dyDescent="0.25">
      <c r="A76" s="215"/>
      <c r="B76" s="220" t="s">
        <v>619</v>
      </c>
      <c r="C76" s="223" t="s">
        <v>1149</v>
      </c>
      <c r="D76" s="215"/>
      <c r="AB76" s="206" t="s">
        <v>906</v>
      </c>
    </row>
    <row r="77" spans="1:28" ht="13.2" x14ac:dyDescent="0.25">
      <c r="A77" s="215"/>
      <c r="B77" s="220" t="s">
        <v>620</v>
      </c>
      <c r="C77" s="223" t="s">
        <v>1149</v>
      </c>
      <c r="D77" s="215"/>
      <c r="AB77" s="206" t="s">
        <v>907</v>
      </c>
    </row>
    <row r="78" spans="1:28" ht="13.2" x14ac:dyDescent="0.25">
      <c r="A78" s="215"/>
      <c r="B78" s="220" t="s">
        <v>621</v>
      </c>
      <c r="C78" s="223" t="s">
        <v>1149</v>
      </c>
      <c r="D78" s="215"/>
      <c r="AB78" s="206" t="s">
        <v>908</v>
      </c>
    </row>
    <row r="79" spans="1:28" ht="13.2" x14ac:dyDescent="0.25">
      <c r="A79" s="215"/>
      <c r="B79" s="220" t="s">
        <v>562</v>
      </c>
      <c r="C79" s="223" t="s">
        <v>1149</v>
      </c>
      <c r="D79" s="215"/>
      <c r="AB79" s="206" t="s">
        <v>909</v>
      </c>
    </row>
    <row r="80" spans="1:28" ht="13.2" x14ac:dyDescent="0.25">
      <c r="A80" s="215"/>
      <c r="B80" s="220" t="s">
        <v>622</v>
      </c>
      <c r="C80" s="223" t="s">
        <v>1149</v>
      </c>
      <c r="D80" s="215"/>
      <c r="AB80" s="206" t="s">
        <v>910</v>
      </c>
    </row>
    <row r="81" spans="1:28" ht="13.2" x14ac:dyDescent="0.25">
      <c r="A81" s="215"/>
      <c r="B81" s="220" t="s">
        <v>623</v>
      </c>
      <c r="C81" s="223" t="s">
        <v>1149</v>
      </c>
      <c r="D81" s="215"/>
      <c r="AB81" s="206" t="s">
        <v>911</v>
      </c>
    </row>
    <row r="82" spans="1:28" ht="13.2" x14ac:dyDescent="0.25">
      <c r="A82" s="215"/>
      <c r="B82" s="220" t="s">
        <v>624</v>
      </c>
      <c r="C82" s="223" t="s">
        <v>1149</v>
      </c>
      <c r="D82" s="215"/>
      <c r="AB82" s="206" t="s">
        <v>88</v>
      </c>
    </row>
    <row r="83" spans="1:28" ht="13.2" x14ac:dyDescent="0.25">
      <c r="A83" s="215"/>
      <c r="B83" s="220" t="s">
        <v>625</v>
      </c>
      <c r="C83" s="223" t="s">
        <v>1149</v>
      </c>
      <c r="D83" s="215"/>
      <c r="AB83" s="206" t="s">
        <v>912</v>
      </c>
    </row>
    <row r="84" spans="1:28" ht="13.2" x14ac:dyDescent="0.25">
      <c r="A84" s="215"/>
      <c r="B84" s="220" t="s">
        <v>626</v>
      </c>
      <c r="C84" s="223" t="s">
        <v>1149</v>
      </c>
      <c r="D84" s="215"/>
      <c r="AB84" s="206" t="s">
        <v>913</v>
      </c>
    </row>
    <row r="85" spans="1:28" ht="13.2" x14ac:dyDescent="0.25">
      <c r="A85" s="215"/>
      <c r="B85" s="220" t="s">
        <v>800</v>
      </c>
      <c r="C85" s="223" t="s">
        <v>1149</v>
      </c>
      <c r="D85" s="215"/>
      <c r="AB85" s="206" t="s">
        <v>1150</v>
      </c>
    </row>
    <row r="86" spans="1:28" ht="13.2" x14ac:dyDescent="0.25">
      <c r="A86" s="215"/>
      <c r="B86" s="220" t="s">
        <v>563</v>
      </c>
      <c r="C86" s="223" t="s">
        <v>1149</v>
      </c>
      <c r="D86" s="215"/>
      <c r="AB86" s="206" t="s">
        <v>914</v>
      </c>
    </row>
    <row r="87" spans="1:28" ht="13.2" x14ac:dyDescent="0.25">
      <c r="A87" s="215"/>
      <c r="B87" s="220" t="s">
        <v>627</v>
      </c>
      <c r="C87" s="223" t="s">
        <v>1149</v>
      </c>
      <c r="D87" s="215"/>
      <c r="AB87" s="206" t="s">
        <v>915</v>
      </c>
    </row>
    <row r="88" spans="1:28" ht="13.2" x14ac:dyDescent="0.25">
      <c r="A88" s="215"/>
      <c r="B88" s="220" t="s">
        <v>628</v>
      </c>
      <c r="C88" s="223" t="s">
        <v>1149</v>
      </c>
      <c r="D88" s="215"/>
      <c r="AB88" s="206" t="s">
        <v>916</v>
      </c>
    </row>
    <row r="89" spans="1:28" ht="13.2" x14ac:dyDescent="0.25">
      <c r="A89" s="215"/>
      <c r="B89" s="220" t="s">
        <v>629</v>
      </c>
      <c r="C89" s="223" t="s">
        <v>1149</v>
      </c>
      <c r="D89" s="215"/>
      <c r="AB89" s="206" t="s">
        <v>11</v>
      </c>
    </row>
    <row r="90" spans="1:28" ht="13.2" x14ac:dyDescent="0.25">
      <c r="A90" s="215"/>
      <c r="B90" s="220" t="s">
        <v>630</v>
      </c>
      <c r="C90" s="223" t="s">
        <v>1149</v>
      </c>
      <c r="D90" s="215"/>
      <c r="AB90" s="206" t="s">
        <v>917</v>
      </c>
    </row>
    <row r="91" spans="1:28" ht="13.2" x14ac:dyDescent="0.25">
      <c r="A91" s="215"/>
      <c r="B91" s="220" t="s">
        <v>564</v>
      </c>
      <c r="C91" s="223" t="s">
        <v>1149</v>
      </c>
      <c r="D91" s="215"/>
      <c r="AB91" s="206" t="s">
        <v>10</v>
      </c>
    </row>
    <row r="92" spans="1:28" ht="13.2" x14ac:dyDescent="0.25">
      <c r="A92" s="215"/>
      <c r="B92" s="220" t="s">
        <v>976</v>
      </c>
      <c r="C92" s="223" t="s">
        <v>1151</v>
      </c>
      <c r="D92" s="215"/>
      <c r="AB92" s="206" t="s">
        <v>918</v>
      </c>
    </row>
    <row r="93" spans="1:28" ht="13.2" x14ac:dyDescent="0.25">
      <c r="A93" s="215"/>
      <c r="B93" s="220" t="s">
        <v>801</v>
      </c>
      <c r="C93" s="223" t="s">
        <v>1151</v>
      </c>
      <c r="D93" s="215"/>
      <c r="AB93" s="206" t="s">
        <v>919</v>
      </c>
    </row>
    <row r="94" spans="1:28" ht="13.2" x14ac:dyDescent="0.25">
      <c r="A94" s="215"/>
      <c r="B94" s="220" t="s">
        <v>802</v>
      </c>
      <c r="C94" s="223" t="s">
        <v>1151</v>
      </c>
      <c r="D94" s="215"/>
      <c r="AB94" s="206" t="s">
        <v>852</v>
      </c>
    </row>
    <row r="95" spans="1:28" ht="13.2" x14ac:dyDescent="0.25">
      <c r="A95" s="215"/>
      <c r="B95" s="220" t="s">
        <v>631</v>
      </c>
      <c r="C95" s="223" t="s">
        <v>1151</v>
      </c>
      <c r="D95" s="215"/>
      <c r="AB95" s="206" t="s">
        <v>921</v>
      </c>
    </row>
    <row r="96" spans="1:28" ht="13.2" x14ac:dyDescent="0.25">
      <c r="A96" s="215"/>
      <c r="B96" s="220" t="s">
        <v>632</v>
      </c>
      <c r="C96" s="223" t="s">
        <v>1151</v>
      </c>
      <c r="D96" s="215"/>
      <c r="AB96" s="206" t="s">
        <v>922</v>
      </c>
    </row>
    <row r="97" spans="1:28" ht="13.2" x14ac:dyDescent="0.25">
      <c r="A97" s="215"/>
      <c r="B97" s="220" t="s">
        <v>633</v>
      </c>
      <c r="C97" s="223" t="s">
        <v>1151</v>
      </c>
      <c r="D97" s="215"/>
      <c r="AB97" s="206" t="s">
        <v>852</v>
      </c>
    </row>
    <row r="98" spans="1:28" ht="13.2" x14ac:dyDescent="0.25">
      <c r="A98" s="215"/>
      <c r="B98" s="220" t="s">
        <v>585</v>
      </c>
      <c r="C98" s="223" t="s">
        <v>1151</v>
      </c>
      <c r="D98" s="215"/>
      <c r="AB98" s="206" t="s">
        <v>923</v>
      </c>
    </row>
    <row r="99" spans="1:28" ht="13.2" x14ac:dyDescent="0.25">
      <c r="A99" s="215"/>
      <c r="B99" s="220" t="s">
        <v>634</v>
      </c>
      <c r="C99" s="223" t="s">
        <v>1151</v>
      </c>
      <c r="D99" s="215"/>
      <c r="AB99" s="206" t="s">
        <v>924</v>
      </c>
    </row>
    <row r="100" spans="1:28" ht="13.2" x14ac:dyDescent="0.25">
      <c r="A100" s="215"/>
      <c r="B100" s="220" t="s">
        <v>786</v>
      </c>
      <c r="C100" s="223" t="s">
        <v>1151</v>
      </c>
      <c r="D100" s="215"/>
      <c r="AB100" s="206" t="s">
        <v>925</v>
      </c>
    </row>
    <row r="101" spans="1:28" ht="13.2" x14ac:dyDescent="0.25">
      <c r="A101" s="215"/>
      <c r="B101" s="225" t="s">
        <v>977</v>
      </c>
      <c r="C101" s="223" t="s">
        <v>1151</v>
      </c>
      <c r="D101" s="215"/>
      <c r="AB101" s="206" t="s">
        <v>926</v>
      </c>
    </row>
    <row r="102" spans="1:28" ht="13.2" x14ac:dyDescent="0.25">
      <c r="A102" s="215"/>
      <c r="B102" s="220" t="s">
        <v>587</v>
      </c>
      <c r="C102" s="223" t="s">
        <v>1151</v>
      </c>
      <c r="D102" s="215"/>
      <c r="AB102" s="206" t="s">
        <v>927</v>
      </c>
    </row>
    <row r="103" spans="1:28" ht="13.2" x14ac:dyDescent="0.25">
      <c r="A103" s="215"/>
      <c r="B103" s="220" t="s">
        <v>803</v>
      </c>
      <c r="C103" s="223" t="s">
        <v>1152</v>
      </c>
      <c r="D103" s="215"/>
      <c r="AB103" s="206" t="s">
        <v>929</v>
      </c>
    </row>
    <row r="104" spans="1:28" ht="13.2" x14ac:dyDescent="0.25">
      <c r="A104" s="215"/>
      <c r="B104" s="220" t="s">
        <v>635</v>
      </c>
      <c r="C104" s="223" t="s">
        <v>1152</v>
      </c>
      <c r="D104" s="215"/>
      <c r="AB104" s="206" t="s">
        <v>930</v>
      </c>
    </row>
    <row r="105" spans="1:28" ht="13.2" x14ac:dyDescent="0.25">
      <c r="A105" s="215"/>
      <c r="B105" s="220" t="s">
        <v>636</v>
      </c>
      <c r="C105" s="221" t="s">
        <v>1152</v>
      </c>
      <c r="D105" s="215"/>
      <c r="AB105" s="206" t="s">
        <v>933</v>
      </c>
    </row>
    <row r="106" spans="1:28" ht="13.2" x14ac:dyDescent="0.25">
      <c r="A106" s="215"/>
      <c r="B106" s="220" t="s">
        <v>637</v>
      </c>
      <c r="C106" s="221" t="s">
        <v>1152</v>
      </c>
      <c r="D106" s="215"/>
      <c r="AB106" s="206" t="s">
        <v>934</v>
      </c>
    </row>
    <row r="107" spans="1:28" ht="13.2" x14ac:dyDescent="0.25">
      <c r="A107" s="215"/>
      <c r="B107" s="220" t="s">
        <v>843</v>
      </c>
      <c r="C107" s="221" t="s">
        <v>1152</v>
      </c>
      <c r="D107" s="215"/>
      <c r="AB107" s="206" t="s">
        <v>935</v>
      </c>
    </row>
    <row r="108" spans="1:28" ht="13.2" x14ac:dyDescent="0.25">
      <c r="A108" s="215"/>
      <c r="B108" s="220" t="s">
        <v>565</v>
      </c>
      <c r="C108" s="221" t="s">
        <v>1152</v>
      </c>
      <c r="D108" s="215"/>
      <c r="AB108" s="206" t="s">
        <v>936</v>
      </c>
    </row>
    <row r="109" spans="1:28" ht="13.2" x14ac:dyDescent="0.25">
      <c r="A109" s="215"/>
      <c r="B109" s="220" t="s">
        <v>638</v>
      </c>
      <c r="C109" s="221" t="s">
        <v>1152</v>
      </c>
      <c r="D109" s="215"/>
      <c r="AB109" s="206" t="s">
        <v>937</v>
      </c>
    </row>
    <row r="110" spans="1:28" ht="13.2" x14ac:dyDescent="0.25">
      <c r="A110" s="215"/>
      <c r="B110" s="220" t="s">
        <v>639</v>
      </c>
      <c r="C110" s="221" t="s">
        <v>1152</v>
      </c>
      <c r="D110" s="215"/>
      <c r="AB110" s="206" t="s">
        <v>938</v>
      </c>
    </row>
    <row r="111" spans="1:28" ht="13.2" x14ac:dyDescent="0.25">
      <c r="A111" s="215"/>
      <c r="B111" s="220" t="s">
        <v>640</v>
      </c>
      <c r="C111" s="221" t="s">
        <v>1152</v>
      </c>
      <c r="D111" s="215"/>
      <c r="AB111" s="206" t="s">
        <v>939</v>
      </c>
    </row>
    <row r="112" spans="1:28" ht="13.2" x14ac:dyDescent="0.25">
      <c r="A112" s="215"/>
      <c r="B112" s="220" t="s">
        <v>641</v>
      </c>
      <c r="C112" s="221" t="s">
        <v>1152</v>
      </c>
      <c r="D112" s="215"/>
      <c r="AB112" s="206" t="s">
        <v>940</v>
      </c>
    </row>
    <row r="113" spans="1:28" ht="13.2" x14ac:dyDescent="0.25">
      <c r="A113" s="215"/>
      <c r="B113" s="220" t="s">
        <v>642</v>
      </c>
      <c r="C113" s="221" t="s">
        <v>1152</v>
      </c>
      <c r="D113" s="215"/>
      <c r="AB113" s="206" t="s">
        <v>941</v>
      </c>
    </row>
    <row r="114" spans="1:28" ht="13.2" x14ac:dyDescent="0.25">
      <c r="A114" s="215"/>
      <c r="B114" s="220" t="s">
        <v>643</v>
      </c>
      <c r="C114" s="221" t="s">
        <v>1152</v>
      </c>
      <c r="D114" s="215"/>
      <c r="AB114" s="206" t="s">
        <v>942</v>
      </c>
    </row>
    <row r="115" spans="1:28" ht="13.2" x14ac:dyDescent="0.25">
      <c r="A115" s="215"/>
      <c r="B115" s="220" t="s">
        <v>644</v>
      </c>
      <c r="C115" s="221" t="s">
        <v>1152</v>
      </c>
      <c r="D115" s="215"/>
      <c r="AB115" s="206" t="s">
        <v>852</v>
      </c>
    </row>
    <row r="116" spans="1:28" ht="13.2" x14ac:dyDescent="0.25">
      <c r="A116" s="215"/>
      <c r="B116" s="220" t="s">
        <v>566</v>
      </c>
      <c r="C116" s="221" t="s">
        <v>1152</v>
      </c>
      <c r="D116" s="215"/>
      <c r="AB116" s="206" t="s">
        <v>944</v>
      </c>
    </row>
    <row r="117" spans="1:28" ht="13.2" x14ac:dyDescent="0.25">
      <c r="A117" s="215"/>
      <c r="B117" s="220" t="s">
        <v>645</v>
      </c>
      <c r="C117" s="221" t="s">
        <v>1152</v>
      </c>
      <c r="D117" s="215"/>
      <c r="AB117" s="206" t="s">
        <v>945</v>
      </c>
    </row>
    <row r="118" spans="1:28" ht="13.2" x14ac:dyDescent="0.25">
      <c r="A118" s="215"/>
      <c r="B118" s="225" t="s">
        <v>838</v>
      </c>
      <c r="C118" s="221" t="s">
        <v>1152</v>
      </c>
      <c r="D118" s="215"/>
      <c r="AB118" s="206" t="s">
        <v>852</v>
      </c>
    </row>
    <row r="119" spans="1:28" ht="13.2" x14ac:dyDescent="0.25">
      <c r="A119" s="215"/>
      <c r="B119" s="225" t="s">
        <v>839</v>
      </c>
      <c r="C119" s="221" t="s">
        <v>1152</v>
      </c>
      <c r="D119" s="215"/>
      <c r="AB119" s="206" t="s">
        <v>950</v>
      </c>
    </row>
    <row r="120" spans="1:28" ht="13.2" x14ac:dyDescent="0.25">
      <c r="A120" s="215"/>
      <c r="B120" s="220" t="s">
        <v>567</v>
      </c>
      <c r="C120" s="221" t="s">
        <v>1152</v>
      </c>
      <c r="D120" s="215"/>
      <c r="AB120" s="206" t="s">
        <v>951</v>
      </c>
    </row>
    <row r="121" spans="1:28" ht="13.2" x14ac:dyDescent="0.25">
      <c r="A121" s="215"/>
      <c r="B121" s="220" t="s">
        <v>646</v>
      </c>
      <c r="C121" s="221" t="s">
        <v>1152</v>
      </c>
      <c r="D121" s="215"/>
      <c r="AB121" s="206" t="s">
        <v>952</v>
      </c>
    </row>
    <row r="122" spans="1:28" ht="13.2" x14ac:dyDescent="0.25">
      <c r="A122" s="215"/>
      <c r="B122" s="220" t="s">
        <v>647</v>
      </c>
      <c r="C122" s="221" t="s">
        <v>1152</v>
      </c>
      <c r="D122" s="215"/>
      <c r="AB122" s="206" t="s">
        <v>953</v>
      </c>
    </row>
    <row r="123" spans="1:28" ht="13.2" x14ac:dyDescent="0.25">
      <c r="A123" s="215"/>
      <c r="B123" s="220" t="s">
        <v>648</v>
      </c>
      <c r="C123" s="221" t="s">
        <v>1152</v>
      </c>
      <c r="D123" s="215"/>
      <c r="AB123" s="206" t="s">
        <v>954</v>
      </c>
    </row>
    <row r="124" spans="1:28" ht="13.2" x14ac:dyDescent="0.25">
      <c r="A124" s="215"/>
      <c r="B124" s="220" t="s">
        <v>649</v>
      </c>
      <c r="C124" s="221" t="s">
        <v>1152</v>
      </c>
      <c r="D124" s="215"/>
      <c r="AB124" s="206" t="s">
        <v>955</v>
      </c>
    </row>
    <row r="125" spans="1:28" ht="13.2" x14ac:dyDescent="0.25">
      <c r="A125" s="215"/>
      <c r="B125" s="220" t="s">
        <v>568</v>
      </c>
      <c r="C125" s="223" t="s">
        <v>1152</v>
      </c>
      <c r="D125" s="215"/>
    </row>
    <row r="126" spans="1:28" ht="13.2" x14ac:dyDescent="0.25">
      <c r="A126" s="215"/>
      <c r="B126" s="220" t="s">
        <v>650</v>
      </c>
      <c r="C126" s="223" t="s">
        <v>1152</v>
      </c>
      <c r="D126" s="215"/>
    </row>
    <row r="127" spans="1:28" ht="13.2" x14ac:dyDescent="0.25">
      <c r="A127" s="215"/>
      <c r="B127" s="220" t="s">
        <v>978</v>
      </c>
      <c r="C127" s="223" t="s">
        <v>1152</v>
      </c>
      <c r="D127" s="215"/>
    </row>
    <row r="128" spans="1:28" ht="13.2" x14ac:dyDescent="0.25">
      <c r="A128" s="215"/>
      <c r="B128" s="220" t="s">
        <v>651</v>
      </c>
      <c r="C128" s="223" t="s">
        <v>1152</v>
      </c>
      <c r="D128" s="215"/>
    </row>
    <row r="129" spans="1:4" ht="13.2" x14ac:dyDescent="0.25">
      <c r="A129" s="215"/>
      <c r="B129" s="220" t="s">
        <v>569</v>
      </c>
      <c r="C129" s="223" t="s">
        <v>1152</v>
      </c>
      <c r="D129" s="215"/>
    </row>
    <row r="130" spans="1:4" ht="13.2" x14ac:dyDescent="0.25">
      <c r="A130" s="215"/>
      <c r="B130" s="220" t="s">
        <v>652</v>
      </c>
      <c r="C130" s="223" t="s">
        <v>1152</v>
      </c>
      <c r="D130" s="215"/>
    </row>
    <row r="131" spans="1:4" ht="13.2" x14ac:dyDescent="0.25">
      <c r="A131" s="215"/>
      <c r="B131" s="220" t="s">
        <v>653</v>
      </c>
      <c r="C131" s="223" t="s">
        <v>1152</v>
      </c>
      <c r="D131" s="215"/>
    </row>
    <row r="132" spans="1:4" ht="13.2" x14ac:dyDescent="0.25">
      <c r="A132" s="215"/>
      <c r="B132" s="220" t="s">
        <v>654</v>
      </c>
      <c r="C132" s="223" t="s">
        <v>1152</v>
      </c>
      <c r="D132" s="215"/>
    </row>
    <row r="133" spans="1:4" ht="13.2" x14ac:dyDescent="0.25">
      <c r="A133" s="215"/>
      <c r="B133" s="220" t="s">
        <v>655</v>
      </c>
      <c r="C133" s="223" t="s">
        <v>1152</v>
      </c>
      <c r="D133" s="215"/>
    </row>
    <row r="134" spans="1:4" ht="13.2" x14ac:dyDescent="0.25">
      <c r="A134" s="215"/>
      <c r="B134" s="220" t="s">
        <v>656</v>
      </c>
      <c r="C134" s="223" t="s">
        <v>1152</v>
      </c>
      <c r="D134" s="215"/>
    </row>
    <row r="135" spans="1:4" ht="13.2" x14ac:dyDescent="0.25">
      <c r="A135" s="215"/>
      <c r="B135" s="220" t="s">
        <v>570</v>
      </c>
      <c r="C135" s="224" t="s">
        <v>1152</v>
      </c>
      <c r="D135" s="215"/>
    </row>
    <row r="136" spans="1:4" ht="13.2" x14ac:dyDescent="0.25">
      <c r="A136" s="215"/>
      <c r="B136" s="220" t="s">
        <v>657</v>
      </c>
      <c r="C136" s="224" t="s">
        <v>1152</v>
      </c>
      <c r="D136" s="215"/>
    </row>
    <row r="137" spans="1:4" ht="13.2" x14ac:dyDescent="0.25">
      <c r="A137" s="215"/>
      <c r="B137" s="220" t="s">
        <v>658</v>
      </c>
      <c r="C137" s="224" t="s">
        <v>1152</v>
      </c>
      <c r="D137" s="215"/>
    </row>
    <row r="138" spans="1:4" ht="13.2" x14ac:dyDescent="0.25">
      <c r="A138" s="215"/>
      <c r="B138" s="220" t="s">
        <v>659</v>
      </c>
      <c r="C138" s="224" t="s">
        <v>1152</v>
      </c>
      <c r="D138" s="215"/>
    </row>
    <row r="139" spans="1:4" ht="13.2" x14ac:dyDescent="0.25">
      <c r="A139" s="215"/>
      <c r="B139" s="225" t="s">
        <v>979</v>
      </c>
      <c r="C139" s="224" t="s">
        <v>1152</v>
      </c>
      <c r="D139" s="215"/>
    </row>
    <row r="140" spans="1:4" ht="13.2" x14ac:dyDescent="0.25">
      <c r="A140" s="215"/>
      <c r="B140" s="220" t="s">
        <v>571</v>
      </c>
      <c r="C140" s="224" t="s">
        <v>1152</v>
      </c>
      <c r="D140" s="215"/>
    </row>
    <row r="141" spans="1:4" ht="13.2" x14ac:dyDescent="0.25">
      <c r="A141" s="215"/>
      <c r="B141" s="220" t="s">
        <v>787</v>
      </c>
      <c r="C141" s="224" t="s">
        <v>1152</v>
      </c>
      <c r="D141" s="215"/>
    </row>
    <row r="142" spans="1:4" ht="13.2" x14ac:dyDescent="0.25">
      <c r="A142" s="215"/>
      <c r="B142" s="220" t="s">
        <v>660</v>
      </c>
      <c r="C142" s="224" t="s">
        <v>1152</v>
      </c>
      <c r="D142" s="215"/>
    </row>
    <row r="143" spans="1:4" ht="13.2" x14ac:dyDescent="0.25">
      <c r="A143" s="215"/>
      <c r="B143" s="220" t="s">
        <v>788</v>
      </c>
      <c r="C143" s="224" t="s">
        <v>1152</v>
      </c>
      <c r="D143" s="215"/>
    </row>
    <row r="144" spans="1:4" ht="13.2" x14ac:dyDescent="0.25">
      <c r="A144" s="215"/>
      <c r="B144" s="220" t="s">
        <v>661</v>
      </c>
      <c r="C144" s="224" t="s">
        <v>1152</v>
      </c>
      <c r="D144" s="215"/>
    </row>
    <row r="145" spans="1:4" ht="13.2" x14ac:dyDescent="0.25">
      <c r="A145" s="215"/>
      <c r="B145" s="220" t="s">
        <v>662</v>
      </c>
      <c r="C145" s="224" t="s">
        <v>1152</v>
      </c>
      <c r="D145" s="215"/>
    </row>
    <row r="146" spans="1:4" ht="13.2" x14ac:dyDescent="0.25">
      <c r="A146" s="215"/>
      <c r="B146" s="220" t="s">
        <v>840</v>
      </c>
      <c r="C146" s="224" t="s">
        <v>1152</v>
      </c>
      <c r="D146" s="215"/>
    </row>
    <row r="147" spans="1:4" ht="13.2" x14ac:dyDescent="0.25">
      <c r="A147" s="215"/>
      <c r="B147" s="220" t="s">
        <v>663</v>
      </c>
      <c r="C147" s="224" t="s">
        <v>1152</v>
      </c>
      <c r="D147" s="215"/>
    </row>
    <row r="148" spans="1:4" ht="13.2" x14ac:dyDescent="0.25">
      <c r="A148" s="215"/>
      <c r="B148" s="220" t="s">
        <v>664</v>
      </c>
      <c r="C148" s="224" t="s">
        <v>1152</v>
      </c>
      <c r="D148" s="215"/>
    </row>
    <row r="149" spans="1:4" ht="13.2" x14ac:dyDescent="0.25">
      <c r="A149" s="215"/>
      <c r="B149" s="220" t="s">
        <v>665</v>
      </c>
      <c r="C149" s="224" t="s">
        <v>1152</v>
      </c>
      <c r="D149" s="215"/>
    </row>
    <row r="150" spans="1:4" ht="13.2" x14ac:dyDescent="0.25">
      <c r="A150" s="215"/>
      <c r="B150" s="220" t="s">
        <v>666</v>
      </c>
      <c r="C150" s="224" t="s">
        <v>1152</v>
      </c>
      <c r="D150" s="215"/>
    </row>
    <row r="151" spans="1:4" ht="13.2" x14ac:dyDescent="0.25">
      <c r="A151" s="215"/>
      <c r="B151" s="220" t="s">
        <v>572</v>
      </c>
      <c r="C151" s="224" t="s">
        <v>1152</v>
      </c>
      <c r="D151" s="215"/>
    </row>
    <row r="152" spans="1:4" ht="13.2" x14ac:dyDescent="0.25">
      <c r="A152" s="215"/>
      <c r="B152" s="220" t="s">
        <v>667</v>
      </c>
      <c r="C152" s="224" t="s">
        <v>1152</v>
      </c>
      <c r="D152" s="215"/>
    </row>
    <row r="153" spans="1:4" ht="13.2" x14ac:dyDescent="0.25">
      <c r="A153" s="215"/>
      <c r="B153" s="220" t="s">
        <v>668</v>
      </c>
      <c r="C153" s="224" t="s">
        <v>1152</v>
      </c>
      <c r="D153" s="215"/>
    </row>
    <row r="154" spans="1:4" ht="13.2" x14ac:dyDescent="0.25">
      <c r="A154" s="215"/>
      <c r="B154" s="220" t="s">
        <v>669</v>
      </c>
      <c r="C154" s="224" t="s">
        <v>1152</v>
      </c>
      <c r="D154" s="215"/>
    </row>
    <row r="155" spans="1:4" ht="13.2" x14ac:dyDescent="0.25">
      <c r="A155" s="215"/>
      <c r="B155" s="225" t="s">
        <v>841</v>
      </c>
      <c r="C155" s="224" t="s">
        <v>1152</v>
      </c>
      <c r="D155" s="215"/>
    </row>
    <row r="156" spans="1:4" ht="13.2" x14ac:dyDescent="0.25">
      <c r="A156" s="215"/>
      <c r="B156" s="220" t="s">
        <v>804</v>
      </c>
      <c r="C156" s="224" t="s">
        <v>1152</v>
      </c>
      <c r="D156" s="215"/>
    </row>
    <row r="157" spans="1:4" ht="13.2" x14ac:dyDescent="0.25">
      <c r="A157" s="215"/>
      <c r="B157" s="220" t="s">
        <v>670</v>
      </c>
      <c r="C157" s="224" t="s">
        <v>1153</v>
      </c>
      <c r="D157" s="215"/>
    </row>
    <row r="158" spans="1:4" ht="13.2" x14ac:dyDescent="0.25">
      <c r="A158" s="215"/>
      <c r="B158" s="220" t="s">
        <v>671</v>
      </c>
      <c r="C158" s="224" t="s">
        <v>1153</v>
      </c>
      <c r="D158" s="215"/>
    </row>
    <row r="159" spans="1:4" ht="13.2" x14ac:dyDescent="0.25">
      <c r="A159" s="215"/>
      <c r="B159" s="220" t="s">
        <v>672</v>
      </c>
      <c r="C159" s="224" t="s">
        <v>1153</v>
      </c>
      <c r="D159" s="215"/>
    </row>
    <row r="160" spans="1:4" ht="13.2" x14ac:dyDescent="0.25">
      <c r="A160" s="215"/>
      <c r="B160" s="220" t="s">
        <v>673</v>
      </c>
      <c r="C160" s="224" t="s">
        <v>1153</v>
      </c>
      <c r="D160" s="215"/>
    </row>
    <row r="161" spans="1:4" ht="13.2" x14ac:dyDescent="0.25">
      <c r="A161" s="215"/>
      <c r="B161" s="220" t="s">
        <v>674</v>
      </c>
      <c r="C161" s="224" t="s">
        <v>1153</v>
      </c>
      <c r="D161" s="215"/>
    </row>
    <row r="162" spans="1:4" ht="13.2" x14ac:dyDescent="0.25">
      <c r="A162" s="215"/>
      <c r="B162" s="220" t="s">
        <v>577</v>
      </c>
      <c r="C162" s="224" t="s">
        <v>1153</v>
      </c>
      <c r="D162" s="215"/>
    </row>
    <row r="163" spans="1:4" ht="13.2" x14ac:dyDescent="0.25">
      <c r="A163" s="215"/>
      <c r="B163" s="220" t="s">
        <v>675</v>
      </c>
      <c r="C163" s="224" t="s">
        <v>1153</v>
      </c>
      <c r="D163" s="215"/>
    </row>
    <row r="164" spans="1:4" ht="13.2" x14ac:dyDescent="0.25">
      <c r="A164" s="215"/>
      <c r="B164" s="220" t="s">
        <v>676</v>
      </c>
      <c r="C164" s="224" t="s">
        <v>1153</v>
      </c>
      <c r="D164" s="215"/>
    </row>
    <row r="165" spans="1:4" ht="13.2" x14ac:dyDescent="0.25">
      <c r="A165" s="215"/>
      <c r="B165" s="220" t="s">
        <v>677</v>
      </c>
      <c r="C165" s="224" t="s">
        <v>1153</v>
      </c>
      <c r="D165" s="215"/>
    </row>
    <row r="166" spans="1:4" ht="13.2" x14ac:dyDescent="0.25">
      <c r="A166" s="215"/>
      <c r="B166" s="225" t="s">
        <v>980</v>
      </c>
      <c r="C166" s="224" t="s">
        <v>1153</v>
      </c>
      <c r="D166" s="215"/>
    </row>
    <row r="167" spans="1:4" ht="13.2" x14ac:dyDescent="0.25">
      <c r="A167" s="215"/>
      <c r="B167" s="220" t="s">
        <v>578</v>
      </c>
      <c r="C167" s="224" t="s">
        <v>1153</v>
      </c>
      <c r="D167" s="215"/>
    </row>
    <row r="168" spans="1:4" ht="13.2" x14ac:dyDescent="0.25">
      <c r="A168" s="215"/>
      <c r="B168" s="220" t="s">
        <v>678</v>
      </c>
      <c r="C168" s="224" t="s">
        <v>1153</v>
      </c>
      <c r="D168" s="215"/>
    </row>
    <row r="169" spans="1:4" ht="13.2" x14ac:dyDescent="0.25">
      <c r="A169" s="215"/>
      <c r="B169" s="220" t="s">
        <v>679</v>
      </c>
      <c r="C169" s="224" t="s">
        <v>1153</v>
      </c>
      <c r="D169" s="215"/>
    </row>
    <row r="170" spans="1:4" ht="13.2" x14ac:dyDescent="0.25">
      <c r="A170" s="215"/>
      <c r="B170" s="220" t="s">
        <v>680</v>
      </c>
      <c r="C170" s="224" t="s">
        <v>1153</v>
      </c>
      <c r="D170" s="215"/>
    </row>
    <row r="171" spans="1:4" ht="13.2" x14ac:dyDescent="0.25">
      <c r="A171" s="215"/>
      <c r="B171" s="220" t="s">
        <v>681</v>
      </c>
      <c r="C171" s="224" t="s">
        <v>1153</v>
      </c>
      <c r="D171" s="215"/>
    </row>
    <row r="172" spans="1:4" ht="13.2" x14ac:dyDescent="0.25">
      <c r="A172" s="215"/>
      <c r="B172" s="220" t="s">
        <v>579</v>
      </c>
      <c r="C172" s="224" t="s">
        <v>1153</v>
      </c>
      <c r="D172" s="215"/>
    </row>
    <row r="173" spans="1:4" ht="13.2" x14ac:dyDescent="0.25">
      <c r="A173" s="215"/>
      <c r="B173" s="220" t="s">
        <v>682</v>
      </c>
      <c r="C173" s="224" t="s">
        <v>1153</v>
      </c>
      <c r="D173" s="215"/>
    </row>
    <row r="174" spans="1:4" ht="13.2" x14ac:dyDescent="0.25">
      <c r="A174" s="215"/>
      <c r="B174" s="220" t="s">
        <v>683</v>
      </c>
      <c r="C174" s="224" t="s">
        <v>1153</v>
      </c>
      <c r="D174" s="215"/>
    </row>
    <row r="175" spans="1:4" ht="13.2" x14ac:dyDescent="0.25">
      <c r="A175" s="215"/>
      <c r="B175" s="220" t="s">
        <v>684</v>
      </c>
      <c r="C175" s="224" t="s">
        <v>1153</v>
      </c>
      <c r="D175" s="215"/>
    </row>
    <row r="176" spans="1:4" ht="13.2" x14ac:dyDescent="0.25">
      <c r="A176" s="215"/>
      <c r="B176" s="220" t="s">
        <v>685</v>
      </c>
      <c r="C176" s="224" t="s">
        <v>1153</v>
      </c>
      <c r="D176" s="215"/>
    </row>
    <row r="177" spans="1:4" ht="13.2" x14ac:dyDescent="0.25">
      <c r="A177" s="215"/>
      <c r="B177" s="225" t="s">
        <v>981</v>
      </c>
      <c r="C177" s="224" t="s">
        <v>1153</v>
      </c>
      <c r="D177" s="215"/>
    </row>
    <row r="178" spans="1:4" ht="13.2" x14ac:dyDescent="0.25">
      <c r="A178" s="215"/>
      <c r="B178" s="220" t="s">
        <v>580</v>
      </c>
      <c r="C178" s="224" t="s">
        <v>1153</v>
      </c>
      <c r="D178" s="215"/>
    </row>
    <row r="179" spans="1:4" ht="13.2" x14ac:dyDescent="0.25">
      <c r="A179" s="215"/>
      <c r="B179" s="220" t="s">
        <v>789</v>
      </c>
      <c r="C179" s="223" t="s">
        <v>1153</v>
      </c>
      <c r="D179" s="215"/>
    </row>
    <row r="180" spans="1:4" ht="13.2" x14ac:dyDescent="0.25">
      <c r="A180" s="215"/>
      <c r="B180" s="220" t="s">
        <v>686</v>
      </c>
      <c r="C180" s="223" t="s">
        <v>1153</v>
      </c>
      <c r="D180" s="215"/>
    </row>
    <row r="181" spans="1:4" ht="13.2" x14ac:dyDescent="0.25">
      <c r="A181" s="215"/>
      <c r="B181" s="220" t="s">
        <v>790</v>
      </c>
      <c r="C181" s="223" t="s">
        <v>1153</v>
      </c>
      <c r="D181" s="215"/>
    </row>
    <row r="182" spans="1:4" ht="13.2" x14ac:dyDescent="0.25">
      <c r="A182" s="215"/>
      <c r="B182" s="225" t="s">
        <v>982</v>
      </c>
      <c r="C182" s="223" t="s">
        <v>1153</v>
      </c>
      <c r="D182" s="215"/>
    </row>
    <row r="183" spans="1:4" ht="13.2" x14ac:dyDescent="0.25">
      <c r="A183" s="215"/>
      <c r="B183" s="220" t="s">
        <v>805</v>
      </c>
      <c r="C183" s="223" t="s">
        <v>1153</v>
      </c>
      <c r="D183" s="215"/>
    </row>
    <row r="184" spans="1:4" ht="13.2" x14ac:dyDescent="0.25">
      <c r="A184" s="215"/>
      <c r="B184" s="220" t="s">
        <v>687</v>
      </c>
      <c r="C184" s="223" t="s">
        <v>1154</v>
      </c>
      <c r="D184" s="215"/>
    </row>
    <row r="185" spans="1:4" ht="13.2" x14ac:dyDescent="0.25">
      <c r="A185" s="215"/>
      <c r="B185" s="220" t="s">
        <v>688</v>
      </c>
      <c r="C185" s="223" t="s">
        <v>1154</v>
      </c>
      <c r="D185" s="215"/>
    </row>
    <row r="186" spans="1:4" ht="13.2" x14ac:dyDescent="0.25">
      <c r="A186" s="215"/>
      <c r="B186" s="220" t="s">
        <v>689</v>
      </c>
      <c r="C186" s="223" t="s">
        <v>1154</v>
      </c>
      <c r="D186" s="215"/>
    </row>
    <row r="187" spans="1:4" ht="13.2" x14ac:dyDescent="0.25">
      <c r="A187" s="215"/>
      <c r="B187" s="220" t="s">
        <v>791</v>
      </c>
      <c r="C187" s="223" t="s">
        <v>1154</v>
      </c>
      <c r="D187" s="215"/>
    </row>
    <row r="188" spans="1:4" ht="13.2" x14ac:dyDescent="0.25">
      <c r="A188" s="215"/>
      <c r="B188" s="220" t="s">
        <v>690</v>
      </c>
      <c r="C188" s="223" t="s">
        <v>1154</v>
      </c>
      <c r="D188" s="215"/>
    </row>
    <row r="189" spans="1:4" ht="13.2" x14ac:dyDescent="0.25">
      <c r="A189" s="215"/>
      <c r="B189" s="220" t="s">
        <v>691</v>
      </c>
      <c r="C189" s="223" t="s">
        <v>1154</v>
      </c>
      <c r="D189" s="215"/>
    </row>
    <row r="190" spans="1:4" ht="13.2" x14ac:dyDescent="0.25">
      <c r="A190" s="215"/>
      <c r="B190" s="220" t="s">
        <v>692</v>
      </c>
      <c r="C190" s="223" t="s">
        <v>1154</v>
      </c>
      <c r="D190" s="215"/>
    </row>
    <row r="191" spans="1:4" ht="13.2" x14ac:dyDescent="0.25">
      <c r="A191" s="215"/>
      <c r="B191" s="220" t="s">
        <v>574</v>
      </c>
      <c r="C191" s="223" t="s">
        <v>1154</v>
      </c>
      <c r="D191" s="215"/>
    </row>
    <row r="192" spans="1:4" ht="13.2" x14ac:dyDescent="0.25">
      <c r="A192" s="215"/>
      <c r="B192" s="220" t="s">
        <v>792</v>
      </c>
      <c r="C192" s="223" t="s">
        <v>1154</v>
      </c>
      <c r="D192" s="215"/>
    </row>
    <row r="193" spans="1:4" ht="13.2" x14ac:dyDescent="0.25">
      <c r="A193" s="215"/>
      <c r="B193" s="220" t="s">
        <v>806</v>
      </c>
      <c r="C193" s="223" t="s">
        <v>1154</v>
      </c>
      <c r="D193" s="215"/>
    </row>
    <row r="194" spans="1:4" ht="13.2" x14ac:dyDescent="0.25">
      <c r="A194" s="215"/>
      <c r="B194" s="220" t="s">
        <v>693</v>
      </c>
      <c r="C194" s="223" t="s">
        <v>1154</v>
      </c>
      <c r="D194" s="215"/>
    </row>
    <row r="195" spans="1:4" ht="13.2" x14ac:dyDescent="0.25">
      <c r="A195" s="215"/>
      <c r="B195" s="220" t="s">
        <v>694</v>
      </c>
      <c r="C195" s="223" t="s">
        <v>1154</v>
      </c>
      <c r="D195" s="215"/>
    </row>
    <row r="196" spans="1:4" ht="13.2" x14ac:dyDescent="0.25">
      <c r="A196" s="215"/>
      <c r="B196" s="220" t="s">
        <v>807</v>
      </c>
      <c r="C196" s="223" t="s">
        <v>1154</v>
      </c>
      <c r="D196" s="215"/>
    </row>
    <row r="197" spans="1:4" ht="13.2" x14ac:dyDescent="0.25">
      <c r="A197" s="215"/>
      <c r="B197" s="220" t="s">
        <v>695</v>
      </c>
      <c r="C197" s="223" t="s">
        <v>1154</v>
      </c>
      <c r="D197" s="215"/>
    </row>
    <row r="198" spans="1:4" ht="13.2" x14ac:dyDescent="0.25">
      <c r="A198" s="215"/>
      <c r="B198" s="220" t="s">
        <v>575</v>
      </c>
      <c r="C198" s="223" t="s">
        <v>1154</v>
      </c>
      <c r="D198" s="215"/>
    </row>
    <row r="199" spans="1:4" ht="13.2" x14ac:dyDescent="0.25">
      <c r="A199" s="215"/>
      <c r="B199" s="220" t="s">
        <v>696</v>
      </c>
      <c r="C199" s="223" t="s">
        <v>1154</v>
      </c>
      <c r="D199" s="215"/>
    </row>
    <row r="200" spans="1:4" ht="13.2" x14ac:dyDescent="0.25">
      <c r="A200" s="215"/>
      <c r="B200" s="220" t="s">
        <v>697</v>
      </c>
      <c r="C200" s="223" t="s">
        <v>1154</v>
      </c>
      <c r="D200" s="215"/>
    </row>
    <row r="201" spans="1:4" ht="13.2" x14ac:dyDescent="0.25">
      <c r="A201" s="215"/>
      <c r="B201" s="220" t="s">
        <v>698</v>
      </c>
      <c r="C201" s="223" t="s">
        <v>1154</v>
      </c>
      <c r="D201" s="215"/>
    </row>
    <row r="202" spans="1:4" ht="13.2" x14ac:dyDescent="0.25">
      <c r="A202" s="215"/>
      <c r="B202" s="225" t="s">
        <v>842</v>
      </c>
      <c r="C202" s="223" t="s">
        <v>1154</v>
      </c>
      <c r="D202" s="215"/>
    </row>
    <row r="203" spans="1:4" ht="13.2" x14ac:dyDescent="0.25">
      <c r="A203" s="215"/>
      <c r="B203" s="220" t="s">
        <v>576</v>
      </c>
      <c r="C203" s="223" t="s">
        <v>1154</v>
      </c>
      <c r="D203" s="215"/>
    </row>
    <row r="204" spans="1:4" ht="13.2" x14ac:dyDescent="0.25">
      <c r="A204" s="215"/>
      <c r="B204" s="220" t="s">
        <v>793</v>
      </c>
      <c r="C204" s="223" t="s">
        <v>1155</v>
      </c>
      <c r="D204" s="215"/>
    </row>
    <row r="205" spans="1:4" ht="13.2" x14ac:dyDescent="0.25">
      <c r="A205" s="215"/>
      <c r="B205" s="220" t="s">
        <v>721</v>
      </c>
      <c r="C205" s="223" t="s">
        <v>1155</v>
      </c>
      <c r="D205" s="215"/>
    </row>
    <row r="206" spans="1:4" ht="13.2" x14ac:dyDescent="0.25">
      <c r="A206" s="215"/>
      <c r="B206" s="220" t="s">
        <v>722</v>
      </c>
      <c r="C206" s="223" t="s">
        <v>1155</v>
      </c>
      <c r="D206" s="215"/>
    </row>
    <row r="207" spans="1:4" ht="13.2" x14ac:dyDescent="0.25">
      <c r="A207" s="215"/>
      <c r="B207" s="220" t="s">
        <v>784</v>
      </c>
      <c r="C207" s="223" t="s">
        <v>1155</v>
      </c>
      <c r="D207" s="215"/>
    </row>
    <row r="208" spans="1:4" ht="13.2" x14ac:dyDescent="0.25">
      <c r="A208" s="215"/>
      <c r="B208" s="220" t="s">
        <v>699</v>
      </c>
      <c r="C208" s="223" t="s">
        <v>1155</v>
      </c>
      <c r="D208" s="215"/>
    </row>
    <row r="209" spans="1:4" ht="13.2" x14ac:dyDescent="0.25">
      <c r="A209" s="215"/>
      <c r="B209" s="220" t="s">
        <v>700</v>
      </c>
      <c r="C209" s="223" t="s">
        <v>1155</v>
      </c>
      <c r="D209" s="215"/>
    </row>
    <row r="210" spans="1:4" ht="13.2" x14ac:dyDescent="0.25">
      <c r="A210" s="215"/>
      <c r="B210" s="220" t="s">
        <v>701</v>
      </c>
      <c r="C210" s="223" t="s">
        <v>1155</v>
      </c>
      <c r="D210" s="215"/>
    </row>
    <row r="211" spans="1:4" ht="13.2" x14ac:dyDescent="0.25">
      <c r="A211" s="215"/>
      <c r="B211" s="220" t="s">
        <v>702</v>
      </c>
      <c r="C211" s="223" t="s">
        <v>1155</v>
      </c>
      <c r="D211" s="215"/>
    </row>
    <row r="212" spans="1:4" ht="13.2" x14ac:dyDescent="0.25">
      <c r="A212" s="215"/>
      <c r="B212" s="220" t="s">
        <v>703</v>
      </c>
      <c r="C212" s="223" t="s">
        <v>1155</v>
      </c>
      <c r="D212" s="215"/>
    </row>
    <row r="213" spans="1:4" ht="13.2" x14ac:dyDescent="0.25">
      <c r="A213" s="215"/>
      <c r="B213" s="220" t="s">
        <v>704</v>
      </c>
      <c r="C213" s="223" t="s">
        <v>1155</v>
      </c>
      <c r="D213" s="215"/>
    </row>
    <row r="214" spans="1:4" ht="13.2" x14ac:dyDescent="0.25">
      <c r="A214" s="215"/>
      <c r="B214" s="220" t="s">
        <v>589</v>
      </c>
      <c r="C214" s="223" t="s">
        <v>1155</v>
      </c>
      <c r="D214" s="215"/>
    </row>
    <row r="215" spans="1:4" ht="13.2" x14ac:dyDescent="0.25">
      <c r="A215" s="215"/>
      <c r="B215" s="220" t="s">
        <v>705</v>
      </c>
      <c r="C215" s="223" t="s">
        <v>1155</v>
      </c>
      <c r="D215" s="215"/>
    </row>
    <row r="216" spans="1:4" ht="13.2" x14ac:dyDescent="0.25">
      <c r="A216" s="215"/>
      <c r="B216" s="220" t="s">
        <v>706</v>
      </c>
      <c r="C216" s="223" t="s">
        <v>1155</v>
      </c>
      <c r="D216" s="215"/>
    </row>
    <row r="217" spans="1:4" ht="13.2" x14ac:dyDescent="0.25">
      <c r="A217" s="215"/>
      <c r="B217" s="220" t="s">
        <v>707</v>
      </c>
      <c r="C217" s="223" t="s">
        <v>1155</v>
      </c>
      <c r="D217" s="215"/>
    </row>
    <row r="218" spans="1:4" ht="13.2" x14ac:dyDescent="0.25">
      <c r="A218" s="215"/>
      <c r="B218" s="220" t="s">
        <v>708</v>
      </c>
      <c r="C218" s="223" t="s">
        <v>1155</v>
      </c>
      <c r="D218" s="215"/>
    </row>
    <row r="219" spans="1:4" ht="13.2" x14ac:dyDescent="0.25">
      <c r="A219" s="215"/>
      <c r="B219" s="220" t="s">
        <v>709</v>
      </c>
      <c r="C219" s="223" t="s">
        <v>1155</v>
      </c>
      <c r="D219" s="215"/>
    </row>
    <row r="220" spans="1:4" ht="13.2" x14ac:dyDescent="0.25">
      <c r="A220" s="215"/>
      <c r="B220" s="220" t="s">
        <v>710</v>
      </c>
      <c r="C220" s="223" t="s">
        <v>1155</v>
      </c>
      <c r="D220" s="215"/>
    </row>
    <row r="221" spans="1:4" ht="13.2" x14ac:dyDescent="0.25">
      <c r="A221" s="215"/>
      <c r="B221" s="220" t="s">
        <v>711</v>
      </c>
      <c r="C221" s="223" t="s">
        <v>1155</v>
      </c>
      <c r="D221" s="215"/>
    </row>
    <row r="222" spans="1:4" ht="13.2" x14ac:dyDescent="0.25">
      <c r="A222" s="215"/>
      <c r="B222" s="220" t="s">
        <v>712</v>
      </c>
      <c r="C222" s="223" t="s">
        <v>1155</v>
      </c>
      <c r="D222" s="215"/>
    </row>
    <row r="223" spans="1:4" ht="13.2" x14ac:dyDescent="0.25">
      <c r="A223" s="215"/>
      <c r="B223" s="220" t="s">
        <v>808</v>
      </c>
      <c r="C223" s="223" t="s">
        <v>1155</v>
      </c>
      <c r="D223" s="215"/>
    </row>
    <row r="224" spans="1:4" ht="13.2" x14ac:dyDescent="0.25">
      <c r="A224" s="215"/>
      <c r="B224" s="220" t="s">
        <v>713</v>
      </c>
      <c r="C224" s="223" t="s">
        <v>1155</v>
      </c>
      <c r="D224" s="215"/>
    </row>
    <row r="225" spans="1:4" ht="13.2" x14ac:dyDescent="0.25">
      <c r="A225" s="215"/>
      <c r="B225" s="220" t="s">
        <v>714</v>
      </c>
      <c r="C225" s="223" t="s">
        <v>1155</v>
      </c>
      <c r="D225" s="215"/>
    </row>
    <row r="226" spans="1:4" ht="13.2" x14ac:dyDescent="0.25">
      <c r="A226" s="215"/>
      <c r="B226" s="220" t="s">
        <v>715</v>
      </c>
      <c r="C226" s="223" t="s">
        <v>1155</v>
      </c>
      <c r="D226" s="215"/>
    </row>
    <row r="227" spans="1:4" ht="13.2" x14ac:dyDescent="0.25">
      <c r="A227" s="215"/>
      <c r="B227" s="220" t="s">
        <v>716</v>
      </c>
      <c r="C227" s="223" t="s">
        <v>1155</v>
      </c>
      <c r="D227" s="215"/>
    </row>
    <row r="228" spans="1:4" ht="13.2" x14ac:dyDescent="0.25">
      <c r="A228" s="215"/>
      <c r="B228" s="225" t="s">
        <v>983</v>
      </c>
      <c r="C228" s="223" t="s">
        <v>1155</v>
      </c>
      <c r="D228" s="215"/>
    </row>
    <row r="229" spans="1:4" ht="13.2" x14ac:dyDescent="0.25">
      <c r="A229" s="215"/>
      <c r="B229" s="220" t="s">
        <v>833</v>
      </c>
      <c r="C229" s="223" t="s">
        <v>1155</v>
      </c>
      <c r="D229" s="215"/>
    </row>
    <row r="230" spans="1:4" ht="13.2" x14ac:dyDescent="0.25">
      <c r="A230" s="215"/>
      <c r="B230" s="220" t="s">
        <v>717</v>
      </c>
      <c r="C230" s="223" t="s">
        <v>1155</v>
      </c>
      <c r="D230" s="215"/>
    </row>
    <row r="231" spans="1:4" ht="13.2" x14ac:dyDescent="0.25">
      <c r="A231" s="215"/>
      <c r="B231" s="220" t="s">
        <v>718</v>
      </c>
      <c r="C231" s="223" t="s">
        <v>1155</v>
      </c>
      <c r="D231" s="215"/>
    </row>
    <row r="232" spans="1:4" ht="13.2" x14ac:dyDescent="0.25">
      <c r="A232" s="215"/>
      <c r="B232" s="220" t="s">
        <v>719</v>
      </c>
      <c r="C232" s="223" t="s">
        <v>1155</v>
      </c>
      <c r="D232" s="215"/>
    </row>
    <row r="233" spans="1:4" ht="13.2" x14ac:dyDescent="0.25">
      <c r="A233" s="215"/>
      <c r="B233" s="220" t="s">
        <v>720</v>
      </c>
      <c r="C233" s="223" t="s">
        <v>1155</v>
      </c>
      <c r="D233" s="215"/>
    </row>
    <row r="234" spans="1:4" ht="13.2" x14ac:dyDescent="0.25">
      <c r="A234" s="215"/>
      <c r="B234" s="220" t="s">
        <v>590</v>
      </c>
      <c r="C234" s="223" t="s">
        <v>1155</v>
      </c>
      <c r="D234" s="215"/>
    </row>
    <row r="235" spans="1:4" ht="13.2" x14ac:dyDescent="0.25">
      <c r="A235" s="215"/>
      <c r="B235" s="220" t="s">
        <v>723</v>
      </c>
      <c r="C235" s="223" t="s">
        <v>1156</v>
      </c>
      <c r="D235" s="215"/>
    </row>
    <row r="236" spans="1:4" ht="13.2" x14ac:dyDescent="0.25">
      <c r="A236" s="215"/>
      <c r="B236" s="220" t="s">
        <v>724</v>
      </c>
      <c r="C236" s="223" t="s">
        <v>1156</v>
      </c>
      <c r="D236" s="215"/>
    </row>
    <row r="237" spans="1:4" ht="13.2" x14ac:dyDescent="0.25">
      <c r="A237" s="215"/>
      <c r="B237" s="220" t="s">
        <v>725</v>
      </c>
      <c r="C237" s="223" t="s">
        <v>1156</v>
      </c>
      <c r="D237" s="215"/>
    </row>
    <row r="238" spans="1:4" ht="13.2" x14ac:dyDescent="0.25">
      <c r="A238" s="215"/>
      <c r="B238" s="220" t="s">
        <v>726</v>
      </c>
      <c r="C238" s="223" t="s">
        <v>1156</v>
      </c>
      <c r="D238" s="215"/>
    </row>
    <row r="239" spans="1:4" ht="13.2" x14ac:dyDescent="0.25">
      <c r="A239" s="215"/>
      <c r="B239" s="220" t="s">
        <v>727</v>
      </c>
      <c r="C239" s="223" t="s">
        <v>1156</v>
      </c>
      <c r="D239" s="215"/>
    </row>
    <row r="240" spans="1:4" ht="13.2" x14ac:dyDescent="0.25">
      <c r="A240" s="215"/>
      <c r="B240" s="220" t="s">
        <v>581</v>
      </c>
      <c r="C240" s="223" t="s">
        <v>1156</v>
      </c>
      <c r="D240" s="215"/>
    </row>
    <row r="241" spans="1:4" ht="13.2" x14ac:dyDescent="0.25">
      <c r="A241" s="215"/>
      <c r="B241" s="220" t="s">
        <v>728</v>
      </c>
      <c r="C241" s="223" t="s">
        <v>1156</v>
      </c>
      <c r="D241" s="215"/>
    </row>
    <row r="242" spans="1:4" ht="13.2" x14ac:dyDescent="0.25">
      <c r="A242" s="215"/>
      <c r="B242" s="220" t="s">
        <v>729</v>
      </c>
      <c r="C242" s="223" t="s">
        <v>1156</v>
      </c>
      <c r="D242" s="215"/>
    </row>
    <row r="243" spans="1:4" ht="13.2" x14ac:dyDescent="0.25">
      <c r="A243" s="215"/>
      <c r="B243" s="220" t="s">
        <v>730</v>
      </c>
      <c r="C243" s="223" t="s">
        <v>1156</v>
      </c>
      <c r="D243" s="215"/>
    </row>
    <row r="244" spans="1:4" ht="13.2" x14ac:dyDescent="0.25">
      <c r="A244" s="215"/>
      <c r="B244" s="220" t="s">
        <v>731</v>
      </c>
      <c r="C244" s="223" t="s">
        <v>1156</v>
      </c>
      <c r="D244" s="215"/>
    </row>
    <row r="245" spans="1:4" ht="13.2" x14ac:dyDescent="0.25">
      <c r="A245" s="215"/>
      <c r="B245" s="220" t="s">
        <v>732</v>
      </c>
      <c r="C245" s="223" t="s">
        <v>1156</v>
      </c>
      <c r="D245" s="215"/>
    </row>
    <row r="246" spans="1:4" ht="13.2" x14ac:dyDescent="0.25">
      <c r="A246" s="215"/>
      <c r="B246" s="220" t="s">
        <v>582</v>
      </c>
      <c r="C246" s="223" t="s">
        <v>1156</v>
      </c>
      <c r="D246" s="215"/>
    </row>
    <row r="247" spans="1:4" ht="13.2" x14ac:dyDescent="0.25">
      <c r="A247" s="215"/>
      <c r="B247" s="220" t="s">
        <v>733</v>
      </c>
      <c r="C247" s="223" t="s">
        <v>1156</v>
      </c>
      <c r="D247" s="215"/>
    </row>
    <row r="248" spans="1:4" ht="13.2" x14ac:dyDescent="0.25">
      <c r="A248" s="215"/>
      <c r="B248" s="220" t="s">
        <v>734</v>
      </c>
      <c r="C248" s="223" t="s">
        <v>1156</v>
      </c>
      <c r="D248" s="215"/>
    </row>
    <row r="249" spans="1:4" ht="13.2" x14ac:dyDescent="0.25">
      <c r="A249" s="215"/>
      <c r="B249" s="220" t="s">
        <v>735</v>
      </c>
      <c r="C249" s="223" t="s">
        <v>1156</v>
      </c>
      <c r="D249" s="215"/>
    </row>
    <row r="250" spans="1:4" ht="13.2" x14ac:dyDescent="0.25">
      <c r="A250" s="215"/>
      <c r="B250" s="220" t="s">
        <v>736</v>
      </c>
      <c r="C250" s="223" t="s">
        <v>1156</v>
      </c>
      <c r="D250" s="215"/>
    </row>
    <row r="251" spans="1:4" ht="13.2" x14ac:dyDescent="0.25">
      <c r="A251" s="215"/>
      <c r="B251" s="220" t="s">
        <v>834</v>
      </c>
      <c r="C251" s="223" t="s">
        <v>1156</v>
      </c>
      <c r="D251" s="215"/>
    </row>
    <row r="252" spans="1:4" ht="13.2" x14ac:dyDescent="0.25">
      <c r="A252" s="215"/>
      <c r="B252" s="220" t="s">
        <v>583</v>
      </c>
      <c r="C252" s="223" t="s">
        <v>1156</v>
      </c>
      <c r="D252" s="215"/>
    </row>
    <row r="253" spans="1:4" ht="13.2" x14ac:dyDescent="0.25">
      <c r="A253" s="215"/>
      <c r="B253" s="220" t="s">
        <v>737</v>
      </c>
      <c r="C253" s="223" t="s">
        <v>1156</v>
      </c>
      <c r="D253" s="215"/>
    </row>
    <row r="254" spans="1:4" ht="13.2" x14ac:dyDescent="0.25">
      <c r="A254" s="215"/>
      <c r="B254" s="220" t="s">
        <v>738</v>
      </c>
      <c r="C254" s="223" t="s">
        <v>1156</v>
      </c>
      <c r="D254" s="215"/>
    </row>
    <row r="255" spans="1:4" ht="13.2" x14ac:dyDescent="0.25">
      <c r="A255" s="215"/>
      <c r="B255" s="225" t="s">
        <v>984</v>
      </c>
      <c r="C255" s="223" t="s">
        <v>1156</v>
      </c>
      <c r="D255" s="215"/>
    </row>
    <row r="256" spans="1:4" ht="13.2" x14ac:dyDescent="0.25">
      <c r="A256" s="215"/>
      <c r="B256" s="220" t="s">
        <v>584</v>
      </c>
      <c r="C256" s="223" t="s">
        <v>1156</v>
      </c>
      <c r="D256" s="215"/>
    </row>
    <row r="257" spans="1:4" ht="13.2" x14ac:dyDescent="0.25">
      <c r="A257" s="215"/>
      <c r="B257" s="220" t="s">
        <v>809</v>
      </c>
      <c r="C257" s="223" t="s">
        <v>1157</v>
      </c>
      <c r="D257" s="215"/>
    </row>
    <row r="258" spans="1:4" ht="13.2" x14ac:dyDescent="0.25">
      <c r="A258" s="215"/>
      <c r="B258" s="220" t="s">
        <v>739</v>
      </c>
      <c r="C258" s="223" t="s">
        <v>1157</v>
      </c>
      <c r="D258" s="215"/>
    </row>
    <row r="259" spans="1:4" ht="13.2" x14ac:dyDescent="0.25">
      <c r="A259" s="215"/>
      <c r="B259" s="220" t="s">
        <v>740</v>
      </c>
      <c r="C259" s="223" t="s">
        <v>1157</v>
      </c>
      <c r="D259" s="215"/>
    </row>
    <row r="260" spans="1:4" ht="13.2" x14ac:dyDescent="0.25">
      <c r="A260" s="215"/>
      <c r="B260" s="220" t="s">
        <v>741</v>
      </c>
      <c r="C260" s="223" t="s">
        <v>1157</v>
      </c>
      <c r="D260" s="215"/>
    </row>
    <row r="261" spans="1:4" ht="13.2" x14ac:dyDescent="0.25">
      <c r="A261" s="215"/>
      <c r="B261" s="220" t="s">
        <v>742</v>
      </c>
      <c r="C261" s="223" t="s">
        <v>1157</v>
      </c>
      <c r="D261" s="215"/>
    </row>
    <row r="262" spans="1:4" ht="13.2" x14ac:dyDescent="0.25">
      <c r="A262" s="215"/>
      <c r="B262" s="220" t="s">
        <v>743</v>
      </c>
      <c r="C262" s="223" t="s">
        <v>1157</v>
      </c>
      <c r="D262" s="215"/>
    </row>
    <row r="263" spans="1:4" ht="13.2" x14ac:dyDescent="0.25">
      <c r="A263" s="215"/>
      <c r="B263" s="220" t="s">
        <v>557</v>
      </c>
      <c r="C263" s="223" t="s">
        <v>1157</v>
      </c>
      <c r="D263" s="215"/>
    </row>
    <row r="264" spans="1:4" ht="13.2" x14ac:dyDescent="0.25">
      <c r="A264" s="215"/>
      <c r="B264" s="220" t="s">
        <v>744</v>
      </c>
      <c r="C264" s="223" t="s">
        <v>1157</v>
      </c>
      <c r="D264" s="215"/>
    </row>
    <row r="265" spans="1:4" ht="13.2" x14ac:dyDescent="0.25">
      <c r="A265" s="215"/>
      <c r="B265" s="220" t="s">
        <v>745</v>
      </c>
      <c r="C265" s="223" t="s">
        <v>1157</v>
      </c>
      <c r="D265" s="215"/>
    </row>
    <row r="266" spans="1:4" ht="13.2" x14ac:dyDescent="0.25">
      <c r="A266" s="215"/>
      <c r="B266" s="220" t="s">
        <v>746</v>
      </c>
      <c r="C266" s="223" t="s">
        <v>1157</v>
      </c>
      <c r="D266" s="215"/>
    </row>
    <row r="267" spans="1:4" ht="13.2" x14ac:dyDescent="0.25">
      <c r="A267" s="215"/>
      <c r="B267" s="220" t="s">
        <v>747</v>
      </c>
      <c r="C267" s="223" t="s">
        <v>1157</v>
      </c>
      <c r="D267" s="215"/>
    </row>
    <row r="268" spans="1:4" ht="13.2" x14ac:dyDescent="0.25">
      <c r="A268" s="215"/>
      <c r="B268" s="220" t="s">
        <v>794</v>
      </c>
      <c r="C268" s="223" t="s">
        <v>1157</v>
      </c>
      <c r="D268" s="215"/>
    </row>
    <row r="269" spans="1:4" ht="13.2" x14ac:dyDescent="0.25">
      <c r="A269" s="215"/>
      <c r="B269" s="220" t="s">
        <v>810</v>
      </c>
      <c r="C269" s="223" t="s">
        <v>1157</v>
      </c>
      <c r="D269" s="215"/>
    </row>
    <row r="270" spans="1:4" ht="13.2" x14ac:dyDescent="0.25">
      <c r="A270" s="215"/>
      <c r="B270" s="220" t="s">
        <v>748</v>
      </c>
      <c r="C270" s="223" t="s">
        <v>1157</v>
      </c>
      <c r="D270" s="215"/>
    </row>
    <row r="271" spans="1:4" ht="13.2" x14ac:dyDescent="0.25">
      <c r="A271" s="215"/>
      <c r="B271" s="220" t="s">
        <v>749</v>
      </c>
      <c r="C271" s="223" t="s">
        <v>1157</v>
      </c>
      <c r="D271" s="215"/>
    </row>
    <row r="272" spans="1:4" ht="13.2" x14ac:dyDescent="0.25">
      <c r="A272" s="215"/>
      <c r="B272" s="220" t="s">
        <v>750</v>
      </c>
      <c r="C272" s="223" t="s">
        <v>1157</v>
      </c>
      <c r="D272" s="215"/>
    </row>
    <row r="273" spans="1:4" ht="13.2" x14ac:dyDescent="0.25">
      <c r="A273" s="215"/>
      <c r="B273" s="220" t="s">
        <v>751</v>
      </c>
      <c r="C273" s="223" t="s">
        <v>1157</v>
      </c>
      <c r="D273" s="215"/>
    </row>
    <row r="274" spans="1:4" ht="13.2" x14ac:dyDescent="0.25">
      <c r="A274" s="215"/>
      <c r="B274" s="220" t="s">
        <v>573</v>
      </c>
      <c r="C274" s="223" t="s">
        <v>1157</v>
      </c>
      <c r="D274" s="215"/>
    </row>
    <row r="275" spans="1:4" ht="13.2" x14ac:dyDescent="0.25">
      <c r="A275" s="215"/>
      <c r="B275" s="220" t="s">
        <v>752</v>
      </c>
      <c r="C275" s="223" t="s">
        <v>1157</v>
      </c>
      <c r="D275" s="215"/>
    </row>
    <row r="276" spans="1:4" ht="13.2" x14ac:dyDescent="0.25">
      <c r="A276" s="215"/>
      <c r="B276" s="220" t="s">
        <v>753</v>
      </c>
      <c r="C276" s="223" t="s">
        <v>1157</v>
      </c>
      <c r="D276" s="215"/>
    </row>
    <row r="277" spans="1:4" ht="13.2" x14ac:dyDescent="0.25">
      <c r="A277" s="215"/>
      <c r="B277" s="220" t="s">
        <v>754</v>
      </c>
      <c r="C277" s="223" t="s">
        <v>1157</v>
      </c>
      <c r="D277" s="215"/>
    </row>
    <row r="278" spans="1:4" ht="13.2" x14ac:dyDescent="0.25">
      <c r="A278" s="215"/>
      <c r="B278" s="220" t="s">
        <v>755</v>
      </c>
      <c r="C278" s="223" t="s">
        <v>1157</v>
      </c>
      <c r="D278" s="215"/>
    </row>
    <row r="279" spans="1:4" ht="13.2" x14ac:dyDescent="0.25">
      <c r="A279" s="215"/>
      <c r="B279" s="220" t="s">
        <v>756</v>
      </c>
      <c r="C279" s="223" t="s">
        <v>1157</v>
      </c>
      <c r="D279" s="215"/>
    </row>
    <row r="280" spans="1:4" ht="13.2" x14ac:dyDescent="0.25">
      <c r="A280" s="215"/>
      <c r="B280" s="220" t="s">
        <v>757</v>
      </c>
      <c r="C280" s="223" t="s">
        <v>1157</v>
      </c>
      <c r="D280" s="215"/>
    </row>
    <row r="281" spans="1:4" ht="13.2" x14ac:dyDescent="0.25">
      <c r="A281" s="215"/>
      <c r="B281" s="220" t="s">
        <v>758</v>
      </c>
      <c r="C281" s="223" t="s">
        <v>1157</v>
      </c>
      <c r="D281" s="215"/>
    </row>
    <row r="282" spans="1:4" ht="13.2" x14ac:dyDescent="0.25">
      <c r="A282" s="215"/>
      <c r="B282" s="220" t="s">
        <v>1158</v>
      </c>
      <c r="C282" s="223" t="s">
        <v>1157</v>
      </c>
      <c r="D282" s="215"/>
    </row>
    <row r="283" spans="1:4" ht="13.2" x14ac:dyDescent="0.25">
      <c r="A283" s="215"/>
      <c r="B283" s="220" t="s">
        <v>759</v>
      </c>
      <c r="C283" s="223" t="s">
        <v>1157</v>
      </c>
      <c r="D283" s="215"/>
    </row>
    <row r="284" spans="1:4" ht="13.2" x14ac:dyDescent="0.25">
      <c r="A284" s="215"/>
      <c r="B284" s="220" t="s">
        <v>760</v>
      </c>
      <c r="C284" s="223" t="s">
        <v>1157</v>
      </c>
      <c r="D284" s="215"/>
    </row>
    <row r="285" spans="1:4" ht="13.2" x14ac:dyDescent="0.25">
      <c r="A285" s="215"/>
      <c r="B285" s="220" t="s">
        <v>761</v>
      </c>
      <c r="C285" s="223" t="s">
        <v>1157</v>
      </c>
      <c r="D285" s="215"/>
    </row>
    <row r="286" spans="1:4" ht="13.2" x14ac:dyDescent="0.25">
      <c r="A286" s="215"/>
      <c r="B286" s="220" t="s">
        <v>588</v>
      </c>
      <c r="C286" s="223" t="s">
        <v>1157</v>
      </c>
      <c r="D286" s="215"/>
    </row>
    <row r="287" spans="1:4" ht="13.2" x14ac:dyDescent="0.25">
      <c r="A287" s="215"/>
      <c r="B287" s="216"/>
      <c r="C287" s="217"/>
      <c r="D287" s="215"/>
    </row>
    <row r="288" spans="1:4" ht="13.2" x14ac:dyDescent="0.25">
      <c r="A288" s="215"/>
      <c r="B288" s="216"/>
      <c r="D288" s="215"/>
    </row>
    <row r="289" spans="1:4" ht="13.2" x14ac:dyDescent="0.25">
      <c r="A289" s="215"/>
      <c r="B289" s="216"/>
      <c r="D289" s="215"/>
    </row>
    <row r="290" spans="1:4" ht="13.2" x14ac:dyDescent="0.25">
      <c r="A290" s="215"/>
      <c r="B290" s="216"/>
      <c r="D290" s="215"/>
    </row>
    <row r="291" spans="1:4" ht="13.2" x14ac:dyDescent="0.25">
      <c r="A291" s="215"/>
      <c r="B291" s="216"/>
      <c r="D291" s="215"/>
    </row>
    <row r="292" spans="1:4" ht="13.2" x14ac:dyDescent="0.25">
      <c r="A292" s="215"/>
      <c r="B292" s="216"/>
      <c r="D292" s="215"/>
    </row>
    <row r="293" spans="1:4" ht="13.2" x14ac:dyDescent="0.25">
      <c r="A293" s="215"/>
      <c r="B293" s="216"/>
      <c r="D293" s="215"/>
    </row>
    <row r="294" spans="1:4" ht="13.2" x14ac:dyDescent="0.25">
      <c r="A294" s="215"/>
      <c r="B294" s="216"/>
      <c r="D294" s="215"/>
    </row>
    <row r="295" spans="1:4" ht="13.2" x14ac:dyDescent="0.25">
      <c r="A295" s="215"/>
      <c r="B295" s="216"/>
      <c r="D295" s="215"/>
    </row>
    <row r="296" spans="1:4" ht="13.2" x14ac:dyDescent="0.25">
      <c r="A296" s="215"/>
      <c r="B296" s="216"/>
      <c r="D296" s="215"/>
    </row>
    <row r="297" spans="1:4" ht="13.2" x14ac:dyDescent="0.25">
      <c r="A297" s="215"/>
      <c r="B297" s="216"/>
      <c r="D297" s="215"/>
    </row>
    <row r="298" spans="1:4" ht="13.2" x14ac:dyDescent="0.25">
      <c r="A298" s="215"/>
      <c r="B298" s="216"/>
      <c r="D298" s="215"/>
    </row>
    <row r="299" spans="1:4" ht="13.2" x14ac:dyDescent="0.25">
      <c r="A299" s="215"/>
      <c r="B299" s="216"/>
      <c r="D299" s="215"/>
    </row>
    <row r="300" spans="1:4" ht="13.2" x14ac:dyDescent="0.25">
      <c r="A300" s="215"/>
      <c r="B300" s="216"/>
      <c r="D300" s="215"/>
    </row>
    <row r="301" spans="1:4" ht="13.2" x14ac:dyDescent="0.25">
      <c r="A301" s="215"/>
      <c r="B301" s="216"/>
      <c r="D301" s="215"/>
    </row>
    <row r="302" spans="1:4" ht="13.2" x14ac:dyDescent="0.25">
      <c r="A302" s="215"/>
      <c r="B302" s="216"/>
      <c r="D302" s="215"/>
    </row>
    <row r="303" spans="1:4" ht="13.2" x14ac:dyDescent="0.25">
      <c r="A303" s="215"/>
      <c r="B303" s="216"/>
      <c r="D303" s="215"/>
    </row>
    <row r="304" spans="1:4" ht="13.2" x14ac:dyDescent="0.25">
      <c r="A304" s="215"/>
      <c r="B304" s="216"/>
      <c r="D304" s="215"/>
    </row>
    <row r="305" spans="1:4" ht="13.2" x14ac:dyDescent="0.25">
      <c r="A305" s="215"/>
      <c r="B305" s="216"/>
      <c r="D305" s="215"/>
    </row>
    <row r="306" spans="1:4" ht="13.2" x14ac:dyDescent="0.25">
      <c r="A306" s="215"/>
      <c r="B306" s="216"/>
      <c r="D306" s="215"/>
    </row>
    <row r="307" spans="1:4" ht="13.2" x14ac:dyDescent="0.25">
      <c r="A307" s="215"/>
      <c r="B307" s="216"/>
      <c r="D307" s="215"/>
    </row>
    <row r="308" spans="1:4" x14ac:dyDescent="0.2">
      <c r="B308" s="206">
        <f>COUNTA(B30:B307)</f>
        <v>257</v>
      </c>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1">
    <pageSetUpPr fitToPage="1"/>
  </sheetPr>
  <dimension ref="A1:K46"/>
  <sheetViews>
    <sheetView showGridLines="0" zoomScale="130" zoomScaleNormal="130" workbookViewId="0">
      <pane xSplit="1" ySplit="3" topLeftCell="B4" activePane="bottomRight" state="frozen"/>
      <selection activeCell="O17" sqref="O17"/>
      <selection pane="topRight" activeCell="O17" sqref="O17"/>
      <selection pane="bottomLeft" activeCell="O17" sqref="O17"/>
      <selection pane="bottomRight" activeCell="B5" sqref="B5:J45"/>
    </sheetView>
  </sheetViews>
  <sheetFormatPr defaultColWidth="9.109375" defaultRowHeight="10.199999999999999" x14ac:dyDescent="0.2"/>
  <cols>
    <col min="1" max="1" width="34.33203125" style="19" customWidth="1"/>
    <col min="2" max="11" width="8.6640625" style="19" customWidth="1"/>
    <col min="12" max="14" width="7.6640625" style="19" customWidth="1"/>
    <col min="15" max="16384" width="9.109375" style="19"/>
  </cols>
  <sheetData>
    <row r="1" spans="1:10" ht="13.8" x14ac:dyDescent="0.3">
      <c r="A1" s="42" t="str">
        <f>MEBsum</f>
        <v>Centlec (Soc) Ltd - Table D1 Budget Summary</v>
      </c>
    </row>
    <row r="2" spans="1:10" ht="31.5" customHeight="1" x14ac:dyDescent="0.2">
      <c r="A2" s="230" t="str">
        <f>desc</f>
        <v>Description</v>
      </c>
      <c r="B2" s="40" t="str">
        <f>head1b</f>
        <v>2017/18</v>
      </c>
      <c r="C2" s="20" t="str">
        <f>head1A</f>
        <v>2018/19</v>
      </c>
      <c r="D2" s="36" t="str">
        <f>Head1</f>
        <v>2019/20</v>
      </c>
      <c r="E2" s="48" t="str">
        <f>Head2</f>
        <v>Current Year 2020/21</v>
      </c>
      <c r="F2" s="46"/>
      <c r="G2" s="47"/>
      <c r="H2" s="48" t="str">
        <f>Head3a</f>
        <v>Medium Term Revenue and Expenditure Framework</v>
      </c>
      <c r="I2" s="46"/>
      <c r="J2" s="47"/>
    </row>
    <row r="3" spans="1:10" ht="36" customHeight="1" x14ac:dyDescent="0.2">
      <c r="A3" s="132" t="s">
        <v>183</v>
      </c>
      <c r="B3" s="228" t="str">
        <f>Head5</f>
        <v>Audited Outcome</v>
      </c>
      <c r="C3" s="229" t="str">
        <f>Head5</f>
        <v>Audited Outcome</v>
      </c>
      <c r="D3" s="231" t="str">
        <f>Head5</f>
        <v>Audited Outcome</v>
      </c>
      <c r="E3" s="233" t="str">
        <f>Head6</f>
        <v>Original Budget</v>
      </c>
      <c r="F3" s="232" t="str">
        <f>Head7</f>
        <v>Adjusted Budget</v>
      </c>
      <c r="G3" s="231" t="str">
        <f>Head8</f>
        <v>Full Year Forecast</v>
      </c>
      <c r="H3" s="233" t="str">
        <f>Head9</f>
        <v>Budget Year 2021/22</v>
      </c>
      <c r="I3" s="232" t="str">
        <f>Head10</f>
        <v>Budget Year +1 2022/23</v>
      </c>
      <c r="J3" s="231" t="str">
        <f>Head11</f>
        <v>Budget Year +2 2023/24</v>
      </c>
    </row>
    <row r="4" spans="1:10" ht="12.75" customHeight="1" x14ac:dyDescent="0.2">
      <c r="A4" s="101" t="s">
        <v>244</v>
      </c>
      <c r="B4" s="31"/>
      <c r="C4" s="30"/>
      <c r="D4" s="45"/>
      <c r="E4" s="31"/>
      <c r="F4" s="30"/>
      <c r="G4" s="45"/>
      <c r="H4" s="31"/>
      <c r="I4" s="30"/>
      <c r="J4" s="45"/>
    </row>
    <row r="5" spans="1:10" ht="12.75" customHeight="1" x14ac:dyDescent="0.2">
      <c r="A5" s="186" t="s">
        <v>357</v>
      </c>
      <c r="B5" s="22">
        <f>'D2-FinPerf'!C5</f>
        <v>0</v>
      </c>
      <c r="C5" s="21">
        <f>'D2-FinPerf'!D5</f>
        <v>0</v>
      </c>
      <c r="D5" s="38">
        <f>'D2-FinPerf'!E5</f>
        <v>0</v>
      </c>
      <c r="E5" s="22">
        <f>'D2-FinPerf'!F5</f>
        <v>0</v>
      </c>
      <c r="F5" s="21">
        <f>'D2-FinPerf'!G5</f>
        <v>0</v>
      </c>
      <c r="G5" s="38">
        <f>'D2-FinPerf'!H5</f>
        <v>0</v>
      </c>
      <c r="H5" s="22">
        <f>'D2-FinPerf'!I5</f>
        <v>0</v>
      </c>
      <c r="I5" s="21">
        <f>'D2-FinPerf'!J5</f>
        <v>0</v>
      </c>
      <c r="J5" s="38">
        <f>'D2-FinPerf'!K5</f>
        <v>0</v>
      </c>
    </row>
    <row r="6" spans="1:10" ht="12.75" customHeight="1" x14ac:dyDescent="0.2">
      <c r="A6" s="186" t="s">
        <v>401</v>
      </c>
      <c r="B6" s="22">
        <f>SUM('D2-FinPerf'!C6:C9)</f>
        <v>2193332987</v>
      </c>
      <c r="C6" s="21">
        <f>SUM('D2-FinPerf'!D6:D9)</f>
        <v>2392451159.3200002</v>
      </c>
      <c r="D6" s="38">
        <f>SUM('D2-FinPerf'!E6:E9)</f>
        <v>2567898026.3699999</v>
      </c>
      <c r="E6" s="22">
        <f>SUM('D2-FinPerf'!F6:F9)</f>
        <v>2724358716</v>
      </c>
      <c r="F6" s="21">
        <f>SUM('D2-FinPerf'!G6:G9)</f>
        <v>2719965155</v>
      </c>
      <c r="G6" s="38">
        <f>SUM('D2-FinPerf'!H6:H9)</f>
        <v>2719965155</v>
      </c>
      <c r="H6" s="22">
        <f>SUM('D2-FinPerf'!I6:I9)</f>
        <v>3157614425</v>
      </c>
      <c r="I6" s="21">
        <f>SUM('D2-FinPerf'!J6:J9)</f>
        <v>3238134230.8499999</v>
      </c>
      <c r="J6" s="38">
        <f>SUM('D2-FinPerf'!K6:K9)</f>
        <v>3380612137.0100002</v>
      </c>
    </row>
    <row r="7" spans="1:10" ht="12.75" customHeight="1" x14ac:dyDescent="0.2">
      <c r="A7" s="186" t="s">
        <v>53</v>
      </c>
      <c r="B7" s="22">
        <f>'D2-FinPerf'!C12</f>
        <v>9708209</v>
      </c>
      <c r="C7" s="21">
        <f>'D2-FinPerf'!D12</f>
        <v>4267324.28</v>
      </c>
      <c r="D7" s="38">
        <f>'D2-FinPerf'!E12</f>
        <v>2938276.85</v>
      </c>
      <c r="E7" s="22">
        <f>'D2-FinPerf'!F12</f>
        <v>4506880</v>
      </c>
      <c r="F7" s="21">
        <f>'D2-FinPerf'!G12</f>
        <v>5176880</v>
      </c>
      <c r="G7" s="38">
        <f>'D2-FinPerf'!H12</f>
        <v>5176880</v>
      </c>
      <c r="H7" s="22">
        <f>'D2-FinPerf'!I12</f>
        <v>639584.79280000005</v>
      </c>
      <c r="I7" s="21">
        <f>'D2-FinPerf'!J12</f>
        <v>677959.88036800001</v>
      </c>
      <c r="J7" s="38">
        <f>'D2-FinPerf'!K12</f>
        <v>718637.47319008003</v>
      </c>
    </row>
    <row r="8" spans="1:10" ht="12.75" customHeight="1" x14ac:dyDescent="0.2">
      <c r="A8" s="186" t="s">
        <v>971</v>
      </c>
      <c r="B8" s="21">
        <f>'D2-FinPerf'!C18+'D2-FinPerf'!C38</f>
        <v>17506656</v>
      </c>
      <c r="C8" s="21">
        <f>'D2-FinPerf'!D18+'D2-FinPerf'!D38</f>
        <v>0</v>
      </c>
      <c r="D8" s="38">
        <f>'D2-FinPerf'!E18+'D2-FinPerf'!E38</f>
        <v>22608695.649999999</v>
      </c>
      <c r="E8" s="22">
        <f>'D2-FinPerf'!F18+'D2-FinPerf'!F38</f>
        <v>57499976</v>
      </c>
      <c r="F8" s="21">
        <f>'D2-FinPerf'!G18+'D2-FinPerf'!G38</f>
        <v>50492049</v>
      </c>
      <c r="G8" s="38">
        <f>'D2-FinPerf'!H18+'D2-FinPerf'!H38</f>
        <v>50492049</v>
      </c>
      <c r="H8" s="22">
        <f>'D2-FinPerf'!I18+'D2-FinPerf'!I38</f>
        <v>20466030.119966701</v>
      </c>
      <c r="I8" s="21">
        <f>'D2-FinPerf'!J18+'D2-FinPerf'!J38</f>
        <v>12724686.059147134</v>
      </c>
      <c r="J8" s="38">
        <f>'D2-FinPerf'!K18+'D2-FinPerf'!K38</f>
        <v>18238431.720983505</v>
      </c>
    </row>
    <row r="9" spans="1:10" ht="12.75" customHeight="1" x14ac:dyDescent="0.2">
      <c r="A9" s="186" t="s">
        <v>52</v>
      </c>
      <c r="B9" s="22">
        <f>'D2-FinPerf'!C11+'D2-FinPerf'!C13+'D2-FinPerf'!C14+'D2-FinPerf'!C15+'D2-FinPerf'!C16+'D2-FinPerf'!C17+'D2-FinPerf'!C19+'D2-FinPerf'!C20</f>
        <v>151835816</v>
      </c>
      <c r="C9" s="21">
        <f>'D2-FinPerf'!D11+'D2-FinPerf'!D13+'D2-FinPerf'!D14+'D2-FinPerf'!D15+'D2-FinPerf'!D16+'D2-FinPerf'!D17+'D2-FinPerf'!D19+'D2-FinPerf'!D20</f>
        <v>57606916.909999996</v>
      </c>
      <c r="D9" s="38">
        <f>'D2-FinPerf'!E11+'D2-FinPerf'!E13+'D2-FinPerf'!E14+'D2-FinPerf'!E15+'D2-FinPerf'!E16+'D2-FinPerf'!E17+'D2-FinPerf'!E19+'D2-FinPerf'!E20</f>
        <v>37525209.300000004</v>
      </c>
      <c r="E9" s="22">
        <f>'D2-FinPerf'!F11+'D2-FinPerf'!F13+'D2-FinPerf'!F14+'D2-FinPerf'!F15+'D2-FinPerf'!F16+'D2-FinPerf'!F17+'D2-FinPerf'!F19+'D2-FinPerf'!F20</f>
        <v>36739041</v>
      </c>
      <c r="F9" s="21">
        <f>'D2-FinPerf'!G11+'D2-FinPerf'!G13+'D2-FinPerf'!G14+'D2-FinPerf'!G15+'D2-FinPerf'!G16+'D2-FinPerf'!G17+'D2-FinPerf'!G19+'D2-FinPerf'!G20</f>
        <v>53172681</v>
      </c>
      <c r="G9" s="38">
        <f>'D2-FinPerf'!H11+'D2-FinPerf'!H13+'D2-FinPerf'!H14+'D2-FinPerf'!H15+'D2-FinPerf'!H16+'D2-FinPerf'!H17+'D2-FinPerf'!H19+'D2-FinPerf'!H20</f>
        <v>53172681</v>
      </c>
      <c r="H9" s="22">
        <f>'D2-FinPerf'!I11+'D2-FinPerf'!I13+'D2-FinPerf'!I14+'D2-FinPerf'!I15+'D2-FinPerf'!I16+'D2-FinPerf'!I17+'D2-FinPerf'!I19+'D2-FinPerf'!I20</f>
        <v>44567701.126399972</v>
      </c>
      <c r="I9" s="21">
        <f>'D2-FinPerf'!J11+'D2-FinPerf'!J13+'D2-FinPerf'!J14+'D2-FinPerf'!J15+'D2-FinPerf'!J16+'D2-FinPerf'!J17+'D2-FinPerf'!J19+'D2-FinPerf'!J20</f>
        <v>47241763.193983972</v>
      </c>
      <c r="J9" s="38">
        <f>'D2-FinPerf'!K11+'D2-FinPerf'!K13+'D2-FinPerf'!K14+'D2-FinPerf'!K15+'D2-FinPerf'!K16+'D2-FinPerf'!K17+'D2-FinPerf'!K19+'D2-FinPerf'!K20</f>
        <v>55335245.985623069</v>
      </c>
    </row>
    <row r="10" spans="1:10" ht="25.5" customHeight="1" x14ac:dyDescent="0.2">
      <c r="A10" s="168" t="s">
        <v>493</v>
      </c>
      <c r="B10" s="109">
        <f>SUM(B5:B9)</f>
        <v>2372383668</v>
      </c>
      <c r="C10" s="110">
        <f t="shared" ref="C10:J10" si="0">SUM(C5:C9)</f>
        <v>2454325400.5100002</v>
      </c>
      <c r="D10" s="111">
        <f t="shared" si="0"/>
        <v>2630970208.1700001</v>
      </c>
      <c r="E10" s="109">
        <f t="shared" si="0"/>
        <v>2823104613</v>
      </c>
      <c r="F10" s="110">
        <f t="shared" si="0"/>
        <v>2828806765</v>
      </c>
      <c r="G10" s="111">
        <f t="shared" si="0"/>
        <v>2828806765</v>
      </c>
      <c r="H10" s="109">
        <f t="shared" si="0"/>
        <v>3223287741.0391665</v>
      </c>
      <c r="I10" s="110">
        <f t="shared" si="0"/>
        <v>3298778639.9834995</v>
      </c>
      <c r="J10" s="111">
        <f t="shared" si="0"/>
        <v>3454904452.1897969</v>
      </c>
    </row>
    <row r="11" spans="1:10" ht="12.75" customHeight="1" x14ac:dyDescent="0.2">
      <c r="A11" s="186" t="s">
        <v>35</v>
      </c>
      <c r="B11" s="22">
        <f>'D2-FinPerf'!C24</f>
        <v>302450932.33999997</v>
      </c>
      <c r="C11" s="21">
        <f>'D2-FinPerf'!D24</f>
        <v>347493787.24000001</v>
      </c>
      <c r="D11" s="38">
        <f>'D2-FinPerf'!E24</f>
        <v>370630169.74000001</v>
      </c>
      <c r="E11" s="22">
        <f>'D2-FinPerf'!F24</f>
        <v>369359817</v>
      </c>
      <c r="F11" s="21">
        <f>'D2-FinPerf'!G24</f>
        <v>354175887.37</v>
      </c>
      <c r="G11" s="38">
        <f>'D2-FinPerf'!H24</f>
        <v>354175887.37</v>
      </c>
      <c r="H11" s="22">
        <f>'D2-FinPerf'!I24</f>
        <v>379701891.87103987</v>
      </c>
      <c r="I11" s="21">
        <f>'D2-FinPerf'!J24</f>
        <v>390333544.84952366</v>
      </c>
      <c r="J11" s="38">
        <f>'D2-FinPerf'!K24</f>
        <v>401262884.16850281</v>
      </c>
    </row>
    <row r="12" spans="1:10" ht="12.75" customHeight="1" x14ac:dyDescent="0.2">
      <c r="A12" s="186" t="s">
        <v>972</v>
      </c>
      <c r="B12" s="22">
        <f>'D2-FinPerf'!C25</f>
        <v>1262584</v>
      </c>
      <c r="C12" s="21">
        <f>'D2-FinPerf'!D25</f>
        <v>406169</v>
      </c>
      <c r="D12" s="38">
        <f>'D2-FinPerf'!E25</f>
        <v>597228</v>
      </c>
      <c r="E12" s="22">
        <f>'D2-FinPerf'!F25</f>
        <v>1831818</v>
      </c>
      <c r="F12" s="21">
        <f>'D2-FinPerf'!G25</f>
        <v>1346560</v>
      </c>
      <c r="G12" s="38">
        <f>'D2-FinPerf'!H25</f>
        <v>1346560</v>
      </c>
      <c r="H12" s="22">
        <f>'D2-FinPerf'!I25</f>
        <v>982439.61066666699</v>
      </c>
      <c r="I12" s="21">
        <f>'D2-FinPerf'!J25</f>
        <v>1023702.0743146666</v>
      </c>
      <c r="J12" s="38">
        <f>'D2-FinPerf'!K25</f>
        <v>1068744.9655845119</v>
      </c>
    </row>
    <row r="13" spans="1:10" ht="12.75" customHeight="1" x14ac:dyDescent="0.2">
      <c r="A13" s="186" t="s">
        <v>178</v>
      </c>
      <c r="B13" s="22">
        <f>'D2-FinPerf'!C27</f>
        <v>134199325</v>
      </c>
      <c r="C13" s="21">
        <f>'D2-FinPerf'!D27</f>
        <v>135051724.91</v>
      </c>
      <c r="D13" s="38">
        <f>'D2-FinPerf'!E27</f>
        <v>142487300.25</v>
      </c>
      <c r="E13" s="22">
        <f>'D2-FinPerf'!F27</f>
        <v>74148250</v>
      </c>
      <c r="F13" s="21">
        <f>'D2-FinPerf'!G27</f>
        <v>44209836</v>
      </c>
      <c r="G13" s="38">
        <f>'D2-FinPerf'!H27</f>
        <v>44209836</v>
      </c>
      <c r="H13" s="22">
        <f>'D2-FinPerf'!I27</f>
        <v>73461276.697983146</v>
      </c>
      <c r="I13" s="21">
        <f>'D2-FinPerf'!J27</f>
        <v>77758441.373310089</v>
      </c>
      <c r="J13" s="38">
        <f>'D2-FinPerf'!K27</f>
        <v>73833238.914461792</v>
      </c>
    </row>
    <row r="14" spans="1:10" ht="12.75" customHeight="1" x14ac:dyDescent="0.2">
      <c r="A14" s="186" t="s">
        <v>19</v>
      </c>
      <c r="B14" s="22">
        <f>'D2-FinPerf'!C28</f>
        <v>117459</v>
      </c>
      <c r="C14" s="21">
        <f>'D2-FinPerf'!D28</f>
        <v>9340427.5199999996</v>
      </c>
      <c r="D14" s="38">
        <f>'D2-FinPerf'!E28</f>
        <v>17443292.77</v>
      </c>
      <c r="E14" s="22">
        <f>'D2-FinPerf'!F28</f>
        <v>56654</v>
      </c>
      <c r="F14" s="21">
        <f>'D2-FinPerf'!G28</f>
        <v>56654</v>
      </c>
      <c r="G14" s="38">
        <f>'D2-FinPerf'!H28</f>
        <v>56654</v>
      </c>
      <c r="H14" s="22">
        <f>'D2-FinPerf'!I28</f>
        <v>58864.046280000002</v>
      </c>
      <c r="I14" s="21">
        <f>'D2-FinPerf'!J28</f>
        <v>61336.336223760001</v>
      </c>
      <c r="J14" s="38">
        <f>'D2-FinPerf'!K28</f>
        <v>64035.13501760544</v>
      </c>
    </row>
    <row r="15" spans="1:10" ht="12.75" customHeight="1" x14ac:dyDescent="0.2">
      <c r="A15" s="227" t="s">
        <v>1164</v>
      </c>
      <c r="B15" s="22">
        <f>'D2-FinPerf'!C29+'D2-FinPerf'!C30</f>
        <v>1429951599</v>
      </c>
      <c r="C15" s="21">
        <f>'D2-FinPerf'!D29+'D2-FinPerf'!D30</f>
        <v>1532653589.6699998</v>
      </c>
      <c r="D15" s="38">
        <f>'D2-FinPerf'!E29+'D2-FinPerf'!E30</f>
        <v>1707754525.3700001</v>
      </c>
      <c r="E15" s="22">
        <f>'D2-FinPerf'!F29+'D2-FinPerf'!F30</f>
        <v>1671407051</v>
      </c>
      <c r="F15" s="21">
        <f>'D2-FinPerf'!G29+'D2-FinPerf'!G30</f>
        <v>1733532885.9100001</v>
      </c>
      <c r="G15" s="38">
        <f>'D2-FinPerf'!H29+'D2-FinPerf'!H30</f>
        <v>1733532885.9100001</v>
      </c>
      <c r="H15" s="22">
        <f>'D2-FinPerf'!I29+'D2-FinPerf'!I30</f>
        <v>2039582936.3217866</v>
      </c>
      <c r="I15" s="21">
        <f>'D2-FinPerf'!J29+'D2-FinPerf'!J30</f>
        <v>2154280807.9153018</v>
      </c>
      <c r="J15" s="38">
        <f>'D2-FinPerf'!K29+'D2-FinPerf'!K30</f>
        <v>2305321481.1115751</v>
      </c>
    </row>
    <row r="16" spans="1:10" ht="12.75" customHeight="1" x14ac:dyDescent="0.2">
      <c r="A16" s="112" t="s">
        <v>973</v>
      </c>
      <c r="B16" s="22">
        <f>'D2-FinPerf'!C32</f>
        <v>0</v>
      </c>
      <c r="C16" s="21">
        <f>'D2-FinPerf'!D32</f>
        <v>0</v>
      </c>
      <c r="D16" s="38">
        <f>'D2-FinPerf'!E32</f>
        <v>0</v>
      </c>
      <c r="E16" s="22">
        <f>'D2-FinPerf'!F32</f>
        <v>120000000</v>
      </c>
      <c r="F16" s="21">
        <f>'D2-FinPerf'!G32</f>
        <v>120000000</v>
      </c>
      <c r="G16" s="38">
        <f>'D2-FinPerf'!H32</f>
        <v>120000000</v>
      </c>
      <c r="H16" s="22">
        <f>'D2-FinPerf'!I32</f>
        <v>119999999.99666667</v>
      </c>
      <c r="I16" s="21">
        <f>'D2-FinPerf'!J32</f>
        <v>119999999.99666667</v>
      </c>
      <c r="J16" s="38">
        <f>'D2-FinPerf'!K32</f>
        <v>119999999.99520001</v>
      </c>
    </row>
    <row r="17" spans="1:11" ht="12.75" customHeight="1" x14ac:dyDescent="0.2">
      <c r="A17" s="186" t="s">
        <v>6</v>
      </c>
      <c r="B17" s="22">
        <f>'D2-FinPerf'!C35-SUM('D1-Sum'!B11:B16)</f>
        <v>327949645.00000024</v>
      </c>
      <c r="C17" s="21">
        <f>'D2-FinPerf'!D35-SUM('D1-Sum'!C11:C16)</f>
        <v>416444901.51000023</v>
      </c>
      <c r="D17" s="38">
        <f>'D2-FinPerf'!E35-SUM('D1-Sum'!D11:D16)</f>
        <v>465164786.36000013</v>
      </c>
      <c r="E17" s="22">
        <f>'D2-FinPerf'!F35-SUM('D1-Sum'!E11:E16)</f>
        <v>208265368</v>
      </c>
      <c r="F17" s="21">
        <f>'D2-FinPerf'!G35-SUM('D1-Sum'!F11:F16)</f>
        <v>194089320.55999994</v>
      </c>
      <c r="G17" s="38">
        <f>'D2-FinPerf'!H35-SUM('D1-Sum'!G11:G16)</f>
        <v>194089320.21000004</v>
      </c>
      <c r="H17" s="22">
        <f>'D2-FinPerf'!I35-SUM('D1-Sum'!H11:H16)</f>
        <v>210618210.68134451</v>
      </c>
      <c r="I17" s="21">
        <f>'D2-FinPerf'!J35-SUM('D1-Sum'!I11:I16)</f>
        <v>218030169.5286665</v>
      </c>
      <c r="J17" s="38">
        <f>'D2-FinPerf'!K35-SUM('D1-Sum'!J11:J16)</f>
        <v>220518766.11820936</v>
      </c>
    </row>
    <row r="18" spans="1:11" ht="12.75" customHeight="1" x14ac:dyDescent="0.2">
      <c r="A18" s="113" t="s">
        <v>47</v>
      </c>
      <c r="B18" s="27">
        <f>SUM(B11:B17)</f>
        <v>2195931544.3400002</v>
      </c>
      <c r="C18" s="26">
        <f t="shared" ref="C18:J18" si="1">SUM(C11:C17)</f>
        <v>2441390599.8499999</v>
      </c>
      <c r="D18" s="39">
        <f t="shared" si="1"/>
        <v>2704077302.4900002</v>
      </c>
      <c r="E18" s="27">
        <f t="shared" si="1"/>
        <v>2445068958</v>
      </c>
      <c r="F18" s="26">
        <f t="shared" si="1"/>
        <v>2447411143.8400002</v>
      </c>
      <c r="G18" s="39">
        <f t="shared" si="1"/>
        <v>2447411143.4900002</v>
      </c>
      <c r="H18" s="27">
        <f t="shared" si="1"/>
        <v>2824405619.2257676</v>
      </c>
      <c r="I18" s="26">
        <f t="shared" si="1"/>
        <v>2961488002.074007</v>
      </c>
      <c r="J18" s="39">
        <f t="shared" si="1"/>
        <v>3122069150.4085512</v>
      </c>
    </row>
    <row r="19" spans="1:11" ht="12.75" customHeight="1" x14ac:dyDescent="0.2">
      <c r="A19" s="114" t="s">
        <v>48</v>
      </c>
      <c r="B19" s="24">
        <f>B10-B18</f>
        <v>176452123.65999985</v>
      </c>
      <c r="C19" s="23">
        <f t="shared" ref="C19:J19" si="2">C10-C18</f>
        <v>12934800.660000324</v>
      </c>
      <c r="D19" s="44">
        <f t="shared" si="2"/>
        <v>-73107094.320000172</v>
      </c>
      <c r="E19" s="24">
        <f t="shared" si="2"/>
        <v>378035655</v>
      </c>
      <c r="F19" s="23">
        <f t="shared" si="2"/>
        <v>381395621.15999985</v>
      </c>
      <c r="G19" s="44">
        <f t="shared" si="2"/>
        <v>381395621.50999975</v>
      </c>
      <c r="H19" s="24">
        <f t="shared" si="2"/>
        <v>398882121.81339884</v>
      </c>
      <c r="I19" s="23">
        <f t="shared" si="2"/>
        <v>337290637.90949249</v>
      </c>
      <c r="J19" s="44">
        <f t="shared" si="2"/>
        <v>332835301.78124571</v>
      </c>
    </row>
    <row r="20" spans="1:11" ht="23.1" customHeight="1" x14ac:dyDescent="0.2">
      <c r="A20" s="226" t="str">
        <f>'D2-FinPerf'!A38</f>
        <v>Transfers and subsidies - capital (monetary allocations) (National / Provincial and District)</v>
      </c>
      <c r="B20" s="22">
        <f>'D2-FinPerf'!C38</f>
        <v>17506656</v>
      </c>
      <c r="C20" s="21">
        <f>'D2-FinPerf'!D38</f>
        <v>0</v>
      </c>
      <c r="D20" s="38">
        <f>'D2-FinPerf'!E38</f>
        <v>22608695.649999999</v>
      </c>
      <c r="E20" s="22">
        <f>'D2-FinPerf'!F38</f>
        <v>57499976</v>
      </c>
      <c r="F20" s="21">
        <f>'D2-FinPerf'!G38</f>
        <v>50492049</v>
      </c>
      <c r="G20" s="38">
        <f>'D2-FinPerf'!H38</f>
        <v>50492049</v>
      </c>
      <c r="H20" s="22">
        <f>'D2-FinPerf'!I38</f>
        <v>20466030.119966701</v>
      </c>
      <c r="I20" s="21">
        <f>'D2-FinPerf'!J38</f>
        <v>12724686.059147134</v>
      </c>
      <c r="J20" s="38">
        <f>'D2-FinPerf'!K38</f>
        <v>18238431.720983505</v>
      </c>
    </row>
    <row r="21" spans="1:11" ht="53.4" customHeight="1" x14ac:dyDescent="0.2">
      <c r="A21" s="226" t="str">
        <f>'D2-FinPerf'!A39&amp;" &amp; "&amp;'D2-FinPerf'!A40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22">
        <f>'D2-FinPerf'!C39+'D2-FinPerf'!C40</f>
        <v>1706656</v>
      </c>
      <c r="C21" s="21">
        <f>'D2-FinPerf'!D39+'D2-FinPerf'!D40</f>
        <v>21912812.579999998</v>
      </c>
      <c r="D21" s="38">
        <f>'D2-FinPerf'!E39+'D2-FinPerf'!E40</f>
        <v>16133287.85</v>
      </c>
      <c r="E21" s="22">
        <f>'D2-FinPerf'!F39+'D2-FinPerf'!F40</f>
        <v>11932851</v>
      </c>
      <c r="F21" s="21">
        <f>'D2-FinPerf'!G39+'D2-FinPerf'!G40</f>
        <v>11932851</v>
      </c>
      <c r="G21" s="38">
        <f>'D2-FinPerf'!H39+'D2-FinPerf'!H40</f>
        <v>11932851</v>
      </c>
      <c r="H21" s="22">
        <f>'D2-FinPerf'!I39+'D2-FinPerf'!I40</f>
        <v>13000000</v>
      </c>
      <c r="I21" s="21">
        <f>'D2-FinPerf'!J39+'D2-FinPerf'!J40</f>
        <v>13417170</v>
      </c>
      <c r="J21" s="38">
        <f>'D2-FinPerf'!K39+'D2-FinPerf'!K40</f>
        <v>13847726.985300001</v>
      </c>
    </row>
    <row r="22" spans="1:11" ht="15" customHeight="1" x14ac:dyDescent="0.2">
      <c r="A22" s="124" t="s">
        <v>522</v>
      </c>
      <c r="B22" s="140">
        <f>B19+B20+B21</f>
        <v>195665435.65999985</v>
      </c>
      <c r="C22" s="141">
        <f t="shared" ref="C22:J22" si="3">C19+C20+C21</f>
        <v>34847613.240000322</v>
      </c>
      <c r="D22" s="142">
        <f t="shared" si="3"/>
        <v>-34365110.820000172</v>
      </c>
      <c r="E22" s="140">
        <f t="shared" si="3"/>
        <v>447468482</v>
      </c>
      <c r="F22" s="141">
        <f t="shared" si="3"/>
        <v>443820521.15999985</v>
      </c>
      <c r="G22" s="142">
        <f t="shared" si="3"/>
        <v>443820521.50999975</v>
      </c>
      <c r="H22" s="140">
        <f t="shared" si="3"/>
        <v>432348151.93336552</v>
      </c>
      <c r="I22" s="141">
        <f t="shared" si="3"/>
        <v>363432493.96863961</v>
      </c>
      <c r="J22" s="142">
        <f t="shared" si="3"/>
        <v>364921460.48752922</v>
      </c>
    </row>
    <row r="23" spans="1:11" ht="12.75" customHeight="1" x14ac:dyDescent="0.2">
      <c r="A23" s="190" t="s">
        <v>30</v>
      </c>
      <c r="B23" s="22">
        <f>'D2-FinPerf'!C42</f>
        <v>46179009</v>
      </c>
      <c r="C23" s="21">
        <f>'D2-FinPerf'!D42</f>
        <v>0</v>
      </c>
      <c r="D23" s="38">
        <f>'D2-FinPerf'!E42</f>
        <v>0</v>
      </c>
      <c r="E23" s="22">
        <f>'D2-FinPerf'!F42</f>
        <v>0</v>
      </c>
      <c r="F23" s="21">
        <f>'D2-FinPerf'!G42</f>
        <v>0</v>
      </c>
      <c r="G23" s="38">
        <f>'D2-FinPerf'!H42</f>
        <v>0</v>
      </c>
      <c r="H23" s="22">
        <f>'D2-FinPerf'!I42</f>
        <v>0</v>
      </c>
      <c r="I23" s="21">
        <f>'D2-FinPerf'!J42</f>
        <v>0</v>
      </c>
      <c r="J23" s="38">
        <f>'D2-FinPerf'!K42</f>
        <v>0</v>
      </c>
    </row>
    <row r="24" spans="1:11" ht="12.75" customHeight="1" x14ac:dyDescent="0.2">
      <c r="A24" s="102" t="s">
        <v>334</v>
      </c>
      <c r="B24" s="54">
        <f>B22-B23</f>
        <v>149486426.65999985</v>
      </c>
      <c r="C24" s="55">
        <f t="shared" ref="C24:J24" si="4">C22-C23</f>
        <v>34847613.240000322</v>
      </c>
      <c r="D24" s="56">
        <f t="shared" si="4"/>
        <v>-34365110.820000172</v>
      </c>
      <c r="E24" s="54">
        <f t="shared" si="4"/>
        <v>447468482</v>
      </c>
      <c r="F24" s="55">
        <f t="shared" si="4"/>
        <v>443820521.15999985</v>
      </c>
      <c r="G24" s="56">
        <f t="shared" si="4"/>
        <v>443820521.50999975</v>
      </c>
      <c r="H24" s="54">
        <f t="shared" si="4"/>
        <v>432348151.93336552</v>
      </c>
      <c r="I24" s="55">
        <f t="shared" si="4"/>
        <v>363432493.96863961</v>
      </c>
      <c r="J24" s="56">
        <f t="shared" si="4"/>
        <v>364921460.48752922</v>
      </c>
    </row>
    <row r="25" spans="1:11" ht="5.0999999999999996" customHeight="1" x14ac:dyDescent="0.2">
      <c r="A25" s="103"/>
      <c r="B25" s="35"/>
      <c r="C25" s="34"/>
      <c r="D25" s="43"/>
      <c r="E25" s="35"/>
      <c r="F25" s="34"/>
      <c r="G25" s="43"/>
      <c r="H25" s="35"/>
      <c r="I25" s="34"/>
      <c r="J25" s="43"/>
    </row>
    <row r="26" spans="1:11" ht="12.75" customHeight="1" x14ac:dyDescent="0.2">
      <c r="A26" s="104" t="s">
        <v>356</v>
      </c>
      <c r="B26" s="33"/>
      <c r="C26" s="32"/>
      <c r="D26" s="37"/>
      <c r="E26" s="33"/>
      <c r="F26" s="32"/>
      <c r="G26" s="37"/>
      <c r="H26" s="33"/>
      <c r="I26" s="32"/>
      <c r="J26" s="37"/>
    </row>
    <row r="27" spans="1:11" ht="12.75" customHeight="1" x14ac:dyDescent="0.2">
      <c r="A27" s="105" t="s">
        <v>114</v>
      </c>
      <c r="B27" s="24">
        <f>'D3-Capex'!C167</f>
        <v>117385197.39999999</v>
      </c>
      <c r="C27" s="23">
        <f>'D3-Capex'!D167</f>
        <v>178299145.59999996</v>
      </c>
      <c r="D27" s="44">
        <f>'D3-Capex'!E167</f>
        <v>110238627.13</v>
      </c>
      <c r="E27" s="24">
        <f>'D3-Capex'!F167</f>
        <v>169725001</v>
      </c>
      <c r="F27" s="23">
        <f>'D3-Capex'!G167</f>
        <v>179285774</v>
      </c>
      <c r="G27" s="44">
        <f>'D3-Capex'!H167</f>
        <v>179285774</v>
      </c>
      <c r="H27" s="24">
        <f>'D3-Capex'!I167</f>
        <v>217751825.96328667</v>
      </c>
      <c r="I27" s="23">
        <f>'D3-Capex'!J167</f>
        <v>143462010.80420658</v>
      </c>
      <c r="J27" s="44">
        <f>'D3-Capex'!K167</f>
        <v>126391958.95704556</v>
      </c>
      <c r="K27" s="25"/>
    </row>
    <row r="28" spans="1:11" ht="12.75" customHeight="1" x14ac:dyDescent="0.2">
      <c r="A28" s="169" t="s">
        <v>388</v>
      </c>
      <c r="B28" s="22">
        <f>'D3-Capex'!C174</f>
        <v>0</v>
      </c>
      <c r="C28" s="21">
        <f>'D3-Capex'!D174</f>
        <v>0</v>
      </c>
      <c r="D28" s="38">
        <f>'D3-Capex'!E174</f>
        <v>0</v>
      </c>
      <c r="E28" s="22">
        <f>'D3-Capex'!F174</f>
        <v>0</v>
      </c>
      <c r="F28" s="21">
        <f>'D3-Capex'!G174</f>
        <v>0</v>
      </c>
      <c r="G28" s="38">
        <f>'D3-Capex'!H174</f>
        <v>0</v>
      </c>
      <c r="H28" s="22">
        <f>'D3-Capex'!I174</f>
        <v>0</v>
      </c>
      <c r="I28" s="21">
        <f>'D3-Capex'!J174</f>
        <v>0</v>
      </c>
      <c r="J28" s="38">
        <f>'D3-Capex'!K174</f>
        <v>0</v>
      </c>
      <c r="K28" s="41"/>
    </row>
    <row r="29" spans="1:11" ht="0.9" customHeight="1" x14ac:dyDescent="0.2">
      <c r="A29" s="28"/>
      <c r="B29" s="22"/>
      <c r="C29" s="21"/>
      <c r="D29" s="38"/>
      <c r="E29" s="22"/>
      <c r="F29" s="21"/>
      <c r="G29" s="38"/>
      <c r="H29" s="22"/>
      <c r="I29" s="21"/>
      <c r="J29" s="38"/>
      <c r="K29" s="41"/>
    </row>
    <row r="30" spans="1:11" ht="12.75" customHeight="1" x14ac:dyDescent="0.2">
      <c r="A30" s="28" t="s">
        <v>269</v>
      </c>
      <c r="B30" s="22">
        <f>'D3-Capex'!C176</f>
        <v>0</v>
      </c>
      <c r="C30" s="21">
        <f>'D3-Capex'!D176</f>
        <v>0</v>
      </c>
      <c r="D30" s="38">
        <f>'D3-Capex'!E176</f>
        <v>0</v>
      </c>
      <c r="E30" s="22">
        <f>'D3-Capex'!F176</f>
        <v>0</v>
      </c>
      <c r="F30" s="21">
        <f>'D3-Capex'!G176</f>
        <v>0</v>
      </c>
      <c r="G30" s="38">
        <f>'D3-Capex'!H176</f>
        <v>0</v>
      </c>
      <c r="H30" s="22">
        <f>'D3-Capex'!I176</f>
        <v>0</v>
      </c>
      <c r="I30" s="21">
        <f>'D3-Capex'!J176</f>
        <v>0</v>
      </c>
      <c r="J30" s="38">
        <f>'D3-Capex'!K176</f>
        <v>0</v>
      </c>
      <c r="K30" s="41"/>
    </row>
    <row r="31" spans="1:11" ht="12.75" customHeight="1" x14ac:dyDescent="0.2">
      <c r="A31" s="112" t="s">
        <v>34</v>
      </c>
      <c r="B31" s="22">
        <f>'D3-Capex'!C177</f>
        <v>0</v>
      </c>
      <c r="C31" s="21">
        <f>'D3-Capex'!D177</f>
        <v>0</v>
      </c>
      <c r="D31" s="38">
        <f>'D3-Capex'!E177</f>
        <v>0</v>
      </c>
      <c r="E31" s="22">
        <f>'D3-Capex'!F177</f>
        <v>0</v>
      </c>
      <c r="F31" s="21">
        <f>'D3-Capex'!G177</f>
        <v>0</v>
      </c>
      <c r="G31" s="38">
        <f>'D3-Capex'!H177</f>
        <v>0</v>
      </c>
      <c r="H31" s="22">
        <f>'D3-Capex'!I177</f>
        <v>0</v>
      </c>
      <c r="I31" s="21">
        <f>'D3-Capex'!J177</f>
        <v>0</v>
      </c>
      <c r="J31" s="38">
        <f>'D3-Capex'!K177</f>
        <v>0</v>
      </c>
      <c r="K31" s="41"/>
    </row>
    <row r="32" spans="1:11" ht="12.75" customHeight="1" x14ac:dyDescent="0.2">
      <c r="A32" s="29" t="s">
        <v>104</v>
      </c>
      <c r="B32" s="24">
        <f>+B28+B30+B31</f>
        <v>0</v>
      </c>
      <c r="C32" s="23">
        <f t="shared" ref="C32:J32" si="5">+C28+C30+C31</f>
        <v>0</v>
      </c>
      <c r="D32" s="44">
        <f t="shared" si="5"/>
        <v>0</v>
      </c>
      <c r="E32" s="24">
        <f t="shared" si="5"/>
        <v>0</v>
      </c>
      <c r="F32" s="23">
        <f t="shared" si="5"/>
        <v>0</v>
      </c>
      <c r="G32" s="44">
        <f t="shared" si="5"/>
        <v>0</v>
      </c>
      <c r="H32" s="24">
        <f t="shared" si="5"/>
        <v>0</v>
      </c>
      <c r="I32" s="23">
        <f t="shared" si="5"/>
        <v>0</v>
      </c>
      <c r="J32" s="44">
        <f t="shared" si="5"/>
        <v>0</v>
      </c>
    </row>
    <row r="33" spans="1:10" ht="5.0999999999999996" customHeight="1" x14ac:dyDescent="0.2">
      <c r="A33" s="106"/>
      <c r="B33" s="35"/>
      <c r="C33" s="34"/>
      <c r="D33" s="43"/>
      <c r="E33" s="35"/>
      <c r="F33" s="34"/>
      <c r="G33" s="43"/>
      <c r="H33" s="35"/>
      <c r="I33" s="34"/>
      <c r="J33" s="43"/>
    </row>
    <row r="34" spans="1:10" ht="12.75" customHeight="1" x14ac:dyDescent="0.2">
      <c r="A34" s="104" t="s">
        <v>50</v>
      </c>
      <c r="B34" s="33"/>
      <c r="C34" s="32"/>
      <c r="D34" s="37"/>
      <c r="E34" s="33"/>
      <c r="F34" s="32"/>
      <c r="G34" s="37"/>
      <c r="H34" s="33"/>
      <c r="I34" s="32"/>
      <c r="J34" s="37"/>
    </row>
    <row r="35" spans="1:10" ht="12.75" customHeight="1" x14ac:dyDescent="0.2">
      <c r="A35" s="28" t="s">
        <v>150</v>
      </c>
      <c r="B35" s="22">
        <f>'D4-FinPos'!C12</f>
        <v>888229644</v>
      </c>
      <c r="C35" s="21">
        <f>'D4-FinPos'!D12</f>
        <v>937401927</v>
      </c>
      <c r="D35" s="38">
        <f>'D4-FinPos'!E12</f>
        <v>3676232967</v>
      </c>
      <c r="E35" s="22">
        <f>'D4-FinPos'!F12</f>
        <v>1001771229</v>
      </c>
      <c r="F35" s="21">
        <f>'D4-FinPos'!G12</f>
        <v>1132535189.3883131</v>
      </c>
      <c r="G35" s="38">
        <f>'D4-FinPos'!H12</f>
        <v>1132535189.3883131</v>
      </c>
      <c r="H35" s="22">
        <f>'D4-FinPos'!I12</f>
        <v>1178969132.1532335</v>
      </c>
      <c r="I35" s="21">
        <f>'D4-FinPos'!J12</f>
        <v>1230843773.9679761</v>
      </c>
      <c r="J35" s="38">
        <f>'D4-FinPos'!K12</f>
        <v>1286231743.7965348</v>
      </c>
    </row>
    <row r="36" spans="1:10" ht="12.75" customHeight="1" x14ac:dyDescent="0.2">
      <c r="A36" s="28" t="s">
        <v>149</v>
      </c>
      <c r="B36" s="22">
        <f>'D4-FinPos'!C24</f>
        <v>4215570153</v>
      </c>
      <c r="C36" s="21">
        <f>'D4-FinPos'!D24</f>
        <v>4406942675</v>
      </c>
      <c r="D36" s="38">
        <f>'D4-FinPos'!E24</f>
        <v>8063809000</v>
      </c>
      <c r="E36" s="22">
        <f>'D4-FinPos'!F24</f>
        <v>4431098713</v>
      </c>
      <c r="F36" s="21">
        <f>'D4-FinPos'!G24</f>
        <v>8151541643.6399994</v>
      </c>
      <c r="G36" s="38">
        <f>'D4-FinPos'!H24</f>
        <v>8151541643.6399994</v>
      </c>
      <c r="H36" s="22">
        <f>'D4-FinPos'!I24</f>
        <v>8384320211.027771</v>
      </c>
      <c r="I36" s="21">
        <f>'D4-FinPos'!J24</f>
        <v>8595925647.6771774</v>
      </c>
      <c r="J36" s="38">
        <f>'D4-FinPos'!K24</f>
        <v>8818587908.8559055</v>
      </c>
    </row>
    <row r="37" spans="1:10" ht="12.75" customHeight="1" x14ac:dyDescent="0.2">
      <c r="A37" s="28" t="s">
        <v>25</v>
      </c>
      <c r="B37" s="22">
        <f>'D4-FinPos'!C34</f>
        <v>680083556</v>
      </c>
      <c r="C37" s="21">
        <f>'D4-FinPos'!D34</f>
        <v>1022687787</v>
      </c>
      <c r="D37" s="38">
        <f>'D4-FinPos'!E34</f>
        <v>5229801538.0600004</v>
      </c>
      <c r="E37" s="22">
        <f>'D4-FinPos'!F34</f>
        <v>698572235</v>
      </c>
      <c r="F37" s="21">
        <f>'D4-FinPos'!G34</f>
        <v>894317540.23516071</v>
      </c>
      <c r="G37" s="38">
        <f>'D4-FinPos'!H34</f>
        <v>894317540.23516071</v>
      </c>
      <c r="H37" s="22">
        <f>'D4-FinPos'!I34</f>
        <v>930984559.38480234</v>
      </c>
      <c r="I37" s="21">
        <f>'D4-FinPos'!J34</f>
        <v>971947879.99773371</v>
      </c>
      <c r="J37" s="38">
        <f>'D4-FinPos'!K34</f>
        <v>1015685534.5976317</v>
      </c>
    </row>
    <row r="38" spans="1:10" ht="12.75" customHeight="1" x14ac:dyDescent="0.2">
      <c r="A38" s="28" t="s">
        <v>24</v>
      </c>
      <c r="B38" s="22">
        <f>'D4-FinPos'!C39</f>
        <v>594244899</v>
      </c>
      <c r="C38" s="21">
        <f>'D4-FinPos'!D39</f>
        <v>687953110.80999994</v>
      </c>
      <c r="D38" s="38">
        <f>'D4-FinPos'!E39</f>
        <v>1504031870.0699999</v>
      </c>
      <c r="E38" s="22">
        <f>'D4-FinPos'!F39</f>
        <v>654340825</v>
      </c>
      <c r="F38" s="21">
        <f>'D4-FinPos'!G39</f>
        <v>1564542184.8</v>
      </c>
      <c r="G38" s="38">
        <f>'D4-FinPos'!H39</f>
        <v>1564542184.8</v>
      </c>
      <c r="H38" s="22">
        <f>'D4-FinPos'!I39</f>
        <v>1628688414.3767998</v>
      </c>
      <c r="I38" s="21">
        <f>'D4-FinPos'!J39</f>
        <v>1700350704.6093791</v>
      </c>
      <c r="J38" s="38">
        <f>'D4-FinPos'!K39</f>
        <v>1776866486.3168011</v>
      </c>
    </row>
    <row r="39" spans="1:10" ht="12.75" customHeight="1" x14ac:dyDescent="0.2">
      <c r="A39" s="28" t="s">
        <v>55</v>
      </c>
      <c r="B39" s="22">
        <f>'D4-FinPos'!C48</f>
        <v>3829471342</v>
      </c>
      <c r="C39" s="21">
        <f>'D4-FinPos'!D48</f>
        <v>3633703301.1900001</v>
      </c>
      <c r="D39" s="38">
        <f>'D4-FinPos'!E48</f>
        <v>5006208983.1400003</v>
      </c>
      <c r="E39" s="22">
        <f>'D4-FinPos'!F48</f>
        <v>4079956882</v>
      </c>
      <c r="F39" s="21">
        <f>'D4-FinPos'!G48</f>
        <v>6825217107.9931526</v>
      </c>
      <c r="G39" s="38">
        <f>'D4-FinPos'!H48</f>
        <v>6825217107.9931526</v>
      </c>
      <c r="H39" s="22">
        <f>'D4-FinPos'!I48</f>
        <v>7003616369.4194012</v>
      </c>
      <c r="I39" s="21">
        <f>'D4-FinPos'!J48</f>
        <v>7154470837.0380402</v>
      </c>
      <c r="J39" s="38">
        <f>'D4-FinPos'!K48</f>
        <v>7312267631.7380085</v>
      </c>
    </row>
    <row r="40" spans="1:10" ht="5.0999999999999996" customHeight="1" x14ac:dyDescent="0.2">
      <c r="A40" s="103"/>
      <c r="B40" s="35"/>
      <c r="C40" s="34"/>
      <c r="D40" s="43"/>
      <c r="E40" s="35"/>
      <c r="F40" s="34"/>
      <c r="G40" s="43"/>
      <c r="H40" s="35"/>
      <c r="I40" s="34"/>
      <c r="J40" s="43"/>
    </row>
    <row r="41" spans="1:10" ht="12.75" customHeight="1" x14ac:dyDescent="0.2">
      <c r="A41" s="107" t="s">
        <v>51</v>
      </c>
      <c r="B41" s="22"/>
      <c r="C41" s="21"/>
      <c r="D41" s="38"/>
      <c r="E41" s="22"/>
      <c r="F41" s="21"/>
      <c r="G41" s="38"/>
      <c r="H41" s="22"/>
      <c r="I41" s="21"/>
      <c r="J41" s="38"/>
    </row>
    <row r="42" spans="1:10" ht="12.75" customHeight="1" x14ac:dyDescent="0.2">
      <c r="A42" s="28" t="s">
        <v>164</v>
      </c>
      <c r="B42" s="22">
        <f>'D5-CFlow'!C18</f>
        <v>123087076</v>
      </c>
      <c r="C42" s="21">
        <f>'D5-CFlow'!D18</f>
        <v>153684938.25099945</v>
      </c>
      <c r="D42" s="38">
        <f>'D5-CFlow'!E18</f>
        <v>191519139.41299915</v>
      </c>
      <c r="E42" s="22">
        <f>'D5-CFlow'!F18</f>
        <v>216024554.42720985</v>
      </c>
      <c r="F42" s="21">
        <f>'D5-CFlow'!G18</f>
        <v>261647876.2997818</v>
      </c>
      <c r="G42" s="38">
        <f>'D5-CFlow'!H18</f>
        <v>261647876.2997818</v>
      </c>
      <c r="H42" s="22">
        <f>'D5-CFlow'!I18</f>
        <v>115540246.67516994</v>
      </c>
      <c r="I42" s="21">
        <f>'D5-CFlow'!J18</f>
        <v>142936008.67492819</v>
      </c>
      <c r="J42" s="38">
        <f>'D5-CFlow'!K18</f>
        <v>126636812.77072239</v>
      </c>
    </row>
    <row r="43" spans="1:10" ht="12.75" customHeight="1" x14ac:dyDescent="0.2">
      <c r="A43" s="28" t="s">
        <v>165</v>
      </c>
      <c r="B43" s="22">
        <f>'D5-CFlow'!C28</f>
        <v>-13100168</v>
      </c>
      <c r="C43" s="21">
        <f>'D5-CFlow'!D28</f>
        <v>-157213237.16999999</v>
      </c>
      <c r="D43" s="38">
        <f>'D5-CFlow'!E28</f>
        <v>-95947853.310000002</v>
      </c>
      <c r="E43" s="22">
        <f>'D5-CFlow'!F28</f>
        <v>-164283854.90196002</v>
      </c>
      <c r="F43" s="21">
        <f>'D5-CFlow'!G28</f>
        <v>-172059363.64515999</v>
      </c>
      <c r="G43" s="38">
        <f>'D5-CFlow'!H28</f>
        <v>-172059363.64515999</v>
      </c>
      <c r="H43" s="22">
        <f>'D5-CFlow'!I28</f>
        <v>-211097455.44638836</v>
      </c>
      <c r="I43" s="21">
        <f>'D5-CFlow'!J28</f>
        <v>-139030974.84960878</v>
      </c>
      <c r="J43" s="38">
        <f>'D5-CFlow'!K28</f>
        <v>-122467301.65449138</v>
      </c>
    </row>
    <row r="44" spans="1:10" ht="12.75" customHeight="1" x14ac:dyDescent="0.2">
      <c r="A44" s="28" t="s">
        <v>163</v>
      </c>
      <c r="B44" s="22">
        <f>'D5-CFlow'!C37</f>
        <v>-73666460</v>
      </c>
      <c r="C44" s="21">
        <f>'D5-CFlow'!D37</f>
        <v>-112276876.52</v>
      </c>
      <c r="D44" s="38">
        <f>'D5-CFlow'!E37</f>
        <v>-70000000</v>
      </c>
      <c r="E44" s="22">
        <f>'D5-CFlow'!F37</f>
        <v>-4333211.27999999</v>
      </c>
      <c r="F44" s="21">
        <f>'D5-CFlow'!G37</f>
        <v>-4333211.27999999</v>
      </c>
      <c r="G44" s="38">
        <f>'D5-CFlow'!H37</f>
        <v>-4333211.27999999</v>
      </c>
      <c r="H44" s="22">
        <f>'D5-CFlow'!I37</f>
        <v>0</v>
      </c>
      <c r="I44" s="21">
        <f>'D5-CFlow'!J37</f>
        <v>0</v>
      </c>
      <c r="J44" s="38">
        <f>'D5-CFlow'!K37</f>
        <v>0</v>
      </c>
    </row>
    <row r="45" spans="1:10" ht="12.75" customHeight="1" x14ac:dyDescent="0.2">
      <c r="A45" s="108" t="s">
        <v>28</v>
      </c>
      <c r="B45" s="24">
        <f>'D5-CFlow'!C41</f>
        <v>189286565.49000025</v>
      </c>
      <c r="C45" s="23">
        <f>'D5-CFlow'!D41</f>
        <v>73481390.050999716</v>
      </c>
      <c r="D45" s="44">
        <f>'D5-CFlow'!E41</f>
        <v>99052676.153998867</v>
      </c>
      <c r="E45" s="24">
        <f>'D5-CFlow'!F41</f>
        <v>47407488.245249853</v>
      </c>
      <c r="F45" s="23">
        <f>'D5-CFlow'!G41</f>
        <v>184307977.52862069</v>
      </c>
      <c r="G45" s="44">
        <f>'D5-CFlow'!H41</f>
        <v>184307977.52862069</v>
      </c>
      <c r="H45" s="24">
        <f>'D5-CFlow'!I41</f>
        <v>88750768.757402271</v>
      </c>
      <c r="I45" s="23">
        <f>'D5-CFlow'!J41</f>
        <v>92655802.58272168</v>
      </c>
      <c r="J45" s="44">
        <f>'D5-CFlow'!K41</f>
        <v>96825313.69895269</v>
      </c>
    </row>
    <row r="46" spans="1:10" ht="5.0999999999999996" customHeight="1" x14ac:dyDescent="0.2">
      <c r="A46" s="103"/>
      <c r="B46" s="35"/>
      <c r="C46" s="34"/>
      <c r="D46" s="43"/>
      <c r="E46" s="35"/>
      <c r="F46" s="34"/>
      <c r="G46" s="43"/>
      <c r="H46" s="35"/>
      <c r="I46" s="34"/>
      <c r="J46" s="43"/>
    </row>
  </sheetData>
  <sheetProtection algorithmName="SHA-512" hashValue="vesRVO2YRz4BxT7ZTCZVZcXU072JGdIiJBP7UjKsqEakDENvTgN9CQ2m/G5IVsGP9GCwo5m0/haGCGRrgFTpmA==" saltValue="lx+yYYsaza6hGPDSSntZnw==" spinCount="100000" sheet="1" objects="1" scenarios="1"/>
  <phoneticPr fontId="2" type="noConversion"/>
  <printOptions horizontalCentered="1"/>
  <pageMargins left="0.36" right="0.17" top="0.79" bottom="0.6" header="0.51181102362204722" footer="0.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pageSetUpPr fitToPage="1"/>
  </sheetPr>
  <dimension ref="A1:M49"/>
  <sheetViews>
    <sheetView showGridLines="0" zoomScale="150" zoomScaleNormal="150" workbookViewId="0">
      <pane xSplit="2" ySplit="3" topLeftCell="C13" activePane="bottomRight" state="frozen"/>
      <selection activeCell="A23" sqref="A23"/>
      <selection pane="topRight" activeCell="A23" sqref="A23"/>
      <selection pane="bottomLeft" activeCell="A23" sqref="A23"/>
      <selection pane="bottomRight" activeCell="A30" sqref="A30"/>
    </sheetView>
  </sheetViews>
  <sheetFormatPr defaultColWidth="9.109375" defaultRowHeight="10.199999999999999" x14ac:dyDescent="0.2"/>
  <cols>
    <col min="1" max="1" width="35.6640625" style="59" customWidth="1"/>
    <col min="2" max="2" width="3.109375" style="58" customWidth="1"/>
    <col min="3" max="11" width="8.6640625" style="59" customWidth="1"/>
    <col min="12" max="16384" width="9.109375" style="59"/>
  </cols>
  <sheetData>
    <row r="1" spans="1:12" ht="13.8" x14ac:dyDescent="0.3">
      <c r="A1" s="57" t="str">
        <f>_MEB1</f>
        <v>Centlec (Soc) Ltd - Table D2 Budgeted Financial Performance (revenue and expenditure)</v>
      </c>
    </row>
    <row r="2" spans="1:12" s="133" customFormat="1" ht="20.399999999999999" x14ac:dyDescent="0.2">
      <c r="A2" s="125" t="str">
        <f>desc</f>
        <v>Description</v>
      </c>
      <c r="B2" s="125"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2" s="133" customFormat="1" ht="29.25" customHeight="1" x14ac:dyDescent="0.2">
      <c r="A3" s="234" t="s">
        <v>183</v>
      </c>
      <c r="B3" s="126"/>
      <c r="C3" s="129" t="str">
        <f>Head5</f>
        <v>Audited Outcome</v>
      </c>
      <c r="D3" s="130" t="str">
        <f>Head5</f>
        <v>Audited Outcome</v>
      </c>
      <c r="E3" s="128" t="str">
        <f>Head5</f>
        <v>Audited Outcome</v>
      </c>
      <c r="F3" s="131" t="str">
        <f>Head6</f>
        <v>Original Budget</v>
      </c>
      <c r="G3" s="127" t="str">
        <f>Head7</f>
        <v>Adjusted Budget</v>
      </c>
      <c r="H3" s="128" t="str">
        <f>Head8</f>
        <v>Full Year Forecast</v>
      </c>
      <c r="I3" s="131" t="str">
        <f>Head9</f>
        <v>Budget Year 2021/22</v>
      </c>
      <c r="J3" s="127" t="str">
        <f>Head10</f>
        <v>Budget Year +1 2022/23</v>
      </c>
      <c r="K3" s="128" t="str">
        <f>Head11</f>
        <v>Budget Year +2 2023/24</v>
      </c>
    </row>
    <row r="4" spans="1:12" ht="12.75" customHeight="1" x14ac:dyDescent="0.2">
      <c r="A4" s="115" t="s">
        <v>39</v>
      </c>
      <c r="B4" s="137">
        <v>1</v>
      </c>
      <c r="C4" s="68"/>
      <c r="D4" s="66"/>
      <c r="E4" s="67"/>
      <c r="F4" s="68"/>
      <c r="G4" s="66"/>
      <c r="H4" s="67"/>
      <c r="I4" s="68"/>
      <c r="J4" s="66"/>
      <c r="K4" s="67"/>
      <c r="L4" s="69"/>
    </row>
    <row r="5" spans="1:12" ht="12.75" customHeight="1" x14ac:dyDescent="0.2">
      <c r="A5" s="235" t="s">
        <v>357</v>
      </c>
      <c r="B5" s="116"/>
      <c r="C5" s="236"/>
      <c r="D5" s="237"/>
      <c r="E5" s="238"/>
      <c r="F5" s="236"/>
      <c r="G5" s="237"/>
      <c r="H5" s="238"/>
      <c r="I5" s="236"/>
      <c r="J5" s="237"/>
      <c r="K5" s="238"/>
      <c r="L5" s="72"/>
    </row>
    <row r="6" spans="1:12" ht="12.75" customHeight="1" x14ac:dyDescent="0.2">
      <c r="A6" s="239" t="s">
        <v>306</v>
      </c>
      <c r="B6" s="116"/>
      <c r="C6" s="236">
        <v>2193332987</v>
      </c>
      <c r="D6" s="237">
        <v>2392451159.3200002</v>
      </c>
      <c r="E6" s="238">
        <v>2567898026.3699999</v>
      </c>
      <c r="F6" s="236">
        <v>2724358716</v>
      </c>
      <c r="G6" s="237">
        <v>2719965155</v>
      </c>
      <c r="H6" s="238">
        <v>2719965155</v>
      </c>
      <c r="I6" s="236">
        <v>3157614425</v>
      </c>
      <c r="J6" s="237">
        <v>3238134230.8499999</v>
      </c>
      <c r="K6" s="238">
        <v>3380612137.0100002</v>
      </c>
      <c r="L6" s="72"/>
    </row>
    <row r="7" spans="1:12" ht="12.75" customHeight="1" x14ac:dyDescent="0.2">
      <c r="A7" s="239" t="s">
        <v>307</v>
      </c>
      <c r="B7" s="116"/>
      <c r="C7" s="236"/>
      <c r="D7" s="237"/>
      <c r="E7" s="238"/>
      <c r="F7" s="236"/>
      <c r="G7" s="237"/>
      <c r="H7" s="238"/>
      <c r="I7" s="236"/>
      <c r="J7" s="237"/>
      <c r="K7" s="238"/>
      <c r="L7" s="72"/>
    </row>
    <row r="8" spans="1:12" ht="12.75" customHeight="1" x14ac:dyDescent="0.2">
      <c r="A8" s="239" t="s">
        <v>308</v>
      </c>
      <c r="B8" s="116"/>
      <c r="C8" s="236"/>
      <c r="D8" s="237"/>
      <c r="E8" s="238"/>
      <c r="F8" s="236"/>
      <c r="G8" s="237"/>
      <c r="H8" s="238"/>
      <c r="I8" s="236"/>
      <c r="J8" s="237"/>
      <c r="K8" s="238"/>
      <c r="L8" s="72"/>
    </row>
    <row r="9" spans="1:12" ht="12.75" customHeight="1" x14ac:dyDescent="0.2">
      <c r="A9" s="239" t="s">
        <v>765</v>
      </c>
      <c r="B9" s="116"/>
      <c r="C9" s="236"/>
      <c r="D9" s="237"/>
      <c r="E9" s="238"/>
      <c r="F9" s="236"/>
      <c r="G9" s="237"/>
      <c r="H9" s="238"/>
      <c r="I9" s="236"/>
      <c r="J9" s="237"/>
      <c r="K9" s="238"/>
      <c r="L9" s="72"/>
    </row>
    <row r="10" spans="1:12" ht="0.9" customHeight="1" x14ac:dyDescent="0.2">
      <c r="A10" s="239"/>
      <c r="B10" s="116"/>
      <c r="C10" s="157"/>
      <c r="D10" s="155"/>
      <c r="E10" s="158"/>
      <c r="F10" s="157"/>
      <c r="G10" s="155"/>
      <c r="H10" s="158"/>
      <c r="I10" s="157"/>
      <c r="J10" s="155"/>
      <c r="K10" s="158"/>
      <c r="L10" s="72"/>
    </row>
    <row r="11" spans="1:12" ht="12.75" customHeight="1" x14ac:dyDescent="0.2">
      <c r="A11" s="239" t="s">
        <v>402</v>
      </c>
      <c r="B11" s="116"/>
      <c r="C11" s="236"/>
      <c r="D11" s="237"/>
      <c r="E11" s="238"/>
      <c r="F11" s="240"/>
      <c r="G11" s="237"/>
      <c r="H11" s="238"/>
      <c r="I11" s="236"/>
      <c r="J11" s="237"/>
      <c r="K11" s="238"/>
      <c r="L11" s="72"/>
    </row>
    <row r="12" spans="1:12" ht="12.75" customHeight="1" x14ac:dyDescent="0.2">
      <c r="A12" s="235" t="s">
        <v>311</v>
      </c>
      <c r="B12" s="116"/>
      <c r="C12" s="236">
        <v>9708209</v>
      </c>
      <c r="D12" s="237">
        <v>4267324.28</v>
      </c>
      <c r="E12" s="238">
        <v>2938276.85</v>
      </c>
      <c r="F12" s="240">
        <v>4506880</v>
      </c>
      <c r="G12" s="237">
        <v>5176880</v>
      </c>
      <c r="H12" s="238">
        <v>5176880</v>
      </c>
      <c r="I12" s="236">
        <v>639584.79280000005</v>
      </c>
      <c r="J12" s="237">
        <v>677959.88036800001</v>
      </c>
      <c r="K12" s="238">
        <v>718637.47319008003</v>
      </c>
      <c r="L12" s="72"/>
    </row>
    <row r="13" spans="1:12" ht="12.75" customHeight="1" x14ac:dyDescent="0.2">
      <c r="A13" s="235" t="s">
        <v>312</v>
      </c>
      <c r="B13" s="116"/>
      <c r="C13" s="236">
        <v>16984572</v>
      </c>
      <c r="D13" s="237">
        <v>30832131.829999998</v>
      </c>
      <c r="E13" s="238">
        <v>25405122.420000002</v>
      </c>
      <c r="F13" s="240">
        <v>13107398</v>
      </c>
      <c r="G13" s="237">
        <v>25340660</v>
      </c>
      <c r="H13" s="238">
        <v>25340660</v>
      </c>
      <c r="I13" s="236">
        <v>31924505.140799999</v>
      </c>
      <c r="J13" s="237">
        <v>33839975.449248001</v>
      </c>
      <c r="K13" s="238">
        <v>41129350.976202898</v>
      </c>
      <c r="L13" s="72"/>
    </row>
    <row r="14" spans="1:12" ht="12.75" customHeight="1" x14ac:dyDescent="0.2">
      <c r="A14" s="235" t="s">
        <v>353</v>
      </c>
      <c r="B14" s="116"/>
      <c r="C14" s="236"/>
      <c r="D14" s="237"/>
      <c r="E14" s="238"/>
      <c r="F14" s="240"/>
      <c r="G14" s="237"/>
      <c r="H14" s="238"/>
      <c r="I14" s="236"/>
      <c r="J14" s="237"/>
      <c r="K14" s="238"/>
      <c r="L14" s="72"/>
    </row>
    <row r="15" spans="1:12" ht="12.75" customHeight="1" x14ac:dyDescent="0.2">
      <c r="A15" s="235" t="s">
        <v>844</v>
      </c>
      <c r="B15" s="116"/>
      <c r="C15" s="236">
        <v>8780307</v>
      </c>
      <c r="D15" s="237">
        <v>2973741.51</v>
      </c>
      <c r="E15" s="238">
        <v>1573822.39</v>
      </c>
      <c r="F15" s="240">
        <v>6800752</v>
      </c>
      <c r="G15" s="237">
        <v>3800752</v>
      </c>
      <c r="H15" s="238">
        <v>3800752</v>
      </c>
      <c r="I15" s="236">
        <v>1829922.8026666699</v>
      </c>
      <c r="J15" s="237">
        <v>1939718.17082667</v>
      </c>
      <c r="K15" s="238">
        <v>2056101.2610762699</v>
      </c>
      <c r="L15" s="72"/>
    </row>
    <row r="16" spans="1:12" ht="12.75" customHeight="1" x14ac:dyDescent="0.2">
      <c r="A16" s="235" t="s">
        <v>313</v>
      </c>
      <c r="B16" s="116"/>
      <c r="C16" s="236"/>
      <c r="D16" s="237"/>
      <c r="E16" s="238"/>
      <c r="F16" s="240"/>
      <c r="G16" s="237"/>
      <c r="H16" s="238"/>
      <c r="I16" s="236"/>
      <c r="J16" s="237"/>
      <c r="K16" s="238"/>
      <c r="L16" s="72"/>
    </row>
    <row r="17" spans="1:13" ht="12.75" customHeight="1" x14ac:dyDescent="0.2">
      <c r="A17" s="239" t="s">
        <v>113</v>
      </c>
      <c r="B17" s="116"/>
      <c r="C17" s="236">
        <v>2327162</v>
      </c>
      <c r="D17" s="237"/>
      <c r="E17" s="238"/>
      <c r="F17" s="240"/>
      <c r="G17" s="237"/>
      <c r="H17" s="238"/>
      <c r="I17" s="236"/>
      <c r="J17" s="237"/>
      <c r="K17" s="238"/>
      <c r="L17" s="72"/>
    </row>
    <row r="18" spans="1:13" ht="12.75" customHeight="1" x14ac:dyDescent="0.2">
      <c r="A18" s="235" t="s">
        <v>845</v>
      </c>
      <c r="B18" s="116"/>
      <c r="C18" s="236"/>
      <c r="D18" s="237"/>
      <c r="E18" s="238"/>
      <c r="F18" s="240"/>
      <c r="G18" s="237"/>
      <c r="H18" s="238"/>
      <c r="I18" s="236"/>
      <c r="J18" s="237"/>
      <c r="K18" s="238"/>
      <c r="L18" s="72"/>
    </row>
    <row r="19" spans="1:13" ht="12.75" customHeight="1" x14ac:dyDescent="0.2">
      <c r="A19" s="235" t="s">
        <v>20</v>
      </c>
      <c r="B19" s="116"/>
      <c r="C19" s="236">
        <v>123743775</v>
      </c>
      <c r="D19" s="237">
        <v>21924793.710000001</v>
      </c>
      <c r="E19" s="238">
        <v>6660577.2199999997</v>
      </c>
      <c r="F19" s="240">
        <v>16470690</v>
      </c>
      <c r="G19" s="237">
        <v>23914251</v>
      </c>
      <c r="H19" s="238">
        <v>23914251</v>
      </c>
      <c r="I19" s="236">
        <v>10813273.182933301</v>
      </c>
      <c r="J19" s="237">
        <v>11462069.573909299</v>
      </c>
      <c r="K19" s="238">
        <v>12149793.7483439</v>
      </c>
      <c r="L19" s="72"/>
      <c r="M19" s="73"/>
    </row>
    <row r="20" spans="1:13" ht="12.75" customHeight="1" x14ac:dyDescent="0.2">
      <c r="A20" s="241" t="s">
        <v>1160</v>
      </c>
      <c r="B20" s="116"/>
      <c r="C20" s="236"/>
      <c r="D20" s="237">
        <v>1876249.86</v>
      </c>
      <c r="E20" s="242">
        <v>3885687.27</v>
      </c>
      <c r="F20" s="240">
        <v>360201</v>
      </c>
      <c r="G20" s="237">
        <v>117018</v>
      </c>
      <c r="H20" s="238">
        <v>117018</v>
      </c>
      <c r="I20" s="236"/>
      <c r="J20" s="237"/>
      <c r="K20" s="238"/>
      <c r="L20" s="72"/>
    </row>
    <row r="21" spans="1:13" ht="24.75" customHeight="1" x14ac:dyDescent="0.2">
      <c r="A21" s="243" t="s">
        <v>493</v>
      </c>
      <c r="B21" s="134"/>
      <c r="C21" s="76">
        <f>SUM(C5:C9)+SUM(C11:C20)</f>
        <v>2354877012</v>
      </c>
      <c r="D21" s="74">
        <f t="shared" ref="D21:K21" si="0">SUM(D5:D9)+SUM(D11:D20)</f>
        <v>2454325400.5100002</v>
      </c>
      <c r="E21" s="75">
        <f t="shared" si="0"/>
        <v>2608361512.52</v>
      </c>
      <c r="F21" s="76">
        <f t="shared" si="0"/>
        <v>2765604637</v>
      </c>
      <c r="G21" s="74">
        <f t="shared" si="0"/>
        <v>2778314716</v>
      </c>
      <c r="H21" s="75">
        <f t="shared" si="0"/>
        <v>2778314716</v>
      </c>
      <c r="I21" s="76">
        <f t="shared" si="0"/>
        <v>3202821710.9191999</v>
      </c>
      <c r="J21" s="74">
        <f t="shared" si="0"/>
        <v>3286053953.9243517</v>
      </c>
      <c r="K21" s="75">
        <f t="shared" si="0"/>
        <v>3436666020.4688134</v>
      </c>
      <c r="L21" s="77">
        <f t="shared" ref="L21" si="1">SUM(L5:L19)</f>
        <v>0</v>
      </c>
    </row>
    <row r="22" spans="1:13" ht="5.0999999999999996" customHeight="1" x14ac:dyDescent="0.2">
      <c r="A22" s="78"/>
      <c r="B22" s="116"/>
      <c r="C22" s="68"/>
      <c r="D22" s="66"/>
      <c r="E22" s="67"/>
      <c r="F22" s="68"/>
      <c r="G22" s="66"/>
      <c r="H22" s="67"/>
      <c r="I22" s="68"/>
      <c r="J22" s="66"/>
      <c r="K22" s="67"/>
      <c r="L22" s="72"/>
    </row>
    <row r="23" spans="1:13" ht="12.75" customHeight="1" x14ac:dyDescent="0.2">
      <c r="A23" s="65" t="s">
        <v>46</v>
      </c>
      <c r="B23" s="117"/>
      <c r="C23" s="68"/>
      <c r="D23" s="66"/>
      <c r="E23" s="67"/>
      <c r="F23" s="68"/>
      <c r="G23" s="66"/>
      <c r="H23" s="67"/>
      <c r="I23" s="68"/>
      <c r="J23" s="66"/>
      <c r="K23" s="67"/>
      <c r="L23" s="72"/>
    </row>
    <row r="24" spans="1:13" ht="12.75" customHeight="1" x14ac:dyDescent="0.2">
      <c r="A24" s="239" t="s">
        <v>314</v>
      </c>
      <c r="B24" s="116"/>
      <c r="C24" s="236">
        <v>302450932.33999997</v>
      </c>
      <c r="D24" s="237">
        <v>347493787.24000001</v>
      </c>
      <c r="E24" s="238">
        <v>370630169.74000001</v>
      </c>
      <c r="F24" s="236">
        <v>369359817</v>
      </c>
      <c r="G24" s="237">
        <v>354175887.37</v>
      </c>
      <c r="H24" s="238">
        <v>354175887.37</v>
      </c>
      <c r="I24" s="236">
        <v>379701891.87103987</v>
      </c>
      <c r="J24" s="237">
        <v>390333544.84952366</v>
      </c>
      <c r="K24" s="238">
        <v>401262884.16850281</v>
      </c>
      <c r="L24" s="72"/>
    </row>
    <row r="25" spans="1:13" ht="12.75" customHeight="1" x14ac:dyDescent="0.2">
      <c r="A25" s="239" t="s">
        <v>972</v>
      </c>
      <c r="B25" s="116"/>
      <c r="C25" s="236">
        <v>1262584</v>
      </c>
      <c r="D25" s="237">
        <v>406169</v>
      </c>
      <c r="E25" s="238">
        <v>597228</v>
      </c>
      <c r="F25" s="236">
        <v>1831818</v>
      </c>
      <c r="G25" s="237">
        <v>1346560</v>
      </c>
      <c r="H25" s="238">
        <v>1346560</v>
      </c>
      <c r="I25" s="236">
        <v>982439.61066666699</v>
      </c>
      <c r="J25" s="237">
        <v>1023702.0743146666</v>
      </c>
      <c r="K25" s="238">
        <v>1068744.9655845119</v>
      </c>
      <c r="L25" s="72"/>
    </row>
    <row r="26" spans="1:13" ht="12.75" customHeight="1" x14ac:dyDescent="0.2">
      <c r="A26" s="239" t="s">
        <v>135</v>
      </c>
      <c r="B26" s="116">
        <v>4</v>
      </c>
      <c r="C26" s="236">
        <v>24223327</v>
      </c>
      <c r="D26" s="237">
        <v>-52208035.170000002</v>
      </c>
      <c r="E26" s="238">
        <v>87129247</v>
      </c>
      <c r="F26" s="236">
        <v>9297599</v>
      </c>
      <c r="G26" s="237">
        <v>363833.56</v>
      </c>
      <c r="H26" s="238">
        <v>363833.56</v>
      </c>
      <c r="I26" s="236">
        <v>10358298.885784</v>
      </c>
      <c r="J26" s="237">
        <v>9065342.4451530743</v>
      </c>
      <c r="K26" s="238">
        <v>8561485.4560206402</v>
      </c>
      <c r="L26" s="72"/>
    </row>
    <row r="27" spans="1:13" ht="12.75" customHeight="1" x14ac:dyDescent="0.2">
      <c r="A27" s="239" t="s">
        <v>178</v>
      </c>
      <c r="B27" s="116"/>
      <c r="C27" s="236">
        <v>134199325</v>
      </c>
      <c r="D27" s="237">
        <v>135051724.91</v>
      </c>
      <c r="E27" s="238">
        <v>142487300.25</v>
      </c>
      <c r="F27" s="236">
        <v>74148250</v>
      </c>
      <c r="G27" s="237">
        <v>44209836</v>
      </c>
      <c r="H27" s="238">
        <v>44209836</v>
      </c>
      <c r="I27" s="236">
        <v>73461276.697983146</v>
      </c>
      <c r="J27" s="237">
        <v>77758441.373310089</v>
      </c>
      <c r="K27" s="238">
        <v>73833238.914461792</v>
      </c>
      <c r="L27" s="72"/>
    </row>
    <row r="28" spans="1:13" ht="12.75" customHeight="1" x14ac:dyDescent="0.2">
      <c r="A28" s="239" t="s">
        <v>19</v>
      </c>
      <c r="B28" s="116"/>
      <c r="C28" s="236">
        <v>117459</v>
      </c>
      <c r="D28" s="237">
        <v>9340427.5199999996</v>
      </c>
      <c r="E28" s="238">
        <v>17443292.77</v>
      </c>
      <c r="F28" s="236">
        <v>56654</v>
      </c>
      <c r="G28" s="237">
        <v>56654</v>
      </c>
      <c r="H28" s="238">
        <v>56654</v>
      </c>
      <c r="I28" s="236">
        <v>58864.046280000002</v>
      </c>
      <c r="J28" s="237">
        <v>61336.336223760001</v>
      </c>
      <c r="K28" s="238">
        <v>64035.13501760544</v>
      </c>
      <c r="L28" s="72"/>
    </row>
    <row r="29" spans="1:13" ht="12.75" customHeight="1" x14ac:dyDescent="0.2">
      <c r="A29" s="239" t="s">
        <v>1165</v>
      </c>
      <c r="B29" s="116">
        <v>2</v>
      </c>
      <c r="C29" s="236">
        <v>1429508907</v>
      </c>
      <c r="D29" s="237">
        <v>1501610467.8499999</v>
      </c>
      <c r="E29" s="238">
        <v>1675543753.49</v>
      </c>
      <c r="F29" s="236">
        <v>1641072238</v>
      </c>
      <c r="G29" s="237">
        <v>1703353305.9100001</v>
      </c>
      <c r="H29" s="238">
        <v>1703353305.9100001</v>
      </c>
      <c r="I29" s="236">
        <v>2002152946</v>
      </c>
      <c r="J29" s="237">
        <v>2115278758</v>
      </c>
      <c r="K29" s="238">
        <v>2265103341</v>
      </c>
      <c r="L29" s="72"/>
    </row>
    <row r="30" spans="1:13" ht="12.75" customHeight="1" x14ac:dyDescent="0.2">
      <c r="A30" s="239" t="s">
        <v>1166</v>
      </c>
      <c r="B30" s="116">
        <v>5</v>
      </c>
      <c r="C30" s="236">
        <v>442692</v>
      </c>
      <c r="D30" s="237">
        <v>31043121.82</v>
      </c>
      <c r="E30" s="238">
        <v>32210771.879999999</v>
      </c>
      <c r="F30" s="236">
        <v>30334813</v>
      </c>
      <c r="G30" s="237">
        <v>30179580</v>
      </c>
      <c r="H30" s="238">
        <v>30179580</v>
      </c>
      <c r="I30" s="236">
        <v>37429990.321786702</v>
      </c>
      <c r="J30" s="237">
        <v>39002049.915301695</v>
      </c>
      <c r="K30" s="238">
        <v>40218140.111574993</v>
      </c>
      <c r="L30" s="72"/>
    </row>
    <row r="31" spans="1:13" ht="12.75" customHeight="1" x14ac:dyDescent="0.2">
      <c r="A31" s="239" t="s">
        <v>315</v>
      </c>
      <c r="B31" s="116"/>
      <c r="C31" s="236">
        <v>170973605</v>
      </c>
      <c r="D31" s="237">
        <v>157052224.08000001</v>
      </c>
      <c r="E31" s="238">
        <v>105600678.59999999</v>
      </c>
      <c r="F31" s="236">
        <v>126998812</v>
      </c>
      <c r="G31" s="237">
        <v>120692646</v>
      </c>
      <c r="H31" s="238">
        <v>120692646</v>
      </c>
      <c r="I31" s="236">
        <v>123737066.39332002</v>
      </c>
      <c r="J31" s="237">
        <v>128934022.17437945</v>
      </c>
      <c r="K31" s="238">
        <v>130747120.33705214</v>
      </c>
      <c r="L31" s="72"/>
    </row>
    <row r="32" spans="1:13" ht="12.75" customHeight="1" x14ac:dyDescent="0.2">
      <c r="A32" s="235" t="s">
        <v>845</v>
      </c>
      <c r="B32" s="116"/>
      <c r="C32" s="236"/>
      <c r="D32" s="237"/>
      <c r="E32" s="238"/>
      <c r="F32" s="236">
        <v>120000000</v>
      </c>
      <c r="G32" s="237">
        <v>120000000</v>
      </c>
      <c r="H32" s="238">
        <v>120000000</v>
      </c>
      <c r="I32" s="236">
        <v>119999999.99666667</v>
      </c>
      <c r="J32" s="237">
        <v>119999999.99666667</v>
      </c>
      <c r="K32" s="238">
        <v>119999999.99520001</v>
      </c>
      <c r="L32" s="72"/>
    </row>
    <row r="33" spans="1:13" ht="12.75" customHeight="1" x14ac:dyDescent="0.2">
      <c r="A33" s="239" t="s">
        <v>6</v>
      </c>
      <c r="B33" s="116">
        <v>3</v>
      </c>
      <c r="C33" s="236">
        <v>131841461</v>
      </c>
      <c r="D33" s="237">
        <v>306410849.00999999</v>
      </c>
      <c r="E33" s="238">
        <v>260689182.90000001</v>
      </c>
      <c r="F33" s="236">
        <v>71968957</v>
      </c>
      <c r="G33" s="237">
        <v>73032841</v>
      </c>
      <c r="H33" s="238">
        <v>73032840.649999991</v>
      </c>
      <c r="I33" s="236">
        <v>76407802.944586694</v>
      </c>
      <c r="J33" s="237">
        <v>79910930.668259293</v>
      </c>
      <c r="K33" s="238">
        <v>81085011.617662728</v>
      </c>
      <c r="L33" s="72"/>
    </row>
    <row r="34" spans="1:13" ht="12.75" customHeight="1" x14ac:dyDescent="0.2">
      <c r="A34" s="241" t="s">
        <v>1159</v>
      </c>
      <c r="B34" s="116"/>
      <c r="C34" s="244">
        <v>911252</v>
      </c>
      <c r="D34" s="237">
        <v>5189863.59</v>
      </c>
      <c r="E34" s="238">
        <v>11745677.859999999</v>
      </c>
      <c r="F34" s="236">
        <v>0</v>
      </c>
      <c r="G34" s="237"/>
      <c r="H34" s="238"/>
      <c r="I34" s="236">
        <v>115042.45765333332</v>
      </c>
      <c r="J34" s="237">
        <v>119874.24087477331</v>
      </c>
      <c r="K34" s="238">
        <v>125148.707473263</v>
      </c>
      <c r="L34" s="72"/>
    </row>
    <row r="35" spans="1:13" ht="12.75" customHeight="1" x14ac:dyDescent="0.2">
      <c r="A35" s="135" t="s">
        <v>47</v>
      </c>
      <c r="B35" s="134"/>
      <c r="C35" s="76">
        <f t="shared" ref="C35:K35" si="2">SUM(C24:C34)</f>
        <v>2195931544.3400002</v>
      </c>
      <c r="D35" s="74">
        <f t="shared" si="2"/>
        <v>2441390599.8499999</v>
      </c>
      <c r="E35" s="75">
        <f t="shared" si="2"/>
        <v>2704077302.4900002</v>
      </c>
      <c r="F35" s="76">
        <f t="shared" si="2"/>
        <v>2445068958</v>
      </c>
      <c r="G35" s="74">
        <f t="shared" si="2"/>
        <v>2447411143.8400002</v>
      </c>
      <c r="H35" s="75">
        <f t="shared" si="2"/>
        <v>2447411143.4900002</v>
      </c>
      <c r="I35" s="76">
        <f t="shared" si="2"/>
        <v>2824405619.2257676</v>
      </c>
      <c r="J35" s="74">
        <f t="shared" si="2"/>
        <v>2961488002.074007</v>
      </c>
      <c r="K35" s="75">
        <f>SUM(K24:K34)</f>
        <v>3122069150.4085512</v>
      </c>
      <c r="L35" s="77"/>
    </row>
    <row r="36" spans="1:13" ht="9.9" customHeight="1" x14ac:dyDescent="0.2">
      <c r="A36" s="79"/>
      <c r="B36" s="116"/>
      <c r="C36" s="68"/>
      <c r="D36" s="66"/>
      <c r="E36" s="67"/>
      <c r="F36" s="68"/>
      <c r="G36" s="66"/>
      <c r="H36" s="67"/>
      <c r="I36" s="68"/>
      <c r="J36" s="66"/>
      <c r="K36" s="67"/>
      <c r="L36" s="77"/>
    </row>
    <row r="37" spans="1:13" ht="12.75" customHeight="1" x14ac:dyDescent="0.2">
      <c r="A37" s="79" t="s">
        <v>48</v>
      </c>
      <c r="B37" s="116"/>
      <c r="C37" s="82">
        <f t="shared" ref="C37:K37" si="3">C21-C35</f>
        <v>158945467.65999985</v>
      </c>
      <c r="D37" s="80">
        <f t="shared" si="3"/>
        <v>12934800.660000324</v>
      </c>
      <c r="E37" s="81">
        <f t="shared" si="3"/>
        <v>-95715789.970000267</v>
      </c>
      <c r="F37" s="82">
        <f t="shared" si="3"/>
        <v>320535679</v>
      </c>
      <c r="G37" s="80">
        <f t="shared" si="3"/>
        <v>330903572.15999985</v>
      </c>
      <c r="H37" s="81">
        <f t="shared" si="3"/>
        <v>330903572.50999975</v>
      </c>
      <c r="I37" s="82">
        <f t="shared" si="3"/>
        <v>378416091.69343233</v>
      </c>
      <c r="J37" s="80">
        <f t="shared" si="3"/>
        <v>324565951.85034466</v>
      </c>
      <c r="K37" s="81">
        <f t="shared" si="3"/>
        <v>314596870.0602622</v>
      </c>
      <c r="L37" s="77"/>
    </row>
    <row r="38" spans="1:13" ht="26.25" customHeight="1" x14ac:dyDescent="0.2">
      <c r="A38" s="245" t="s">
        <v>846</v>
      </c>
      <c r="B38" s="116"/>
      <c r="C38" s="236">
        <v>17506656</v>
      </c>
      <c r="D38" s="237"/>
      <c r="E38" s="238">
        <v>22608695.649999999</v>
      </c>
      <c r="F38" s="236">
        <v>57499976</v>
      </c>
      <c r="G38" s="237">
        <v>50492049</v>
      </c>
      <c r="H38" s="238">
        <v>50492049</v>
      </c>
      <c r="I38" s="236">
        <v>20466030.119966701</v>
      </c>
      <c r="J38" s="237">
        <v>12724686.059147134</v>
      </c>
      <c r="K38" s="238">
        <v>18238431.720983505</v>
      </c>
      <c r="L38" s="77"/>
    </row>
    <row r="39" spans="1:13" ht="42.9" customHeight="1" x14ac:dyDescent="0.2">
      <c r="A39" s="245" t="s">
        <v>847</v>
      </c>
      <c r="B39" s="116"/>
      <c r="C39" s="236">
        <v>1706656</v>
      </c>
      <c r="D39" s="237">
        <v>21912812.579999998</v>
      </c>
      <c r="E39" s="238">
        <v>16133287.85</v>
      </c>
      <c r="F39" s="236">
        <v>11932851</v>
      </c>
      <c r="G39" s="237">
        <v>11932851</v>
      </c>
      <c r="H39" s="238">
        <v>11932851</v>
      </c>
      <c r="I39" s="236">
        <v>13000000</v>
      </c>
      <c r="J39" s="237">
        <v>13417170</v>
      </c>
      <c r="K39" s="238">
        <v>13847726.985300001</v>
      </c>
      <c r="L39" s="77"/>
    </row>
    <row r="40" spans="1:13" ht="12.75" customHeight="1" x14ac:dyDescent="0.2">
      <c r="A40" s="235" t="s">
        <v>848</v>
      </c>
      <c r="B40" s="116"/>
      <c r="C40" s="244"/>
      <c r="D40" s="246"/>
      <c r="E40" s="242"/>
      <c r="F40" s="244"/>
      <c r="G40" s="246"/>
      <c r="H40" s="242"/>
      <c r="I40" s="244"/>
      <c r="J40" s="246"/>
      <c r="K40" s="242"/>
      <c r="L40" s="77"/>
    </row>
    <row r="41" spans="1:13" ht="15" customHeight="1" x14ac:dyDescent="0.2">
      <c r="A41" s="247" t="s">
        <v>522</v>
      </c>
      <c r="B41" s="118"/>
      <c r="C41" s="85">
        <f t="shared" ref="C41:K41" si="4">SUM(C37:C40)</f>
        <v>178158779.65999985</v>
      </c>
      <c r="D41" s="83">
        <f t="shared" si="4"/>
        <v>34847613.240000322</v>
      </c>
      <c r="E41" s="84">
        <f t="shared" si="4"/>
        <v>-56973806.47000026</v>
      </c>
      <c r="F41" s="85">
        <f t="shared" si="4"/>
        <v>389968506</v>
      </c>
      <c r="G41" s="83">
        <f t="shared" si="4"/>
        <v>393328472.15999985</v>
      </c>
      <c r="H41" s="84">
        <f t="shared" si="4"/>
        <v>393328472.50999975</v>
      </c>
      <c r="I41" s="85">
        <f t="shared" si="4"/>
        <v>411882121.81339902</v>
      </c>
      <c r="J41" s="83">
        <f t="shared" si="4"/>
        <v>350707807.90949178</v>
      </c>
      <c r="K41" s="84">
        <f t="shared" si="4"/>
        <v>346683028.76654571</v>
      </c>
      <c r="L41" s="77"/>
    </row>
    <row r="42" spans="1:13" ht="12.75" customHeight="1" x14ac:dyDescent="0.2">
      <c r="A42" s="70" t="s">
        <v>30</v>
      </c>
      <c r="B42" s="71"/>
      <c r="C42" s="236">
        <v>46179009</v>
      </c>
      <c r="D42" s="237"/>
      <c r="E42" s="238"/>
      <c r="F42" s="236"/>
      <c r="G42" s="237"/>
      <c r="H42" s="238"/>
      <c r="I42" s="236"/>
      <c r="J42" s="237"/>
      <c r="K42" s="238"/>
      <c r="L42" s="77"/>
    </row>
    <row r="43" spans="1:13" ht="12.75" customHeight="1" x14ac:dyDescent="0.2">
      <c r="A43" s="248" t="s">
        <v>334</v>
      </c>
      <c r="B43" s="249"/>
      <c r="C43" s="250">
        <f>C41-C42</f>
        <v>131979770.65999985</v>
      </c>
      <c r="D43" s="251">
        <f t="shared" ref="D43:K43" si="5">D41-D42</f>
        <v>34847613.240000322</v>
      </c>
      <c r="E43" s="251">
        <f t="shared" si="5"/>
        <v>-56973806.47000026</v>
      </c>
      <c r="F43" s="251">
        <f t="shared" si="5"/>
        <v>389968506</v>
      </c>
      <c r="G43" s="251">
        <f t="shared" si="5"/>
        <v>393328472.15999985</v>
      </c>
      <c r="H43" s="251">
        <f t="shared" si="5"/>
        <v>393328472.50999975</v>
      </c>
      <c r="I43" s="251">
        <f t="shared" si="5"/>
        <v>411882121.81339902</v>
      </c>
      <c r="J43" s="251">
        <f t="shared" si="5"/>
        <v>350707807.90949178</v>
      </c>
      <c r="K43" s="251">
        <f t="shared" si="5"/>
        <v>346683028.76654571</v>
      </c>
      <c r="L43" s="77"/>
    </row>
    <row r="44" spans="1:13" ht="12.75" customHeight="1" x14ac:dyDescent="0.2">
      <c r="A44" s="174" t="s">
        <v>162</v>
      </c>
      <c r="B44" s="175"/>
      <c r="C44" s="176"/>
      <c r="D44" s="176"/>
      <c r="E44" s="176"/>
      <c r="F44" s="176"/>
      <c r="G44" s="176"/>
      <c r="H44" s="176"/>
      <c r="I44" s="176"/>
      <c r="J44" s="176"/>
      <c r="K44" s="176"/>
      <c r="L44" s="77"/>
      <c r="M44" s="86"/>
    </row>
    <row r="45" spans="1:13" ht="12.75" customHeight="1" x14ac:dyDescent="0.2">
      <c r="A45" s="177" t="s">
        <v>56</v>
      </c>
      <c r="B45" s="175"/>
      <c r="C45" s="176"/>
      <c r="D45" s="176"/>
      <c r="E45" s="176"/>
      <c r="F45" s="176"/>
      <c r="G45" s="176"/>
      <c r="H45" s="176"/>
      <c r="I45" s="176"/>
      <c r="J45" s="176"/>
      <c r="K45" s="176"/>
      <c r="L45" s="77"/>
      <c r="M45" s="86"/>
    </row>
    <row r="46" spans="1:13" ht="12.75" customHeight="1" x14ac:dyDescent="0.2">
      <c r="A46" s="177" t="s">
        <v>381</v>
      </c>
      <c r="B46" s="175"/>
      <c r="C46" s="176"/>
      <c r="D46" s="176"/>
      <c r="E46" s="176"/>
      <c r="F46" s="176"/>
      <c r="G46" s="176"/>
      <c r="H46" s="176"/>
      <c r="I46" s="176"/>
      <c r="J46" s="176"/>
      <c r="K46" s="176"/>
      <c r="L46" s="77"/>
      <c r="M46" s="86"/>
    </row>
    <row r="47" spans="1:13" ht="12.75" customHeight="1" x14ac:dyDescent="0.2">
      <c r="A47" s="177" t="s">
        <v>526</v>
      </c>
      <c r="B47" s="178"/>
      <c r="C47" s="176"/>
      <c r="D47" s="176"/>
      <c r="E47" s="176"/>
      <c r="F47" s="176"/>
      <c r="G47" s="176"/>
      <c r="H47" s="176"/>
      <c r="I47" s="176"/>
      <c r="J47" s="176"/>
      <c r="K47" s="176"/>
      <c r="L47" s="72"/>
    </row>
    <row r="48" spans="1:13" x14ac:dyDescent="0.2">
      <c r="A48" s="180" t="s">
        <v>524</v>
      </c>
      <c r="B48" s="89"/>
      <c r="C48" s="88"/>
      <c r="D48" s="88"/>
      <c r="E48" s="179"/>
      <c r="F48" s="179"/>
      <c r="G48" s="179"/>
      <c r="H48" s="179"/>
      <c r="I48" s="179"/>
      <c r="J48" s="179"/>
      <c r="K48" s="179"/>
      <c r="L48" s="87"/>
    </row>
    <row r="49" spans="1:12" x14ac:dyDescent="0.2">
      <c r="A49" s="180" t="s">
        <v>525</v>
      </c>
      <c r="B49" s="89"/>
      <c r="C49" s="88"/>
      <c r="D49" s="88"/>
      <c r="E49" s="179"/>
      <c r="F49" s="179"/>
      <c r="G49" s="179"/>
      <c r="H49" s="179"/>
      <c r="I49" s="179"/>
      <c r="J49" s="179"/>
      <c r="K49" s="179"/>
      <c r="L49" s="87"/>
    </row>
  </sheetData>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7">
    <pageSetUpPr fitToPage="1"/>
  </sheetPr>
  <dimension ref="A1:W222"/>
  <sheetViews>
    <sheetView showGridLines="0" tabSelected="1" zoomScaleNormal="100" workbookViewId="0">
      <pane xSplit="2" ySplit="3" topLeftCell="C4" activePane="bottomRight" state="frozen"/>
      <selection activeCell="A23" sqref="A23"/>
      <selection pane="topRight" activeCell="A23" sqref="A23"/>
      <selection pane="bottomLeft" activeCell="A23" sqref="A23"/>
      <selection pane="bottomRight" activeCell="G13" sqref="G13"/>
    </sheetView>
  </sheetViews>
  <sheetFormatPr defaultColWidth="9.109375" defaultRowHeight="10.199999999999999" x14ac:dyDescent="0.2"/>
  <cols>
    <col min="1" max="1" width="35.109375" style="59" customWidth="1"/>
    <col min="2" max="2" width="3.109375"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2" ht="13.8" x14ac:dyDescent="0.3">
      <c r="A1" s="57" t="str">
        <f>_MEB2</f>
        <v>Centlec (Soc) Ltd - Table D3 Capital Budget by asset class and funding</v>
      </c>
    </row>
    <row r="2" spans="1:12" ht="20.399999999999999" x14ac:dyDescent="0.2">
      <c r="A2" s="125" t="str">
        <f>Vdesc</f>
        <v>Vote Description</v>
      </c>
      <c r="B2" s="252" t="str">
        <f>head27</f>
        <v>Ref</v>
      </c>
      <c r="C2" s="100" t="str">
        <f>head1b</f>
        <v>2017/18</v>
      </c>
      <c r="D2" s="60" t="str">
        <f>head1A</f>
        <v>2018/19</v>
      </c>
      <c r="E2" s="61" t="str">
        <f>Head1</f>
        <v>2019/20</v>
      </c>
      <c r="F2" s="654" t="str">
        <f>Head2</f>
        <v>Current Year 2020/21</v>
      </c>
      <c r="G2" s="655"/>
      <c r="H2" s="656"/>
      <c r="I2" s="62" t="str">
        <f>Head3a</f>
        <v>Medium Term Revenue and Expenditure Framework</v>
      </c>
      <c r="J2" s="63"/>
      <c r="K2" s="64"/>
    </row>
    <row r="3" spans="1:12" ht="20.399999999999999" x14ac:dyDescent="0.2">
      <c r="A3" s="253" t="s">
        <v>183</v>
      </c>
      <c r="B3" s="254">
        <v>1</v>
      </c>
      <c r="C3" s="129" t="str">
        <f>Head5</f>
        <v>Audited Outcome</v>
      </c>
      <c r="D3" s="130" t="str">
        <f>Head5</f>
        <v>Audited Outcome</v>
      </c>
      <c r="E3" s="128" t="str">
        <f>Head5</f>
        <v>Audited Outcome</v>
      </c>
      <c r="F3" s="131" t="str">
        <f>Head6</f>
        <v>Original Budget</v>
      </c>
      <c r="G3" s="127" t="str">
        <f>Head7</f>
        <v>Adjusted Budget</v>
      </c>
      <c r="H3" s="128" t="str">
        <f>Head8</f>
        <v>Full Year Forecast</v>
      </c>
      <c r="I3" s="131" t="str">
        <f>Head9</f>
        <v>Budget Year 2021/22</v>
      </c>
      <c r="J3" s="127" t="str">
        <f>Head10</f>
        <v>Budget Year +1 2022/23</v>
      </c>
      <c r="K3" s="128" t="str">
        <f>Head11</f>
        <v>Budget Year +2 2023/24</v>
      </c>
    </row>
    <row r="4" spans="1:12" ht="12.75" customHeight="1" x14ac:dyDescent="0.2">
      <c r="A4" s="65" t="s">
        <v>821</v>
      </c>
      <c r="B4" s="255"/>
      <c r="C4" s="68"/>
      <c r="D4" s="66"/>
      <c r="E4" s="67"/>
      <c r="F4" s="68"/>
      <c r="G4" s="66"/>
      <c r="H4" s="67"/>
      <c r="I4" s="68"/>
      <c r="J4" s="66"/>
      <c r="K4" s="67"/>
    </row>
    <row r="5" spans="1:12" ht="5.0999999999999996" customHeight="1" x14ac:dyDescent="0.2">
      <c r="A5" s="65"/>
      <c r="B5" s="255"/>
      <c r="C5" s="68"/>
      <c r="D5" s="66"/>
      <c r="E5" s="67"/>
      <c r="F5" s="68"/>
      <c r="G5" s="66"/>
      <c r="H5" s="67"/>
      <c r="I5" s="68"/>
      <c r="J5" s="66"/>
      <c r="K5" s="67"/>
    </row>
    <row r="6" spans="1:12" ht="13.35" customHeight="1" x14ac:dyDescent="0.2">
      <c r="A6" s="256" t="s">
        <v>159</v>
      </c>
      <c r="B6" s="257"/>
      <c r="C6" s="145">
        <f>C7+C12+C16+C26+C37+C44+C52+C62+C68</f>
        <v>99163236.299999997</v>
      </c>
      <c r="D6" s="145">
        <f t="shared" ref="D6:K6" si="0">D7+D12+D16+D26+D37+D44+D52+D62+D68</f>
        <v>134844046.16</v>
      </c>
      <c r="E6" s="258">
        <f t="shared" si="0"/>
        <v>86250242.069999993</v>
      </c>
      <c r="F6" s="259">
        <f t="shared" si="0"/>
        <v>140757765</v>
      </c>
      <c r="G6" s="145">
        <f t="shared" si="0"/>
        <v>149318538</v>
      </c>
      <c r="H6" s="260">
        <f t="shared" si="0"/>
        <v>149318538</v>
      </c>
      <c r="I6" s="259">
        <f t="shared" si="0"/>
        <v>157649156.76868668</v>
      </c>
      <c r="J6" s="145">
        <f t="shared" si="0"/>
        <v>112394577.50465338</v>
      </c>
      <c r="K6" s="258">
        <f t="shared" si="0"/>
        <v>94715514.640592009</v>
      </c>
      <c r="L6" s="261"/>
    </row>
    <row r="7" spans="1:12" s="262" customFormat="1" ht="13.35" customHeight="1" x14ac:dyDescent="0.25">
      <c r="A7" s="235" t="s">
        <v>849</v>
      </c>
      <c r="B7" s="257"/>
      <c r="C7" s="150">
        <f t="shared" ref="C7:K7" si="1">SUM(C8:C11)</f>
        <v>0</v>
      </c>
      <c r="D7" s="150">
        <f t="shared" si="1"/>
        <v>0</v>
      </c>
      <c r="E7" s="151">
        <f t="shared" si="1"/>
        <v>0</v>
      </c>
      <c r="F7" s="152">
        <f t="shared" si="1"/>
        <v>0</v>
      </c>
      <c r="G7" s="150">
        <f t="shared" si="1"/>
        <v>0</v>
      </c>
      <c r="H7" s="153">
        <f t="shared" si="1"/>
        <v>0</v>
      </c>
      <c r="I7" s="152">
        <f t="shared" si="1"/>
        <v>0</v>
      </c>
      <c r="J7" s="150">
        <f t="shared" si="1"/>
        <v>0</v>
      </c>
      <c r="K7" s="153">
        <f t="shared" si="1"/>
        <v>0</v>
      </c>
      <c r="L7" s="73"/>
    </row>
    <row r="8" spans="1:12" s="262" customFormat="1" ht="13.35" customHeight="1" x14ac:dyDescent="0.25">
      <c r="A8" s="263" t="s">
        <v>504</v>
      </c>
      <c r="B8" s="264"/>
      <c r="C8" s="184">
        <f>SD7a!C8+SD7b!C8++SD7e!C8</f>
        <v>0</v>
      </c>
      <c r="D8" s="155">
        <f>SD7a!D8+SD7b!D8++SD7e!D8</f>
        <v>0</v>
      </c>
      <c r="E8" s="156">
        <f>SD7a!E8+SD7b!E8++SD7e!E8</f>
        <v>0</v>
      </c>
      <c r="F8" s="157">
        <f>SD7a!F8+SD7b!F8++SD7e!F8</f>
        <v>0</v>
      </c>
      <c r="G8" s="155">
        <f>SD7a!G8+SD7b!G8++SD7e!G8</f>
        <v>0</v>
      </c>
      <c r="H8" s="158">
        <f>SD7a!H8+SD7b!H8++SD7e!H8</f>
        <v>0</v>
      </c>
      <c r="I8" s="157">
        <f>SD7a!I8+SD7b!I8++SD7e!I8</f>
        <v>0</v>
      </c>
      <c r="J8" s="155">
        <f>SD7a!J8+SD7b!J8++SD7e!J8</f>
        <v>0</v>
      </c>
      <c r="K8" s="158">
        <f>SD7a!K8+SD7b!K8++SD7e!K8</f>
        <v>0</v>
      </c>
      <c r="L8" s="261"/>
    </row>
    <row r="9" spans="1:12" s="262" customFormat="1" ht="13.35" customHeight="1" x14ac:dyDescent="0.25">
      <c r="A9" s="263" t="s">
        <v>850</v>
      </c>
      <c r="B9" s="257"/>
      <c r="C9" s="184">
        <f>SD7a!C9+SD7b!C9++SD7e!C9</f>
        <v>0</v>
      </c>
      <c r="D9" s="155">
        <f>SD7a!D9+SD7b!D9++SD7e!D9</f>
        <v>0</v>
      </c>
      <c r="E9" s="156">
        <f>SD7a!E9+SD7b!E9++SD7e!E9</f>
        <v>0</v>
      </c>
      <c r="F9" s="157">
        <f>SD7a!F9+SD7b!F9++SD7e!F9</f>
        <v>0</v>
      </c>
      <c r="G9" s="155">
        <f>SD7a!G9+SD7b!G9++SD7e!G9</f>
        <v>0</v>
      </c>
      <c r="H9" s="158">
        <f>SD7a!H9+SD7b!H9++SD7e!H9</f>
        <v>0</v>
      </c>
      <c r="I9" s="157">
        <f>SD7a!I9+SD7b!I9++SD7e!I9</f>
        <v>0</v>
      </c>
      <c r="J9" s="155">
        <f>SD7a!J9+SD7b!J9++SD7e!J9</f>
        <v>0</v>
      </c>
      <c r="K9" s="158">
        <f>SD7a!K9+SD7b!K9++SD7e!K9</f>
        <v>0</v>
      </c>
      <c r="L9" s="265"/>
    </row>
    <row r="10" spans="1:12" s="262" customFormat="1" ht="13.35" customHeight="1" x14ac:dyDescent="0.25">
      <c r="A10" s="263" t="s">
        <v>851</v>
      </c>
      <c r="B10" s="257"/>
      <c r="C10" s="184">
        <f>SD7a!C10+SD7b!C10++SD7e!C10</f>
        <v>0</v>
      </c>
      <c r="D10" s="155">
        <f>SD7a!D10+SD7b!D10++SD7e!D10</f>
        <v>0</v>
      </c>
      <c r="E10" s="156">
        <f>SD7a!E10+SD7b!E10++SD7e!E10</f>
        <v>0</v>
      </c>
      <c r="F10" s="157">
        <f>SD7a!F10+SD7b!F10++SD7e!F10</f>
        <v>0</v>
      </c>
      <c r="G10" s="155">
        <f>SD7a!G10+SD7b!G10++SD7e!G10</f>
        <v>0</v>
      </c>
      <c r="H10" s="158">
        <f>SD7a!H10+SD7b!H10++SD7e!H10</f>
        <v>0</v>
      </c>
      <c r="I10" s="157">
        <f>SD7a!I10+SD7b!I10++SD7e!I10</f>
        <v>0</v>
      </c>
      <c r="J10" s="155">
        <f>SD7a!J10+SD7b!J10++SD7e!J10</f>
        <v>0</v>
      </c>
      <c r="K10" s="158">
        <f>SD7a!K10+SD7b!K10++SD7e!K10</f>
        <v>0</v>
      </c>
      <c r="L10" s="265"/>
    </row>
    <row r="11" spans="1:12" s="262" customFormat="1" ht="13.35" customHeight="1" x14ac:dyDescent="0.25">
      <c r="A11" s="263" t="s">
        <v>852</v>
      </c>
      <c r="B11" s="257"/>
      <c r="C11" s="184">
        <f>SD7a!C11+SD7b!C11++SD7e!C11</f>
        <v>0</v>
      </c>
      <c r="D11" s="155">
        <f>SD7a!D11+SD7b!D11++SD7e!D11</f>
        <v>0</v>
      </c>
      <c r="E11" s="156">
        <f>SD7a!E11+SD7b!E11++SD7e!E11</f>
        <v>0</v>
      </c>
      <c r="F11" s="157">
        <f>SD7a!F11+SD7b!F11++SD7e!F11</f>
        <v>0</v>
      </c>
      <c r="G11" s="155">
        <f>SD7a!G11+SD7b!G11++SD7e!G11</f>
        <v>0</v>
      </c>
      <c r="H11" s="158">
        <f>SD7a!H11+SD7b!H11++SD7e!H11</f>
        <v>0</v>
      </c>
      <c r="I11" s="157">
        <f>SD7a!I11+SD7b!I11++SD7e!I11</f>
        <v>0</v>
      </c>
      <c r="J11" s="155">
        <f>SD7a!J11+SD7b!J11++SD7e!J11</f>
        <v>0</v>
      </c>
      <c r="K11" s="158">
        <f>SD7a!K11+SD7b!K11++SD7e!K11</f>
        <v>0</v>
      </c>
      <c r="L11" s="265"/>
    </row>
    <row r="12" spans="1:12" s="262" customFormat="1" ht="13.35" customHeight="1" x14ac:dyDescent="0.25">
      <c r="A12" s="235" t="s">
        <v>853</v>
      </c>
      <c r="B12" s="257"/>
      <c r="C12" s="155">
        <f>SUM(C13:C15)</f>
        <v>0</v>
      </c>
      <c r="D12" s="155">
        <f t="shared" ref="D12:K12" si="2">SUM(D13:D15)</f>
        <v>0</v>
      </c>
      <c r="E12" s="156">
        <f t="shared" si="2"/>
        <v>0</v>
      </c>
      <c r="F12" s="157">
        <f t="shared" si="2"/>
        <v>0</v>
      </c>
      <c r="G12" s="155">
        <f t="shared" si="2"/>
        <v>0</v>
      </c>
      <c r="H12" s="158">
        <f t="shared" si="2"/>
        <v>0</v>
      </c>
      <c r="I12" s="159">
        <f t="shared" si="2"/>
        <v>0</v>
      </c>
      <c r="J12" s="155">
        <f t="shared" si="2"/>
        <v>0</v>
      </c>
      <c r="K12" s="158">
        <f t="shared" si="2"/>
        <v>0</v>
      </c>
      <c r="L12" s="265"/>
    </row>
    <row r="13" spans="1:12" s="262" customFormat="1" ht="13.35" customHeight="1" x14ac:dyDescent="0.25">
      <c r="A13" s="263" t="s">
        <v>854</v>
      </c>
      <c r="B13" s="257"/>
      <c r="C13" s="184">
        <f>SD7a!C13+SD7b!C13++SD7e!C13</f>
        <v>0</v>
      </c>
      <c r="D13" s="155">
        <f>SD7a!D13+SD7b!D13++SD7e!D13</f>
        <v>0</v>
      </c>
      <c r="E13" s="156">
        <f>SD7a!E13+SD7b!E13++SD7e!E13</f>
        <v>0</v>
      </c>
      <c r="F13" s="157">
        <f>SD7a!F13+SD7b!F13++SD7e!F13</f>
        <v>0</v>
      </c>
      <c r="G13" s="155">
        <f>SD7a!G13+SD7b!G13++SD7e!G13</f>
        <v>0</v>
      </c>
      <c r="H13" s="158">
        <f>SD7a!H13+SD7b!H13++SD7e!H13</f>
        <v>0</v>
      </c>
      <c r="I13" s="157">
        <f>SD7a!I13+SD7b!I13++SD7e!I13</f>
        <v>0</v>
      </c>
      <c r="J13" s="155">
        <f>SD7a!J13+SD7b!J13++SD7e!J13</f>
        <v>0</v>
      </c>
      <c r="K13" s="158">
        <f>SD7a!K13+SD7b!K13++SD7e!K13</f>
        <v>0</v>
      </c>
      <c r="L13" s="265"/>
    </row>
    <row r="14" spans="1:12" s="262" customFormat="1" ht="13.35" customHeight="1" x14ac:dyDescent="0.25">
      <c r="A14" s="263" t="s">
        <v>855</v>
      </c>
      <c r="B14" s="257"/>
      <c r="C14" s="184">
        <f>SD7a!C14+SD7b!C14++SD7e!C14</f>
        <v>0</v>
      </c>
      <c r="D14" s="155">
        <f>SD7a!D14+SD7b!D14++SD7e!D14</f>
        <v>0</v>
      </c>
      <c r="E14" s="156">
        <f>SD7a!E14+SD7b!E14++SD7e!E14</f>
        <v>0</v>
      </c>
      <c r="F14" s="157">
        <f>SD7a!F14+SD7b!F14++SD7e!F14</f>
        <v>0</v>
      </c>
      <c r="G14" s="155">
        <f>SD7a!G14+SD7b!G14++SD7e!G14</f>
        <v>0</v>
      </c>
      <c r="H14" s="158">
        <f>SD7a!H14+SD7b!H14++SD7e!H14</f>
        <v>0</v>
      </c>
      <c r="I14" s="157">
        <f>SD7a!I14+SD7b!I14++SD7e!I14</f>
        <v>0</v>
      </c>
      <c r="J14" s="155">
        <f>SD7a!J14+SD7b!J14++SD7e!J14</f>
        <v>0</v>
      </c>
      <c r="K14" s="158">
        <f>SD7a!K14+SD7b!K14++SD7e!K14</f>
        <v>0</v>
      </c>
      <c r="L14" s="265"/>
    </row>
    <row r="15" spans="1:12" s="262" customFormat="1" ht="13.35" customHeight="1" x14ac:dyDescent="0.25">
      <c r="A15" s="263" t="s">
        <v>856</v>
      </c>
      <c r="B15" s="257"/>
      <c r="C15" s="184">
        <f>SD7a!C15+SD7b!C15++SD7e!C15</f>
        <v>0</v>
      </c>
      <c r="D15" s="155">
        <f>SD7a!D15+SD7b!D15++SD7e!D15</f>
        <v>0</v>
      </c>
      <c r="E15" s="156">
        <f>SD7a!E15+SD7b!E15++SD7e!E15</f>
        <v>0</v>
      </c>
      <c r="F15" s="157">
        <f>SD7a!F15+SD7b!F15++SD7e!F15</f>
        <v>0</v>
      </c>
      <c r="G15" s="155">
        <f>SD7a!G15+SD7b!G15++SD7e!G15</f>
        <v>0</v>
      </c>
      <c r="H15" s="158">
        <f>SD7a!H15+SD7b!H15++SD7e!H15</f>
        <v>0</v>
      </c>
      <c r="I15" s="157">
        <f>SD7a!I15+SD7b!I15++SD7e!I15</f>
        <v>0</v>
      </c>
      <c r="J15" s="155">
        <f>SD7a!J15+SD7b!J15++SD7e!J15</f>
        <v>0</v>
      </c>
      <c r="K15" s="158">
        <f>SD7a!K15+SD7b!K15++SD7e!K15</f>
        <v>0</v>
      </c>
      <c r="L15" s="265"/>
    </row>
    <row r="16" spans="1:12" s="262" customFormat="1" ht="13.35" customHeight="1" x14ac:dyDescent="0.25">
      <c r="A16" s="235" t="s">
        <v>857</v>
      </c>
      <c r="B16" s="257"/>
      <c r="C16" s="155">
        <f t="shared" ref="C16:K16" si="3">SUM(C17:C25)</f>
        <v>99163236.299999997</v>
      </c>
      <c r="D16" s="155">
        <f t="shared" si="3"/>
        <v>134844046.16</v>
      </c>
      <c r="E16" s="156">
        <f t="shared" si="3"/>
        <v>86250242.069999993</v>
      </c>
      <c r="F16" s="157">
        <f t="shared" si="3"/>
        <v>140757765</v>
      </c>
      <c r="G16" s="155">
        <f t="shared" si="3"/>
        <v>149318538</v>
      </c>
      <c r="H16" s="158">
        <f t="shared" si="3"/>
        <v>149318538</v>
      </c>
      <c r="I16" s="159">
        <f t="shared" si="3"/>
        <v>157649156.76868668</v>
      </c>
      <c r="J16" s="155">
        <f t="shared" si="3"/>
        <v>112394577.50465338</v>
      </c>
      <c r="K16" s="158">
        <f t="shared" si="3"/>
        <v>94715514.640592009</v>
      </c>
      <c r="L16" s="265"/>
    </row>
    <row r="17" spans="1:12" s="262" customFormat="1" ht="13.35" customHeight="1" x14ac:dyDescent="0.25">
      <c r="A17" s="263" t="s">
        <v>858</v>
      </c>
      <c r="B17" s="257"/>
      <c r="C17" s="184">
        <f>SD7a!C17+SD7b!C17++SD7e!C17</f>
        <v>58297.42</v>
      </c>
      <c r="D17" s="155">
        <f>SD7a!D17+SD7b!D17++SD7e!D17</f>
        <v>591000</v>
      </c>
      <c r="E17" s="156">
        <f>SD7a!E17+SD7b!E17++SD7e!E17</f>
        <v>0</v>
      </c>
      <c r="F17" s="157">
        <f>SD7a!F17+SD7b!F17++SD7e!F17</f>
        <v>1000000</v>
      </c>
      <c r="G17" s="155">
        <f>SD7a!G17+SD7b!G17++SD7e!G17</f>
        <v>1000000</v>
      </c>
      <c r="H17" s="158">
        <f>SD7a!H17+SD7b!H17++SD7e!H17</f>
        <v>1000000</v>
      </c>
      <c r="I17" s="157">
        <f>SD7a!I17+SD7b!I17++SD7e!I17</f>
        <v>2718850.1103600003</v>
      </c>
      <c r="J17" s="155">
        <f>SD7a!J17+SD7b!J17++SD7e!J17</f>
        <v>2770041.8149951203</v>
      </c>
      <c r="K17" s="158">
        <f>SD7a!K17+SD7b!K17++SD7e!K17</f>
        <v>2825923.6548549053</v>
      </c>
      <c r="L17" s="265"/>
    </row>
    <row r="18" spans="1:12" s="262" customFormat="1" ht="13.35" customHeight="1" x14ac:dyDescent="0.25">
      <c r="A18" s="263" t="s">
        <v>859</v>
      </c>
      <c r="B18" s="257"/>
      <c r="C18" s="184">
        <f>SD7a!C18+SD7b!C18++SD7e!C18</f>
        <v>23087009.789999999</v>
      </c>
      <c r="D18" s="155">
        <f>SD7a!D18+SD7b!D18++SD7e!D18</f>
        <v>73175286.819999993</v>
      </c>
      <c r="E18" s="156">
        <f>SD7a!E18+SD7b!E18++SD7e!E18</f>
        <v>0</v>
      </c>
      <c r="F18" s="157">
        <f>SD7a!F18+SD7b!F18++SD7e!F18</f>
        <v>9526214</v>
      </c>
      <c r="G18" s="155">
        <f>SD7a!G18+SD7b!G18++SD7e!G18</f>
        <v>9526214</v>
      </c>
      <c r="H18" s="158">
        <f>SD7a!H18+SD7b!H18++SD7e!H18</f>
        <v>9526214</v>
      </c>
      <c r="I18" s="157">
        <f>SD7a!I18+SD7b!I18++SD7e!I18</f>
        <v>3192040.6900666663</v>
      </c>
      <c r="J18" s="155">
        <f>SD7a!J18+SD7b!J18++SD7e!J18</f>
        <v>3355706.3990494665</v>
      </c>
      <c r="K18" s="158">
        <f>SD7a!K18+SD7b!K18++SD7e!K18</f>
        <v>3458237.4806076433</v>
      </c>
      <c r="L18" s="265"/>
    </row>
    <row r="19" spans="1:12" s="262" customFormat="1" ht="13.35" customHeight="1" x14ac:dyDescent="0.25">
      <c r="A19" s="263" t="s">
        <v>860</v>
      </c>
      <c r="B19" s="257"/>
      <c r="C19" s="184">
        <f>SD7a!C19+SD7b!C19++SD7e!C19</f>
        <v>0</v>
      </c>
      <c r="D19" s="155">
        <f>SD7a!D19+SD7b!D19++SD7e!D19</f>
        <v>0</v>
      </c>
      <c r="E19" s="156">
        <f>SD7a!E19+SD7b!E19++SD7e!E19</f>
        <v>0</v>
      </c>
      <c r="F19" s="157">
        <f>SD7a!F19+SD7b!F19++SD7e!F19</f>
        <v>0</v>
      </c>
      <c r="G19" s="155">
        <f>SD7a!G19+SD7b!G19++SD7e!G19</f>
        <v>0</v>
      </c>
      <c r="H19" s="158">
        <f>SD7a!H19+SD7b!H19++SD7e!H19</f>
        <v>0</v>
      </c>
      <c r="I19" s="157">
        <f>SD7a!I19+SD7b!I19++SD7e!I19</f>
        <v>0</v>
      </c>
      <c r="J19" s="155">
        <f>SD7a!J19+SD7b!J19++SD7e!J19</f>
        <v>0</v>
      </c>
      <c r="K19" s="158">
        <f>SD7a!K19+SD7b!K19++SD7e!K19</f>
        <v>0</v>
      </c>
      <c r="L19" s="265"/>
    </row>
    <row r="20" spans="1:12" s="262" customFormat="1" ht="13.35" customHeight="1" x14ac:dyDescent="0.25">
      <c r="A20" s="263" t="s">
        <v>861</v>
      </c>
      <c r="B20" s="257"/>
      <c r="C20" s="184">
        <f>SD7a!C20+SD7b!C20++SD7e!C20</f>
        <v>0</v>
      </c>
      <c r="D20" s="155">
        <f>SD7a!D20+SD7b!D20++SD7e!D20</f>
        <v>0</v>
      </c>
      <c r="E20" s="156">
        <f>SD7a!E20+SD7b!E20++SD7e!E20</f>
        <v>0</v>
      </c>
      <c r="F20" s="157">
        <f>SD7a!F20+SD7b!F20++SD7e!F20</f>
        <v>0</v>
      </c>
      <c r="G20" s="155">
        <f>SD7a!G20+SD7b!G20++SD7e!G20</f>
        <v>0</v>
      </c>
      <c r="H20" s="158">
        <f>SD7a!H20+SD7b!H20++SD7e!H20</f>
        <v>0</v>
      </c>
      <c r="I20" s="157">
        <f>SD7a!I20+SD7b!I20++SD7e!I20</f>
        <v>0</v>
      </c>
      <c r="J20" s="155">
        <f>SD7a!J20+SD7b!J20++SD7e!J20</f>
        <v>0</v>
      </c>
      <c r="K20" s="158">
        <f>SD7a!K20+SD7b!K20++SD7e!K20</f>
        <v>0</v>
      </c>
      <c r="L20" s="265"/>
    </row>
    <row r="21" spans="1:12" s="262" customFormat="1" ht="13.35" customHeight="1" x14ac:dyDescent="0.25">
      <c r="A21" s="263" t="s">
        <v>862</v>
      </c>
      <c r="B21" s="257"/>
      <c r="C21" s="184">
        <f>SD7a!C21+SD7b!C21++SD7e!C21</f>
        <v>490100</v>
      </c>
      <c r="D21" s="155">
        <f>SD7a!D21+SD7b!D21++SD7e!D21</f>
        <v>0</v>
      </c>
      <c r="E21" s="156">
        <f>SD7a!E21+SD7b!E21++SD7e!E21</f>
        <v>0</v>
      </c>
      <c r="F21" s="157">
        <f>SD7a!F21+SD7b!F21++SD7e!F21</f>
        <v>0</v>
      </c>
      <c r="G21" s="155">
        <f>SD7a!G21+SD7b!G21++SD7e!G21</f>
        <v>0</v>
      </c>
      <c r="H21" s="158">
        <f>SD7a!H21+SD7b!H21++SD7e!H21</f>
        <v>0</v>
      </c>
      <c r="I21" s="157">
        <f>SD7a!I21+SD7b!I21++SD7e!I21</f>
        <v>0</v>
      </c>
      <c r="J21" s="155">
        <f>SD7a!J21+SD7b!J21++SD7e!J21</f>
        <v>0</v>
      </c>
      <c r="K21" s="158">
        <f>SD7a!K21+SD7b!K21++SD7e!K21</f>
        <v>0</v>
      </c>
      <c r="L21" s="265"/>
    </row>
    <row r="22" spans="1:12" s="262" customFormat="1" ht="13.35" customHeight="1" x14ac:dyDescent="0.25">
      <c r="A22" s="263" t="s">
        <v>863</v>
      </c>
      <c r="B22" s="257"/>
      <c r="C22" s="184">
        <f>SD7a!C22+SD7b!C22++SD7e!C22</f>
        <v>0</v>
      </c>
      <c r="D22" s="155">
        <f>SD7a!D22+SD7b!D22++SD7e!D22</f>
        <v>0</v>
      </c>
      <c r="E22" s="156">
        <f>SD7a!E22+SD7b!E22++SD7e!E22</f>
        <v>0</v>
      </c>
      <c r="F22" s="157">
        <f>SD7a!F22+SD7b!F22++SD7e!F22</f>
        <v>0</v>
      </c>
      <c r="G22" s="155">
        <f>SD7a!G22+SD7b!G22++SD7e!G22</f>
        <v>0</v>
      </c>
      <c r="H22" s="158">
        <f>SD7a!H22+SD7b!H22++SD7e!H22</f>
        <v>0</v>
      </c>
      <c r="I22" s="157">
        <f>SD7a!I22+SD7b!I22++SD7e!I22</f>
        <v>0</v>
      </c>
      <c r="J22" s="155">
        <f>SD7a!J22+SD7b!J22++SD7e!J22</f>
        <v>0</v>
      </c>
      <c r="K22" s="158">
        <f>SD7a!K22+SD7b!K22++SD7e!K22</f>
        <v>0</v>
      </c>
      <c r="L22" s="261"/>
    </row>
    <row r="23" spans="1:12" s="262" customFormat="1" ht="13.35" customHeight="1" x14ac:dyDescent="0.25">
      <c r="A23" s="263" t="s">
        <v>864</v>
      </c>
      <c r="B23" s="257"/>
      <c r="C23" s="184">
        <f>SD7a!C23+SD7b!C23++SD7e!C23</f>
        <v>59062616.229999997</v>
      </c>
      <c r="D23" s="155">
        <f>SD7a!D23+SD7b!D23++SD7e!D23</f>
        <v>27202274.130000003</v>
      </c>
      <c r="E23" s="156">
        <f>SD7a!E23+SD7b!E23++SD7e!E23</f>
        <v>24396478.609999999</v>
      </c>
      <c r="F23" s="157">
        <f>SD7a!F23+SD7b!F23++SD7e!F23</f>
        <v>28348604</v>
      </c>
      <c r="G23" s="155">
        <f>SD7a!G23+SD7b!G23++SD7e!G23</f>
        <v>28917304</v>
      </c>
      <c r="H23" s="158">
        <f>SD7a!H23+SD7b!H23++SD7e!H23</f>
        <v>28917304</v>
      </c>
      <c r="I23" s="157">
        <f>SD7a!I23+SD7b!I23++SD7e!I23</f>
        <v>42758469.96998667</v>
      </c>
      <c r="J23" s="155">
        <f>SD7a!J23+SD7b!J23++SD7e!J23</f>
        <v>35832630.187746108</v>
      </c>
      <c r="K23" s="158">
        <f>SD7a!K23+SD7b!K23++SD7e!K23</f>
        <v>20428343.990846936</v>
      </c>
      <c r="L23" s="265"/>
    </row>
    <row r="24" spans="1:12" s="262" customFormat="1" ht="13.35" customHeight="1" x14ac:dyDescent="0.25">
      <c r="A24" s="263" t="s">
        <v>865</v>
      </c>
      <c r="B24" s="257"/>
      <c r="C24" s="184">
        <f>SD7a!C24+SD7b!C24++SD7e!C24</f>
        <v>16465212.859999999</v>
      </c>
      <c r="D24" s="155">
        <f>SD7a!D24+SD7b!D24++SD7e!D24</f>
        <v>33875485.210000001</v>
      </c>
      <c r="E24" s="156">
        <f>SD7a!E24+SD7b!E24++SD7e!E24</f>
        <v>61853763.459999993</v>
      </c>
      <c r="F24" s="157">
        <f>SD7a!F24+SD7b!F24++SD7e!F24</f>
        <v>101882947</v>
      </c>
      <c r="G24" s="155">
        <f>SD7a!G24+SD7b!G24++SD7e!G24</f>
        <v>109875020</v>
      </c>
      <c r="H24" s="158">
        <f>SD7a!H24+SD7b!H24++SD7e!H24</f>
        <v>109875020</v>
      </c>
      <c r="I24" s="157">
        <f>SD7a!I24+SD7b!I24++SD7e!I24</f>
        <v>108979795.99827334</v>
      </c>
      <c r="J24" s="155">
        <f>SD7a!J24+SD7b!J24++SD7e!J24</f>
        <v>70436199.102862686</v>
      </c>
      <c r="K24" s="158">
        <f>SD7a!K24+SD7b!K24++SD7e!K24</f>
        <v>68003009.514282525</v>
      </c>
      <c r="L24" s="265"/>
    </row>
    <row r="25" spans="1:12" s="262" customFormat="1" ht="13.35" customHeight="1" x14ac:dyDescent="0.25">
      <c r="A25" s="263" t="s">
        <v>852</v>
      </c>
      <c r="B25" s="257"/>
      <c r="C25" s="184">
        <f>SD7a!C25+SD7b!C25++SD7e!C25</f>
        <v>0</v>
      </c>
      <c r="D25" s="155">
        <f>SD7a!D25+SD7b!D25++SD7e!D25</f>
        <v>0</v>
      </c>
      <c r="E25" s="156">
        <f>SD7a!E25+SD7b!E25++SD7e!E25</f>
        <v>0</v>
      </c>
      <c r="F25" s="157">
        <f>SD7a!F25+SD7b!F25++SD7e!F25</f>
        <v>0</v>
      </c>
      <c r="G25" s="155">
        <f>SD7a!G25+SD7b!G25++SD7e!G25</f>
        <v>0</v>
      </c>
      <c r="H25" s="158">
        <f>SD7a!H25+SD7b!H25++SD7e!H25</f>
        <v>0</v>
      </c>
      <c r="I25" s="157">
        <f>SD7a!I25+SD7b!I25++SD7e!I25</f>
        <v>0</v>
      </c>
      <c r="J25" s="155">
        <f>SD7a!J25+SD7b!J25++SD7e!J25</f>
        <v>0</v>
      </c>
      <c r="K25" s="158">
        <f>SD7a!K25+SD7b!K25++SD7e!K25</f>
        <v>0</v>
      </c>
      <c r="L25" s="265"/>
    </row>
    <row r="26" spans="1:12" ht="13.35" customHeight="1" x14ac:dyDescent="0.2">
      <c r="A26" s="239" t="s">
        <v>866</v>
      </c>
      <c r="B26" s="266"/>
      <c r="C26" s="155">
        <f>SUM(C27:C36)</f>
        <v>0</v>
      </c>
      <c r="D26" s="155">
        <f t="shared" ref="D26:K26" si="4">SUM(D27:D36)</f>
        <v>0</v>
      </c>
      <c r="E26" s="156">
        <f t="shared" si="4"/>
        <v>0</v>
      </c>
      <c r="F26" s="157">
        <f t="shared" si="4"/>
        <v>0</v>
      </c>
      <c r="G26" s="155">
        <f t="shared" si="4"/>
        <v>0</v>
      </c>
      <c r="H26" s="158">
        <f t="shared" si="4"/>
        <v>0</v>
      </c>
      <c r="I26" s="159">
        <f t="shared" si="4"/>
        <v>0</v>
      </c>
      <c r="J26" s="155">
        <f t="shared" si="4"/>
        <v>0</v>
      </c>
      <c r="K26" s="158">
        <f t="shared" si="4"/>
        <v>0</v>
      </c>
      <c r="L26" s="73"/>
    </row>
    <row r="27" spans="1:12" ht="13.35" customHeight="1" x14ac:dyDescent="0.2">
      <c r="A27" s="263" t="s">
        <v>867</v>
      </c>
      <c r="B27" s="257"/>
      <c r="C27" s="184">
        <f>SD7a!C27+SD7b!C27++SD7e!C27</f>
        <v>0</v>
      </c>
      <c r="D27" s="155">
        <f>SD7a!D27+SD7b!D27++SD7e!D27</f>
        <v>0</v>
      </c>
      <c r="E27" s="156">
        <f>SD7a!E27+SD7b!E27++SD7e!E27</f>
        <v>0</v>
      </c>
      <c r="F27" s="157">
        <f>SD7a!F27+SD7b!F27++SD7e!F27</f>
        <v>0</v>
      </c>
      <c r="G27" s="155">
        <f>SD7a!G27+SD7b!G27++SD7e!G27</f>
        <v>0</v>
      </c>
      <c r="H27" s="158">
        <f>SD7a!H27+SD7b!H27++SD7e!H27</f>
        <v>0</v>
      </c>
      <c r="I27" s="157">
        <f>SD7a!I27+SD7b!I27++SD7e!I27</f>
        <v>0</v>
      </c>
      <c r="J27" s="155">
        <f>SD7a!J27+SD7b!J27++SD7e!J27</f>
        <v>0</v>
      </c>
      <c r="K27" s="158">
        <f>SD7a!K27+SD7b!K27++SD7e!K27</f>
        <v>0</v>
      </c>
      <c r="L27" s="73"/>
    </row>
    <row r="28" spans="1:12" ht="13.35" customHeight="1" x14ac:dyDescent="0.2">
      <c r="A28" s="263" t="s">
        <v>868</v>
      </c>
      <c r="B28" s="257"/>
      <c r="C28" s="184">
        <f>SD7a!C28+SD7b!C28++SD7e!C28</f>
        <v>0</v>
      </c>
      <c r="D28" s="155">
        <f>SD7a!D28+SD7b!D28++SD7e!D28</f>
        <v>0</v>
      </c>
      <c r="E28" s="156">
        <f>SD7a!E28+SD7b!E28++SD7e!E28</f>
        <v>0</v>
      </c>
      <c r="F28" s="157">
        <f>SD7a!F28+SD7b!F28++SD7e!F28</f>
        <v>0</v>
      </c>
      <c r="G28" s="155">
        <f>SD7a!G28+SD7b!G28++SD7e!G28</f>
        <v>0</v>
      </c>
      <c r="H28" s="158">
        <f>SD7a!H28+SD7b!H28++SD7e!H28</f>
        <v>0</v>
      </c>
      <c r="I28" s="157">
        <f>SD7a!I28+SD7b!I28++SD7e!I28</f>
        <v>0</v>
      </c>
      <c r="J28" s="155">
        <f>SD7a!J28+SD7b!J28++SD7e!J28</f>
        <v>0</v>
      </c>
      <c r="K28" s="158">
        <f>SD7a!K28+SD7b!K28++SD7e!K28</f>
        <v>0</v>
      </c>
      <c r="L28" s="265"/>
    </row>
    <row r="29" spans="1:12" ht="13.35" customHeight="1" x14ac:dyDescent="0.2">
      <c r="A29" s="263" t="s">
        <v>869</v>
      </c>
      <c r="B29" s="257"/>
      <c r="C29" s="184">
        <f>SD7a!C29+SD7b!C29++SD7e!C29</f>
        <v>0</v>
      </c>
      <c r="D29" s="155">
        <f>SD7a!D29+SD7b!D29++SD7e!D29</f>
        <v>0</v>
      </c>
      <c r="E29" s="156">
        <f>SD7a!E29+SD7b!E29++SD7e!E29</f>
        <v>0</v>
      </c>
      <c r="F29" s="157">
        <f>SD7a!F29+SD7b!F29++SD7e!F29</f>
        <v>0</v>
      </c>
      <c r="G29" s="155">
        <f>SD7a!G29+SD7b!G29++SD7e!G29</f>
        <v>0</v>
      </c>
      <c r="H29" s="158">
        <f>SD7a!H29+SD7b!H29++SD7e!H29</f>
        <v>0</v>
      </c>
      <c r="I29" s="157">
        <f>SD7a!I29+SD7b!I29++SD7e!I29</f>
        <v>0</v>
      </c>
      <c r="J29" s="155">
        <f>SD7a!J29+SD7b!J29++SD7e!J29</f>
        <v>0</v>
      </c>
      <c r="K29" s="158">
        <f>SD7a!K29+SD7b!K29++SD7e!K29</f>
        <v>0</v>
      </c>
      <c r="L29" s="265"/>
    </row>
    <row r="30" spans="1:12" ht="13.35" customHeight="1" x14ac:dyDescent="0.2">
      <c r="A30" s="263" t="s">
        <v>870</v>
      </c>
      <c r="B30" s="257"/>
      <c r="C30" s="184">
        <f>SD7a!C30+SD7b!C30++SD7e!C30</f>
        <v>0</v>
      </c>
      <c r="D30" s="155">
        <f>SD7a!D30+SD7b!D30++SD7e!D30</f>
        <v>0</v>
      </c>
      <c r="E30" s="156">
        <f>SD7a!E30+SD7b!E30++SD7e!E30</f>
        <v>0</v>
      </c>
      <c r="F30" s="157">
        <f>SD7a!F30+SD7b!F30++SD7e!F30</f>
        <v>0</v>
      </c>
      <c r="G30" s="155">
        <f>SD7a!G30+SD7b!G30++SD7e!G30</f>
        <v>0</v>
      </c>
      <c r="H30" s="158">
        <f>SD7a!H30+SD7b!H30++SD7e!H30</f>
        <v>0</v>
      </c>
      <c r="I30" s="157">
        <f>SD7a!I30+SD7b!I30++SD7e!I30</f>
        <v>0</v>
      </c>
      <c r="J30" s="155">
        <f>SD7a!J30+SD7b!J30++SD7e!J30</f>
        <v>0</v>
      </c>
      <c r="K30" s="158">
        <f>SD7a!K30+SD7b!K30++SD7e!K30</f>
        <v>0</v>
      </c>
      <c r="L30" s="265"/>
    </row>
    <row r="31" spans="1:12" ht="13.35" customHeight="1" x14ac:dyDescent="0.2">
      <c r="A31" s="263" t="s">
        <v>871</v>
      </c>
      <c r="B31" s="257"/>
      <c r="C31" s="184">
        <f>SD7a!C31+SD7b!C31++SD7e!C31</f>
        <v>0</v>
      </c>
      <c r="D31" s="155">
        <f>SD7a!D31+SD7b!D31++SD7e!D31</f>
        <v>0</v>
      </c>
      <c r="E31" s="156">
        <f>SD7a!E31+SD7b!E31++SD7e!E31</f>
        <v>0</v>
      </c>
      <c r="F31" s="157">
        <f>SD7a!F31+SD7b!F31++SD7e!F31</f>
        <v>0</v>
      </c>
      <c r="G31" s="155">
        <f>SD7a!G31+SD7b!G31++SD7e!G31</f>
        <v>0</v>
      </c>
      <c r="H31" s="158">
        <f>SD7a!H31+SD7b!H31++SD7e!H31</f>
        <v>0</v>
      </c>
      <c r="I31" s="157">
        <f>SD7a!I31+SD7b!I31++SD7e!I31</f>
        <v>0</v>
      </c>
      <c r="J31" s="155">
        <f>SD7a!J31+SD7b!J31++SD7e!J31</f>
        <v>0</v>
      </c>
      <c r="K31" s="158">
        <f>SD7a!K31+SD7b!K31++SD7e!K31</f>
        <v>0</v>
      </c>
      <c r="L31" s="265"/>
    </row>
    <row r="32" spans="1:12" ht="13.35" customHeight="1" x14ac:dyDescent="0.2">
      <c r="A32" s="263" t="s">
        <v>872</v>
      </c>
      <c r="B32" s="257"/>
      <c r="C32" s="184">
        <f>SD7a!C32+SD7b!C32++SD7e!C32</f>
        <v>0</v>
      </c>
      <c r="D32" s="155">
        <f>SD7a!D32+SD7b!D32++SD7e!D32</f>
        <v>0</v>
      </c>
      <c r="E32" s="156">
        <f>SD7a!E32+SD7b!E32++SD7e!E32</f>
        <v>0</v>
      </c>
      <c r="F32" s="157">
        <f>SD7a!F32+SD7b!F32++SD7e!F32</f>
        <v>0</v>
      </c>
      <c r="G32" s="155">
        <f>SD7a!G32+SD7b!G32++SD7e!G32</f>
        <v>0</v>
      </c>
      <c r="H32" s="158">
        <f>SD7a!H32+SD7b!H32++SD7e!H32</f>
        <v>0</v>
      </c>
      <c r="I32" s="157">
        <f>SD7a!I32+SD7b!I32++SD7e!I32</f>
        <v>0</v>
      </c>
      <c r="J32" s="155">
        <f>SD7a!J32+SD7b!J32++SD7e!J32</f>
        <v>0</v>
      </c>
      <c r="K32" s="158">
        <f>SD7a!K32+SD7b!K32++SD7e!K32</f>
        <v>0</v>
      </c>
      <c r="L32" s="265"/>
    </row>
    <row r="33" spans="1:15" ht="13.35" customHeight="1" x14ac:dyDescent="0.2">
      <c r="A33" s="263" t="s">
        <v>873</v>
      </c>
      <c r="B33" s="257"/>
      <c r="C33" s="184">
        <f>SD7a!C33+SD7b!C33++SD7e!C33</f>
        <v>0</v>
      </c>
      <c r="D33" s="155">
        <f>SD7a!D33+SD7b!D33++SD7e!D33</f>
        <v>0</v>
      </c>
      <c r="E33" s="156">
        <f>SD7a!E33+SD7b!E33++SD7e!E33</f>
        <v>0</v>
      </c>
      <c r="F33" s="157">
        <f>SD7a!F33+SD7b!F33++SD7e!F33</f>
        <v>0</v>
      </c>
      <c r="G33" s="155">
        <f>SD7a!G33+SD7b!G33++SD7e!G33</f>
        <v>0</v>
      </c>
      <c r="H33" s="158">
        <f>SD7a!H33+SD7b!H33++SD7e!H33</f>
        <v>0</v>
      </c>
      <c r="I33" s="157">
        <f>SD7a!I33+SD7b!I33++SD7e!I33</f>
        <v>0</v>
      </c>
      <c r="J33" s="155">
        <f>SD7a!J33+SD7b!J33++SD7e!J33</f>
        <v>0</v>
      </c>
      <c r="K33" s="158">
        <f>SD7a!K33+SD7b!K33++SD7e!K33</f>
        <v>0</v>
      </c>
      <c r="L33" s="265"/>
    </row>
    <row r="34" spans="1:15" ht="13.35" customHeight="1" x14ac:dyDescent="0.2">
      <c r="A34" s="263" t="s">
        <v>874</v>
      </c>
      <c r="B34" s="257"/>
      <c r="C34" s="184">
        <f>SD7a!C34+SD7b!C34++SD7e!C34</f>
        <v>0</v>
      </c>
      <c r="D34" s="155">
        <f>SD7a!D34+SD7b!D34++SD7e!D34</f>
        <v>0</v>
      </c>
      <c r="E34" s="156">
        <f>SD7a!E34+SD7b!E34++SD7e!E34</f>
        <v>0</v>
      </c>
      <c r="F34" s="157">
        <f>SD7a!F34+SD7b!F34++SD7e!F34</f>
        <v>0</v>
      </c>
      <c r="G34" s="155">
        <f>SD7a!G34+SD7b!G34++SD7e!G34</f>
        <v>0</v>
      </c>
      <c r="H34" s="158">
        <f>SD7a!H34+SD7b!H34++SD7e!H34</f>
        <v>0</v>
      </c>
      <c r="I34" s="157">
        <f>SD7a!I34+SD7b!I34++SD7e!I34</f>
        <v>0</v>
      </c>
      <c r="J34" s="155">
        <f>SD7a!J34+SD7b!J34++SD7e!J34</f>
        <v>0</v>
      </c>
      <c r="K34" s="158">
        <f>SD7a!K34+SD7b!K34++SD7e!K34</f>
        <v>0</v>
      </c>
      <c r="L34" s="265"/>
    </row>
    <row r="35" spans="1:15" ht="13.35" customHeight="1" x14ac:dyDescent="0.2">
      <c r="A35" s="263" t="s">
        <v>875</v>
      </c>
      <c r="B35" s="257"/>
      <c r="C35" s="184">
        <f>SD7a!C35+SD7b!C35++SD7e!C35</f>
        <v>0</v>
      </c>
      <c r="D35" s="155">
        <f>SD7a!D35+SD7b!D35++SD7e!D35</f>
        <v>0</v>
      </c>
      <c r="E35" s="156">
        <f>SD7a!E35+SD7b!E35++SD7e!E35</f>
        <v>0</v>
      </c>
      <c r="F35" s="157">
        <f>SD7a!F35+SD7b!F35++SD7e!F35</f>
        <v>0</v>
      </c>
      <c r="G35" s="155">
        <f>SD7a!G35+SD7b!G35++SD7e!G35</f>
        <v>0</v>
      </c>
      <c r="H35" s="158">
        <f>SD7a!H35+SD7b!H35++SD7e!H35</f>
        <v>0</v>
      </c>
      <c r="I35" s="157">
        <f>SD7a!I35+SD7b!I35++SD7e!I35</f>
        <v>0</v>
      </c>
      <c r="J35" s="155">
        <f>SD7a!J35+SD7b!J35++SD7e!J35</f>
        <v>0</v>
      </c>
      <c r="K35" s="158">
        <f>SD7a!K35+SD7b!K35++SD7e!K35</f>
        <v>0</v>
      </c>
      <c r="L35" s="265"/>
    </row>
    <row r="36" spans="1:15" ht="13.35" customHeight="1" x14ac:dyDescent="0.2">
      <c r="A36" s="263" t="s">
        <v>852</v>
      </c>
      <c r="B36" s="257"/>
      <c r="C36" s="184">
        <f>SD7a!C36+SD7b!C36++SD7e!C36</f>
        <v>0</v>
      </c>
      <c r="D36" s="155">
        <f>SD7a!D36+SD7b!D36++SD7e!D36</f>
        <v>0</v>
      </c>
      <c r="E36" s="156">
        <f>SD7a!E36+SD7b!E36++SD7e!E36</f>
        <v>0</v>
      </c>
      <c r="F36" s="157">
        <f>SD7a!F36+SD7b!F36++SD7e!F36</f>
        <v>0</v>
      </c>
      <c r="G36" s="155">
        <f>SD7a!G36+SD7b!G36++SD7e!G36</f>
        <v>0</v>
      </c>
      <c r="H36" s="158">
        <f>SD7a!H36+SD7b!H36++SD7e!H36</f>
        <v>0</v>
      </c>
      <c r="I36" s="157">
        <f>SD7a!I36+SD7b!I36++SD7e!I36</f>
        <v>0</v>
      </c>
      <c r="J36" s="155">
        <f>SD7a!J36+SD7b!J36++SD7e!J36</f>
        <v>0</v>
      </c>
      <c r="K36" s="158">
        <f>SD7a!K36+SD7b!K36++SD7e!K36</f>
        <v>0</v>
      </c>
      <c r="L36" s="265"/>
    </row>
    <row r="37" spans="1:15" ht="13.35" customHeight="1" x14ac:dyDescent="0.2">
      <c r="A37" s="239" t="s">
        <v>876</v>
      </c>
      <c r="B37" s="257"/>
      <c r="C37" s="155">
        <f>SUM(C38:C43)</f>
        <v>0</v>
      </c>
      <c r="D37" s="155">
        <f t="shared" ref="D37:K37" si="5">SUM(D38:D43)</f>
        <v>0</v>
      </c>
      <c r="E37" s="156">
        <f t="shared" si="5"/>
        <v>0</v>
      </c>
      <c r="F37" s="157">
        <f t="shared" si="5"/>
        <v>0</v>
      </c>
      <c r="G37" s="155">
        <f t="shared" si="5"/>
        <v>0</v>
      </c>
      <c r="H37" s="158">
        <f t="shared" si="5"/>
        <v>0</v>
      </c>
      <c r="I37" s="159">
        <f t="shared" si="5"/>
        <v>0</v>
      </c>
      <c r="J37" s="155">
        <f t="shared" si="5"/>
        <v>0</v>
      </c>
      <c r="K37" s="158">
        <f t="shared" si="5"/>
        <v>0</v>
      </c>
      <c r="L37" s="265"/>
      <c r="O37" s="73"/>
    </row>
    <row r="38" spans="1:15" ht="13.35" customHeight="1" x14ac:dyDescent="0.2">
      <c r="A38" s="263" t="s">
        <v>877</v>
      </c>
      <c r="B38" s="257"/>
      <c r="C38" s="184">
        <f>SD7a!C38+SD7b!C38++SD7e!C38</f>
        <v>0</v>
      </c>
      <c r="D38" s="155">
        <f>SD7a!D38+SD7b!D38++SD7e!D38</f>
        <v>0</v>
      </c>
      <c r="E38" s="156">
        <f>SD7a!E38+SD7b!E38++SD7e!E38</f>
        <v>0</v>
      </c>
      <c r="F38" s="157">
        <f>SD7a!F38+SD7b!F38++SD7e!F38</f>
        <v>0</v>
      </c>
      <c r="G38" s="155">
        <f>SD7a!G38+SD7b!G38++SD7e!G38</f>
        <v>0</v>
      </c>
      <c r="H38" s="158">
        <f>SD7a!H38+SD7b!H38++SD7e!H38</f>
        <v>0</v>
      </c>
      <c r="I38" s="157">
        <f>SD7a!I38+SD7b!I38++SD7e!I38</f>
        <v>0</v>
      </c>
      <c r="J38" s="155">
        <f>SD7a!J38+SD7b!J38++SD7e!J38</f>
        <v>0</v>
      </c>
      <c r="K38" s="158">
        <f>SD7a!K38+SD7b!K38++SD7e!K38</f>
        <v>0</v>
      </c>
      <c r="L38" s="265"/>
    </row>
    <row r="39" spans="1:15" ht="13.35" customHeight="1" x14ac:dyDescent="0.2">
      <c r="A39" s="263" t="s">
        <v>494</v>
      </c>
      <c r="B39" s="257"/>
      <c r="C39" s="184">
        <f>SD7a!C39+SD7b!C39++SD7e!C39</f>
        <v>0</v>
      </c>
      <c r="D39" s="155">
        <f>SD7a!D39+SD7b!D39++SD7e!D39</f>
        <v>0</v>
      </c>
      <c r="E39" s="156">
        <f>SD7a!E39+SD7b!E39++SD7e!E39</f>
        <v>0</v>
      </c>
      <c r="F39" s="157">
        <f>SD7a!F39+SD7b!F39++SD7e!F39</f>
        <v>0</v>
      </c>
      <c r="G39" s="155">
        <f>SD7a!G39+SD7b!G39++SD7e!G39</f>
        <v>0</v>
      </c>
      <c r="H39" s="158">
        <f>SD7a!H39+SD7b!H39++SD7e!H39</f>
        <v>0</v>
      </c>
      <c r="I39" s="157">
        <f>SD7a!I39+SD7b!I39++SD7e!I39</f>
        <v>0</v>
      </c>
      <c r="J39" s="155">
        <f>SD7a!J39+SD7b!J39++SD7e!J39</f>
        <v>0</v>
      </c>
      <c r="K39" s="158">
        <f>SD7a!K39+SD7b!K39++SD7e!K39</f>
        <v>0</v>
      </c>
      <c r="L39" s="265"/>
    </row>
    <row r="40" spans="1:15" ht="13.35" customHeight="1" x14ac:dyDescent="0.2">
      <c r="A40" s="263" t="s">
        <v>878</v>
      </c>
      <c r="B40" s="257"/>
      <c r="C40" s="184">
        <f>SD7a!C40+SD7b!C40++SD7e!C40</f>
        <v>0</v>
      </c>
      <c r="D40" s="155">
        <f>SD7a!D40+SD7b!D40++SD7e!D40</f>
        <v>0</v>
      </c>
      <c r="E40" s="156">
        <f>SD7a!E40+SD7b!E40++SD7e!E40</f>
        <v>0</v>
      </c>
      <c r="F40" s="157">
        <f>SD7a!F40+SD7b!F40++SD7e!F40</f>
        <v>0</v>
      </c>
      <c r="G40" s="155">
        <f>SD7a!G40+SD7b!G40++SD7e!G40</f>
        <v>0</v>
      </c>
      <c r="H40" s="158">
        <f>SD7a!H40+SD7b!H40++SD7e!H40</f>
        <v>0</v>
      </c>
      <c r="I40" s="157">
        <f>SD7a!I40+SD7b!I40++SD7e!I40</f>
        <v>0</v>
      </c>
      <c r="J40" s="155">
        <f>SD7a!J40+SD7b!J40++SD7e!J40</f>
        <v>0</v>
      </c>
      <c r="K40" s="158">
        <f>SD7a!K40+SD7b!K40++SD7e!K40</f>
        <v>0</v>
      </c>
      <c r="L40" s="73"/>
    </row>
    <row r="41" spans="1:15" ht="13.35" customHeight="1" x14ac:dyDescent="0.2">
      <c r="A41" s="263" t="s">
        <v>879</v>
      </c>
      <c r="B41" s="257"/>
      <c r="C41" s="184">
        <f>SD7a!C41+SD7b!C41++SD7e!C41</f>
        <v>0</v>
      </c>
      <c r="D41" s="155">
        <f>SD7a!D41+SD7b!D41++SD7e!D41</f>
        <v>0</v>
      </c>
      <c r="E41" s="156">
        <f>SD7a!E41+SD7b!E41++SD7e!E41</f>
        <v>0</v>
      </c>
      <c r="F41" s="157">
        <f>SD7a!F41+SD7b!F41++SD7e!F41</f>
        <v>0</v>
      </c>
      <c r="G41" s="155">
        <f>SD7a!G41+SD7b!G41++SD7e!G41</f>
        <v>0</v>
      </c>
      <c r="H41" s="158">
        <f>SD7a!H41+SD7b!H41++SD7e!H41</f>
        <v>0</v>
      </c>
      <c r="I41" s="157">
        <f>SD7a!I41+SD7b!I41++SD7e!I41</f>
        <v>0</v>
      </c>
      <c r="J41" s="155">
        <f>SD7a!J41+SD7b!J41++SD7e!J41</f>
        <v>0</v>
      </c>
      <c r="K41" s="158">
        <f>SD7a!K41+SD7b!K41++SD7e!K41</f>
        <v>0</v>
      </c>
      <c r="L41" s="265"/>
    </row>
    <row r="42" spans="1:15" ht="13.35" customHeight="1" x14ac:dyDescent="0.2">
      <c r="A42" s="263" t="s">
        <v>880</v>
      </c>
      <c r="B42" s="257"/>
      <c r="C42" s="184">
        <f>SD7a!C42+SD7b!C42++SD7e!C42</f>
        <v>0</v>
      </c>
      <c r="D42" s="155">
        <f>SD7a!D42+SD7b!D42++SD7e!D42</f>
        <v>0</v>
      </c>
      <c r="E42" s="156">
        <f>SD7a!E42+SD7b!E42++SD7e!E42</f>
        <v>0</v>
      </c>
      <c r="F42" s="157">
        <f>SD7a!F42+SD7b!F42++SD7e!F42</f>
        <v>0</v>
      </c>
      <c r="G42" s="155">
        <f>SD7a!G42+SD7b!G42++SD7e!G42</f>
        <v>0</v>
      </c>
      <c r="H42" s="158">
        <f>SD7a!H42+SD7b!H42++SD7e!H42</f>
        <v>0</v>
      </c>
      <c r="I42" s="157">
        <f>SD7a!I42+SD7b!I42++SD7e!I42</f>
        <v>0</v>
      </c>
      <c r="J42" s="155">
        <f>SD7a!J42+SD7b!J42++SD7e!J42</f>
        <v>0</v>
      </c>
      <c r="K42" s="158">
        <f>SD7a!K42+SD7b!K42++SD7e!K42</f>
        <v>0</v>
      </c>
      <c r="L42" s="73"/>
    </row>
    <row r="43" spans="1:15" ht="13.35" customHeight="1" x14ac:dyDescent="0.2">
      <c r="A43" s="263" t="s">
        <v>852</v>
      </c>
      <c r="B43" s="257"/>
      <c r="C43" s="184">
        <f>SD7a!C43+SD7b!C43++SD7e!C43</f>
        <v>0</v>
      </c>
      <c r="D43" s="155">
        <f>SD7a!D43+SD7b!D43++SD7e!D43</f>
        <v>0</v>
      </c>
      <c r="E43" s="156">
        <f>SD7a!E43+SD7b!E43++SD7e!E43</f>
        <v>0</v>
      </c>
      <c r="F43" s="157">
        <f>SD7a!F43+SD7b!F43++SD7e!F43</f>
        <v>0</v>
      </c>
      <c r="G43" s="155">
        <f>SD7a!G43+SD7b!G43++SD7e!G43</f>
        <v>0</v>
      </c>
      <c r="H43" s="158">
        <f>SD7a!H43+SD7b!H43++SD7e!H43</f>
        <v>0</v>
      </c>
      <c r="I43" s="157">
        <f>SD7a!I43+SD7b!I43++SD7e!I43</f>
        <v>0</v>
      </c>
      <c r="J43" s="155">
        <f>SD7a!J43+SD7b!J43++SD7e!J43</f>
        <v>0</v>
      </c>
      <c r="K43" s="158">
        <f>SD7a!K43+SD7b!K43++SD7e!K43</f>
        <v>0</v>
      </c>
      <c r="L43" s="73"/>
    </row>
    <row r="44" spans="1:15" ht="13.35" customHeight="1" x14ac:dyDescent="0.2">
      <c r="A44" s="239" t="s">
        <v>881</v>
      </c>
      <c r="B44" s="257"/>
      <c r="C44" s="155">
        <f>SUM(C45:C51)</f>
        <v>0</v>
      </c>
      <c r="D44" s="155">
        <f t="shared" ref="D44:K44" si="6">SUM(D45:D51)</f>
        <v>0</v>
      </c>
      <c r="E44" s="156">
        <f t="shared" si="6"/>
        <v>0</v>
      </c>
      <c r="F44" s="157">
        <f t="shared" si="6"/>
        <v>0</v>
      </c>
      <c r="G44" s="155">
        <f t="shared" si="6"/>
        <v>0</v>
      </c>
      <c r="H44" s="158">
        <f t="shared" si="6"/>
        <v>0</v>
      </c>
      <c r="I44" s="159">
        <f t="shared" si="6"/>
        <v>0</v>
      </c>
      <c r="J44" s="155">
        <f t="shared" si="6"/>
        <v>0</v>
      </c>
      <c r="K44" s="158">
        <f t="shared" si="6"/>
        <v>0</v>
      </c>
      <c r="L44" s="73"/>
    </row>
    <row r="45" spans="1:15" ht="13.35" customHeight="1" x14ac:dyDescent="0.2">
      <c r="A45" s="263" t="s">
        <v>882</v>
      </c>
      <c r="B45" s="257"/>
      <c r="C45" s="184">
        <f>SD7a!C45+SD7b!C45++SD7e!C45</f>
        <v>0</v>
      </c>
      <c r="D45" s="155">
        <f>SD7a!D45+SD7b!D45++SD7e!D45</f>
        <v>0</v>
      </c>
      <c r="E45" s="156">
        <f>SD7a!E45+SD7b!E45++SD7e!E45</f>
        <v>0</v>
      </c>
      <c r="F45" s="157">
        <f>SD7a!F45+SD7b!F45++SD7e!F45</f>
        <v>0</v>
      </c>
      <c r="G45" s="155">
        <f>SD7a!G45+SD7b!G45++SD7e!G45</f>
        <v>0</v>
      </c>
      <c r="H45" s="158">
        <f>SD7a!H45+SD7b!H45++SD7e!H45</f>
        <v>0</v>
      </c>
      <c r="I45" s="157">
        <f>SD7a!I45+SD7b!I45++SD7e!I45</f>
        <v>0</v>
      </c>
      <c r="J45" s="155">
        <f>SD7a!J45+SD7b!J45++SD7e!J45</f>
        <v>0</v>
      </c>
      <c r="K45" s="158">
        <f>SD7a!K45+SD7b!K45++SD7e!K45</f>
        <v>0</v>
      </c>
      <c r="L45" s="73"/>
    </row>
    <row r="46" spans="1:15" ht="13.35" customHeight="1" x14ac:dyDescent="0.2">
      <c r="A46" s="263" t="s">
        <v>883</v>
      </c>
      <c r="B46" s="257"/>
      <c r="C46" s="184">
        <f>SD7a!C46+SD7b!C46++SD7e!C46</f>
        <v>0</v>
      </c>
      <c r="D46" s="155">
        <f>SD7a!D46+SD7b!D46++SD7e!D46</f>
        <v>0</v>
      </c>
      <c r="E46" s="156">
        <f>SD7a!E46+SD7b!E46++SD7e!E46</f>
        <v>0</v>
      </c>
      <c r="F46" s="157">
        <f>SD7a!F46+SD7b!F46++SD7e!F46</f>
        <v>0</v>
      </c>
      <c r="G46" s="155">
        <f>SD7a!G46+SD7b!G46++SD7e!G46</f>
        <v>0</v>
      </c>
      <c r="H46" s="158">
        <f>SD7a!H46+SD7b!H46++SD7e!H46</f>
        <v>0</v>
      </c>
      <c r="I46" s="157">
        <f>SD7a!I46+SD7b!I46++SD7e!I46</f>
        <v>0</v>
      </c>
      <c r="J46" s="155">
        <f>SD7a!J46+SD7b!J46++SD7e!J46</f>
        <v>0</v>
      </c>
      <c r="K46" s="158">
        <f>SD7a!K46+SD7b!K46++SD7e!K46</f>
        <v>0</v>
      </c>
      <c r="L46" s="73"/>
    </row>
    <row r="47" spans="1:15" ht="13.35" customHeight="1" x14ac:dyDescent="0.2">
      <c r="A47" s="263" t="s">
        <v>884</v>
      </c>
      <c r="B47" s="257"/>
      <c r="C47" s="184">
        <f>SD7a!C47+SD7b!C47++SD7e!C47</f>
        <v>0</v>
      </c>
      <c r="D47" s="155">
        <f>SD7a!D47+SD7b!D47++SD7e!D47</f>
        <v>0</v>
      </c>
      <c r="E47" s="156">
        <f>SD7a!E47+SD7b!E47++SD7e!E47</f>
        <v>0</v>
      </c>
      <c r="F47" s="157">
        <f>SD7a!F47+SD7b!F47++SD7e!F47</f>
        <v>0</v>
      </c>
      <c r="G47" s="155">
        <f>SD7a!G47+SD7b!G47++SD7e!G47</f>
        <v>0</v>
      </c>
      <c r="H47" s="158">
        <f>SD7a!H47+SD7b!H47++SD7e!H47</f>
        <v>0</v>
      </c>
      <c r="I47" s="157">
        <f>SD7a!I47+SD7b!I47++SD7e!I47</f>
        <v>0</v>
      </c>
      <c r="J47" s="155">
        <f>SD7a!J47+SD7b!J47++SD7e!J47</f>
        <v>0</v>
      </c>
      <c r="K47" s="158">
        <f>SD7a!K47+SD7b!K47++SD7e!K47</f>
        <v>0</v>
      </c>
      <c r="L47" s="73"/>
    </row>
    <row r="48" spans="1:15" ht="13.35" customHeight="1" x14ac:dyDescent="0.2">
      <c r="A48" s="263" t="s">
        <v>885</v>
      </c>
      <c r="B48" s="257"/>
      <c r="C48" s="184">
        <f>SD7a!C48+SD7b!C48++SD7e!C48</f>
        <v>0</v>
      </c>
      <c r="D48" s="155">
        <f>SD7a!D48+SD7b!D48++SD7e!D48</f>
        <v>0</v>
      </c>
      <c r="E48" s="156">
        <f>SD7a!E48+SD7b!E48++SD7e!E48</f>
        <v>0</v>
      </c>
      <c r="F48" s="157">
        <f>SD7a!F48+SD7b!F48++SD7e!F48</f>
        <v>0</v>
      </c>
      <c r="G48" s="155">
        <f>SD7a!G48+SD7b!G48++SD7e!G48</f>
        <v>0</v>
      </c>
      <c r="H48" s="158">
        <f>SD7a!H48+SD7b!H48++SD7e!H48</f>
        <v>0</v>
      </c>
      <c r="I48" s="157">
        <f>SD7a!I48+SD7b!I48++SD7e!I48</f>
        <v>0</v>
      </c>
      <c r="J48" s="155">
        <f>SD7a!J48+SD7b!J48++SD7e!J48</f>
        <v>0</v>
      </c>
      <c r="K48" s="158">
        <f>SD7a!K48+SD7b!K48++SD7e!K48</f>
        <v>0</v>
      </c>
      <c r="L48" s="265"/>
    </row>
    <row r="49" spans="1:12" ht="13.35" customHeight="1" x14ac:dyDescent="0.2">
      <c r="A49" s="263" t="s">
        <v>886</v>
      </c>
      <c r="B49" s="257"/>
      <c r="C49" s="184">
        <f>SD7a!C49+SD7b!C49++SD7e!C49</f>
        <v>0</v>
      </c>
      <c r="D49" s="155">
        <f>SD7a!D49+SD7b!D49++SD7e!D49</f>
        <v>0</v>
      </c>
      <c r="E49" s="156">
        <f>SD7a!E49+SD7b!E49++SD7e!E49</f>
        <v>0</v>
      </c>
      <c r="F49" s="157">
        <f>SD7a!F49+SD7b!F49++SD7e!F49</f>
        <v>0</v>
      </c>
      <c r="G49" s="155">
        <f>SD7a!G49+SD7b!G49++SD7e!G49</f>
        <v>0</v>
      </c>
      <c r="H49" s="158">
        <f>SD7a!H49+SD7b!H49++SD7e!H49</f>
        <v>0</v>
      </c>
      <c r="I49" s="157">
        <f>SD7a!I49+SD7b!I49++SD7e!I49</f>
        <v>0</v>
      </c>
      <c r="J49" s="155">
        <f>SD7a!J49+SD7b!J49++SD7e!J49</f>
        <v>0</v>
      </c>
      <c r="K49" s="158">
        <f>SD7a!K49+SD7b!K49++SD7e!K49</f>
        <v>0</v>
      </c>
      <c r="L49" s="73"/>
    </row>
    <row r="50" spans="1:12" ht="13.35" customHeight="1" x14ac:dyDescent="0.2">
      <c r="A50" s="263" t="s">
        <v>887</v>
      </c>
      <c r="B50" s="257"/>
      <c r="C50" s="184">
        <f>SD7a!C50+SD7b!C50++SD7e!C50</f>
        <v>0</v>
      </c>
      <c r="D50" s="155">
        <f>SD7a!D50+SD7b!D50++SD7e!D50</f>
        <v>0</v>
      </c>
      <c r="E50" s="156">
        <f>SD7a!E50+SD7b!E50++SD7e!E50</f>
        <v>0</v>
      </c>
      <c r="F50" s="157">
        <f>SD7a!F50+SD7b!F50++SD7e!F50</f>
        <v>0</v>
      </c>
      <c r="G50" s="155">
        <f>SD7a!G50+SD7b!G50++SD7e!G50</f>
        <v>0</v>
      </c>
      <c r="H50" s="158">
        <f>SD7a!H50+SD7b!H50++SD7e!H50</f>
        <v>0</v>
      </c>
      <c r="I50" s="157">
        <f>SD7a!I50+SD7b!I50++SD7e!I50</f>
        <v>0</v>
      </c>
      <c r="J50" s="155">
        <f>SD7a!J50+SD7b!J50++SD7e!J50</f>
        <v>0</v>
      </c>
      <c r="K50" s="158">
        <f>SD7a!K50+SD7b!K50++SD7e!K50</f>
        <v>0</v>
      </c>
      <c r="L50" s="73"/>
    </row>
    <row r="51" spans="1:12" ht="13.35" customHeight="1" x14ac:dyDescent="0.2">
      <c r="A51" s="263" t="s">
        <v>852</v>
      </c>
      <c r="B51" s="257"/>
      <c r="C51" s="184">
        <f>SD7a!C51+SD7b!C51++SD7e!C51</f>
        <v>0</v>
      </c>
      <c r="D51" s="155">
        <f>SD7a!D51+SD7b!D51++SD7e!D51</f>
        <v>0</v>
      </c>
      <c r="E51" s="156">
        <f>SD7a!E51+SD7b!E51++SD7e!E51</f>
        <v>0</v>
      </c>
      <c r="F51" s="157">
        <f>SD7a!F51+SD7b!F51++SD7e!F51</f>
        <v>0</v>
      </c>
      <c r="G51" s="155">
        <f>SD7a!G51+SD7b!G51++SD7e!G51</f>
        <v>0</v>
      </c>
      <c r="H51" s="158">
        <f>SD7a!H51+SD7b!H51++SD7e!H51</f>
        <v>0</v>
      </c>
      <c r="I51" s="157">
        <f>SD7a!I51+SD7b!I51++SD7e!I51</f>
        <v>0</v>
      </c>
      <c r="J51" s="155">
        <f>SD7a!J51+SD7b!J51++SD7e!J51</f>
        <v>0</v>
      </c>
      <c r="K51" s="158">
        <f>SD7a!K51+SD7b!K51++SD7e!K51</f>
        <v>0</v>
      </c>
      <c r="L51" s="73"/>
    </row>
    <row r="52" spans="1:12" ht="13.35" customHeight="1" x14ac:dyDescent="0.2">
      <c r="A52" s="235" t="s">
        <v>888</v>
      </c>
      <c r="B52" s="257"/>
      <c r="C52" s="155">
        <f t="shared" ref="C52:K52" si="7">SUM(C53:C61)</f>
        <v>0</v>
      </c>
      <c r="D52" s="155">
        <f t="shared" si="7"/>
        <v>0</v>
      </c>
      <c r="E52" s="156">
        <f t="shared" si="7"/>
        <v>0</v>
      </c>
      <c r="F52" s="157">
        <f t="shared" si="7"/>
        <v>0</v>
      </c>
      <c r="G52" s="155">
        <f t="shared" si="7"/>
        <v>0</v>
      </c>
      <c r="H52" s="158">
        <f t="shared" si="7"/>
        <v>0</v>
      </c>
      <c r="I52" s="159">
        <f t="shared" si="7"/>
        <v>0</v>
      </c>
      <c r="J52" s="155">
        <f t="shared" si="7"/>
        <v>0</v>
      </c>
      <c r="K52" s="158">
        <f t="shared" si="7"/>
        <v>0</v>
      </c>
      <c r="L52" s="265"/>
    </row>
    <row r="53" spans="1:12" ht="13.35" customHeight="1" x14ac:dyDescent="0.2">
      <c r="A53" s="263" t="s">
        <v>889</v>
      </c>
      <c r="B53" s="257"/>
      <c r="C53" s="184">
        <f>SD7a!C53+SD7b!C53++SD7e!C53</f>
        <v>0</v>
      </c>
      <c r="D53" s="155">
        <f>SD7a!D53+SD7b!D53++SD7e!D53</f>
        <v>0</v>
      </c>
      <c r="E53" s="156">
        <f>SD7a!E53+SD7b!E53++SD7e!E53</f>
        <v>0</v>
      </c>
      <c r="F53" s="157">
        <f>SD7a!F53+SD7b!F53++SD7e!F53</f>
        <v>0</v>
      </c>
      <c r="G53" s="155">
        <f>SD7a!G53+SD7b!G53++SD7e!G53</f>
        <v>0</v>
      </c>
      <c r="H53" s="158">
        <f>SD7a!H53+SD7b!H53++SD7e!H53</f>
        <v>0</v>
      </c>
      <c r="I53" s="157">
        <f>SD7a!I53+SD7b!I53++SD7e!I53</f>
        <v>0</v>
      </c>
      <c r="J53" s="155">
        <f>SD7a!J53+SD7b!J53++SD7e!J53</f>
        <v>0</v>
      </c>
      <c r="K53" s="158">
        <f>SD7a!K53+SD7b!K53++SD7e!K53</f>
        <v>0</v>
      </c>
      <c r="L53" s="73"/>
    </row>
    <row r="54" spans="1:12" ht="13.35" customHeight="1" x14ac:dyDescent="0.2">
      <c r="A54" s="263" t="s">
        <v>890</v>
      </c>
      <c r="B54" s="257"/>
      <c r="C54" s="184">
        <f>SD7a!C54+SD7b!C54++SD7e!C54</f>
        <v>0</v>
      </c>
      <c r="D54" s="155">
        <f>SD7a!D54+SD7b!D54++SD7e!D54</f>
        <v>0</v>
      </c>
      <c r="E54" s="156">
        <f>SD7a!E54+SD7b!E54++SD7e!E54</f>
        <v>0</v>
      </c>
      <c r="F54" s="157">
        <f>SD7a!F54+SD7b!F54++SD7e!F54</f>
        <v>0</v>
      </c>
      <c r="G54" s="155">
        <f>SD7a!G54+SD7b!G54++SD7e!G54</f>
        <v>0</v>
      </c>
      <c r="H54" s="158">
        <f>SD7a!H54+SD7b!H54++SD7e!H54</f>
        <v>0</v>
      </c>
      <c r="I54" s="157">
        <f>SD7a!I54+SD7b!I54++SD7e!I54</f>
        <v>0</v>
      </c>
      <c r="J54" s="155">
        <f>SD7a!J54+SD7b!J54++SD7e!J54</f>
        <v>0</v>
      </c>
      <c r="K54" s="158">
        <f>SD7a!K54+SD7b!K54++SD7e!K54</f>
        <v>0</v>
      </c>
      <c r="L54" s="265"/>
    </row>
    <row r="55" spans="1:12" ht="13.35" customHeight="1" x14ac:dyDescent="0.2">
      <c r="A55" s="263" t="s">
        <v>891</v>
      </c>
      <c r="B55" s="257"/>
      <c r="C55" s="184">
        <f>SD7a!C55+SD7b!C55++SD7e!C55</f>
        <v>0</v>
      </c>
      <c r="D55" s="155">
        <f>SD7a!D55+SD7b!D55++SD7e!D55</f>
        <v>0</v>
      </c>
      <c r="E55" s="156">
        <f>SD7a!E55+SD7b!E55++SD7e!E55</f>
        <v>0</v>
      </c>
      <c r="F55" s="157">
        <f>SD7a!F55+SD7b!F55++SD7e!F55</f>
        <v>0</v>
      </c>
      <c r="G55" s="155">
        <f>SD7a!G55+SD7b!G55++SD7e!G55</f>
        <v>0</v>
      </c>
      <c r="H55" s="158">
        <f>SD7a!H55+SD7b!H55++SD7e!H55</f>
        <v>0</v>
      </c>
      <c r="I55" s="157">
        <f>SD7a!I55+SD7b!I55++SD7e!I55</f>
        <v>0</v>
      </c>
      <c r="J55" s="155">
        <f>SD7a!J55+SD7b!J55++SD7e!J55</f>
        <v>0</v>
      </c>
      <c r="K55" s="158">
        <f>SD7a!K55+SD7b!K55++SD7e!K55</f>
        <v>0</v>
      </c>
      <c r="L55" s="265"/>
    </row>
    <row r="56" spans="1:12" ht="13.35" customHeight="1" x14ac:dyDescent="0.2">
      <c r="A56" s="263" t="s">
        <v>854</v>
      </c>
      <c r="B56" s="257"/>
      <c r="C56" s="184">
        <f>SD7a!C56+SD7b!C56++SD7e!C56</f>
        <v>0</v>
      </c>
      <c r="D56" s="155">
        <f>SD7a!D56+SD7b!D56++SD7e!D56</f>
        <v>0</v>
      </c>
      <c r="E56" s="156">
        <f>SD7a!E56+SD7b!E56++SD7e!E56</f>
        <v>0</v>
      </c>
      <c r="F56" s="157">
        <f>SD7a!F56+SD7b!F56++SD7e!F56</f>
        <v>0</v>
      </c>
      <c r="G56" s="155">
        <f>SD7a!G56+SD7b!G56++SD7e!G56</f>
        <v>0</v>
      </c>
      <c r="H56" s="158">
        <f>SD7a!H56+SD7b!H56++SD7e!H56</f>
        <v>0</v>
      </c>
      <c r="I56" s="157">
        <f>SD7a!I56+SD7b!I56++SD7e!I56</f>
        <v>0</v>
      </c>
      <c r="J56" s="155">
        <f>SD7a!J56+SD7b!J56++SD7e!J56</f>
        <v>0</v>
      </c>
      <c r="K56" s="158">
        <f>SD7a!K56+SD7b!K56++SD7e!K56</f>
        <v>0</v>
      </c>
      <c r="L56" s="265"/>
    </row>
    <row r="57" spans="1:12" ht="13.35" customHeight="1" x14ac:dyDescent="0.2">
      <c r="A57" s="263" t="s">
        <v>855</v>
      </c>
      <c r="B57" s="257"/>
      <c r="C57" s="184">
        <f>SD7a!C57+SD7b!C57++SD7e!C57</f>
        <v>0</v>
      </c>
      <c r="D57" s="155">
        <f>SD7a!D57+SD7b!D57++SD7e!D57</f>
        <v>0</v>
      </c>
      <c r="E57" s="156">
        <f>SD7a!E57+SD7b!E57++SD7e!E57</f>
        <v>0</v>
      </c>
      <c r="F57" s="157">
        <f>SD7a!F57+SD7b!F57++SD7e!F57</f>
        <v>0</v>
      </c>
      <c r="G57" s="155">
        <f>SD7a!G57+SD7b!G57++SD7e!G57</f>
        <v>0</v>
      </c>
      <c r="H57" s="158">
        <f>SD7a!H57+SD7b!H57++SD7e!H57</f>
        <v>0</v>
      </c>
      <c r="I57" s="157">
        <f>SD7a!I57+SD7b!I57++SD7e!I57</f>
        <v>0</v>
      </c>
      <c r="J57" s="155">
        <f>SD7a!J57+SD7b!J57++SD7e!J57</f>
        <v>0</v>
      </c>
      <c r="K57" s="158">
        <f>SD7a!K57+SD7b!K57++SD7e!K57</f>
        <v>0</v>
      </c>
      <c r="L57" s="265"/>
    </row>
    <row r="58" spans="1:12" ht="13.35" customHeight="1" x14ac:dyDescent="0.2">
      <c r="A58" s="263" t="s">
        <v>856</v>
      </c>
      <c r="B58" s="257"/>
      <c r="C58" s="184">
        <f>SD7a!C58+SD7b!C58++SD7e!C58</f>
        <v>0</v>
      </c>
      <c r="D58" s="155">
        <f>SD7a!D58+SD7b!D58++SD7e!D58</f>
        <v>0</v>
      </c>
      <c r="E58" s="156">
        <f>SD7a!E58+SD7b!E58++SD7e!E58</f>
        <v>0</v>
      </c>
      <c r="F58" s="157">
        <f>SD7a!F58+SD7b!F58++SD7e!F58</f>
        <v>0</v>
      </c>
      <c r="G58" s="155">
        <f>SD7a!G58+SD7b!G58++SD7e!G58</f>
        <v>0</v>
      </c>
      <c r="H58" s="158">
        <f>SD7a!H58+SD7b!H58++SD7e!H58</f>
        <v>0</v>
      </c>
      <c r="I58" s="157">
        <f>SD7a!I58+SD7b!I58++SD7e!I58</f>
        <v>0</v>
      </c>
      <c r="J58" s="155">
        <f>SD7a!J58+SD7b!J58++SD7e!J58</f>
        <v>0</v>
      </c>
      <c r="K58" s="158">
        <f>SD7a!K58+SD7b!K58++SD7e!K58</f>
        <v>0</v>
      </c>
      <c r="L58" s="261"/>
    </row>
    <row r="59" spans="1:12" ht="13.35" customHeight="1" x14ac:dyDescent="0.2">
      <c r="A59" s="263" t="s">
        <v>862</v>
      </c>
      <c r="B59" s="257"/>
      <c r="C59" s="184">
        <f>SD7a!C59+SD7b!C59++SD7e!C59</f>
        <v>0</v>
      </c>
      <c r="D59" s="155">
        <f>SD7a!D59+SD7b!D59++SD7e!D59</f>
        <v>0</v>
      </c>
      <c r="E59" s="156">
        <f>SD7a!E59+SD7b!E59++SD7e!E59</f>
        <v>0</v>
      </c>
      <c r="F59" s="157">
        <f>SD7a!F59+SD7b!F59++SD7e!F59</f>
        <v>0</v>
      </c>
      <c r="G59" s="155">
        <f>SD7a!G59+SD7b!G59++SD7e!G59</f>
        <v>0</v>
      </c>
      <c r="H59" s="158">
        <f>SD7a!H59+SD7b!H59++SD7e!H59</f>
        <v>0</v>
      </c>
      <c r="I59" s="157">
        <f>SD7a!I59+SD7b!I59++SD7e!I59</f>
        <v>0</v>
      </c>
      <c r="J59" s="155">
        <f>SD7a!J59+SD7b!J59++SD7e!J59</f>
        <v>0</v>
      </c>
      <c r="K59" s="158">
        <f>SD7a!K59+SD7b!K59++SD7e!K59</f>
        <v>0</v>
      </c>
      <c r="L59" s="265"/>
    </row>
    <row r="60" spans="1:12" ht="13.35" customHeight="1" x14ac:dyDescent="0.2">
      <c r="A60" s="263" t="s">
        <v>865</v>
      </c>
      <c r="B60" s="257"/>
      <c r="C60" s="184">
        <f>SD7a!C60+SD7b!C60++SD7e!C60</f>
        <v>0</v>
      </c>
      <c r="D60" s="155">
        <f>SD7a!D60+SD7b!D60++SD7e!D60</f>
        <v>0</v>
      </c>
      <c r="E60" s="156">
        <f>SD7a!E60+SD7b!E60++SD7e!E60</f>
        <v>0</v>
      </c>
      <c r="F60" s="157">
        <f>SD7a!F60+SD7b!F60++SD7e!F60</f>
        <v>0</v>
      </c>
      <c r="G60" s="155">
        <f>SD7a!G60+SD7b!G60++SD7e!G60</f>
        <v>0</v>
      </c>
      <c r="H60" s="158">
        <f>SD7a!H60+SD7b!H60++SD7e!H60</f>
        <v>0</v>
      </c>
      <c r="I60" s="157">
        <f>SD7a!I60+SD7b!I60++SD7e!I60</f>
        <v>0</v>
      </c>
      <c r="J60" s="155">
        <f>SD7a!J60+SD7b!J60++SD7e!J60</f>
        <v>0</v>
      </c>
      <c r="K60" s="158">
        <f>SD7a!K60+SD7b!K60++SD7e!K60</f>
        <v>0</v>
      </c>
      <c r="L60" s="265"/>
    </row>
    <row r="61" spans="1:12" ht="13.35" customHeight="1" x14ac:dyDescent="0.2">
      <c r="A61" s="263" t="s">
        <v>852</v>
      </c>
      <c r="B61" s="257"/>
      <c r="C61" s="184">
        <f>SD7a!C61+SD7b!C61++SD7e!C61</f>
        <v>0</v>
      </c>
      <c r="D61" s="155">
        <f>SD7a!D61+SD7b!D61++SD7e!D61</f>
        <v>0</v>
      </c>
      <c r="E61" s="156">
        <f>SD7a!E61+SD7b!E61++SD7e!E61</f>
        <v>0</v>
      </c>
      <c r="F61" s="157">
        <f>SD7a!F61+SD7b!F61++SD7e!F61</f>
        <v>0</v>
      </c>
      <c r="G61" s="155">
        <f>SD7a!G61+SD7b!G61++SD7e!G61</f>
        <v>0</v>
      </c>
      <c r="H61" s="158">
        <f>SD7a!H61+SD7b!H61++SD7e!H61</f>
        <v>0</v>
      </c>
      <c r="I61" s="157">
        <f>SD7a!I61+SD7b!I61++SD7e!I61</f>
        <v>0</v>
      </c>
      <c r="J61" s="155">
        <f>SD7a!J61+SD7b!J61++SD7e!J61</f>
        <v>0</v>
      </c>
      <c r="K61" s="158">
        <f>SD7a!K61+SD7b!K61++SD7e!K61</f>
        <v>0</v>
      </c>
      <c r="L61" s="265"/>
    </row>
    <row r="62" spans="1:12" ht="13.35" customHeight="1" x14ac:dyDescent="0.2">
      <c r="A62" s="239" t="s">
        <v>892</v>
      </c>
      <c r="B62" s="257"/>
      <c r="C62" s="155">
        <f>SUM(C63:C67)</f>
        <v>0</v>
      </c>
      <c r="D62" s="155">
        <f t="shared" ref="D62:K62" si="8">SUM(D63:D67)</f>
        <v>0</v>
      </c>
      <c r="E62" s="156">
        <f t="shared" si="8"/>
        <v>0</v>
      </c>
      <c r="F62" s="157">
        <f t="shared" si="8"/>
        <v>0</v>
      </c>
      <c r="G62" s="155">
        <f t="shared" si="8"/>
        <v>0</v>
      </c>
      <c r="H62" s="158">
        <f t="shared" si="8"/>
        <v>0</v>
      </c>
      <c r="I62" s="159">
        <f t="shared" si="8"/>
        <v>0</v>
      </c>
      <c r="J62" s="155">
        <f t="shared" si="8"/>
        <v>0</v>
      </c>
      <c r="K62" s="158">
        <f t="shared" si="8"/>
        <v>0</v>
      </c>
      <c r="L62" s="265"/>
    </row>
    <row r="63" spans="1:12" ht="13.35" customHeight="1" x14ac:dyDescent="0.2">
      <c r="A63" s="263" t="s">
        <v>893</v>
      </c>
      <c r="B63" s="257"/>
      <c r="C63" s="184">
        <f>SD7a!C63+SD7b!C63++SD7e!C63</f>
        <v>0</v>
      </c>
      <c r="D63" s="155">
        <f>SD7a!D63+SD7b!D63++SD7e!D63</f>
        <v>0</v>
      </c>
      <c r="E63" s="156">
        <f>SD7a!E63+SD7b!E63++SD7e!E63</f>
        <v>0</v>
      </c>
      <c r="F63" s="157">
        <f>SD7a!F63+SD7b!F63++SD7e!F63</f>
        <v>0</v>
      </c>
      <c r="G63" s="155">
        <f>SD7a!G63+SD7b!G63++SD7e!G63</f>
        <v>0</v>
      </c>
      <c r="H63" s="158">
        <f>SD7a!H63+SD7b!H63++SD7e!H63</f>
        <v>0</v>
      </c>
      <c r="I63" s="157">
        <f>SD7a!I63+SD7b!I63++SD7e!I63</f>
        <v>0</v>
      </c>
      <c r="J63" s="155">
        <f>SD7a!J63+SD7b!J63++SD7e!J63</f>
        <v>0</v>
      </c>
      <c r="K63" s="158">
        <f>SD7a!K63+SD7b!K63++SD7e!K63</f>
        <v>0</v>
      </c>
      <c r="L63" s="265"/>
    </row>
    <row r="64" spans="1:12" ht="13.35" customHeight="1" x14ac:dyDescent="0.2">
      <c r="A64" s="263" t="s">
        <v>894</v>
      </c>
      <c r="B64" s="257"/>
      <c r="C64" s="184">
        <f>SD7a!C64+SD7b!C64++SD7e!C64</f>
        <v>0</v>
      </c>
      <c r="D64" s="155">
        <f>SD7a!D64+SD7b!D64++SD7e!D64</f>
        <v>0</v>
      </c>
      <c r="E64" s="156">
        <f>SD7a!E64+SD7b!E64++SD7e!E64</f>
        <v>0</v>
      </c>
      <c r="F64" s="157">
        <f>SD7a!F64+SD7b!F64++SD7e!F64</f>
        <v>0</v>
      </c>
      <c r="G64" s="155">
        <f>SD7a!G64+SD7b!G64++SD7e!G64</f>
        <v>0</v>
      </c>
      <c r="H64" s="158">
        <f>SD7a!H64+SD7b!H64++SD7e!H64</f>
        <v>0</v>
      </c>
      <c r="I64" s="157">
        <f>SD7a!I64+SD7b!I64++SD7e!I64</f>
        <v>0</v>
      </c>
      <c r="J64" s="155">
        <f>SD7a!J64+SD7b!J64++SD7e!J64</f>
        <v>0</v>
      </c>
      <c r="K64" s="158">
        <f>SD7a!K64+SD7b!K64++SD7e!K64</f>
        <v>0</v>
      </c>
      <c r="L64" s="73"/>
    </row>
    <row r="65" spans="1:12" ht="13.35" customHeight="1" x14ac:dyDescent="0.2">
      <c r="A65" s="263" t="s">
        <v>895</v>
      </c>
      <c r="B65" s="257"/>
      <c r="C65" s="184">
        <f>SD7a!C65+SD7b!C65++SD7e!C65</f>
        <v>0</v>
      </c>
      <c r="D65" s="155">
        <f>SD7a!D65+SD7b!D65++SD7e!D65</f>
        <v>0</v>
      </c>
      <c r="E65" s="156">
        <f>SD7a!E65+SD7b!E65++SD7e!E65</f>
        <v>0</v>
      </c>
      <c r="F65" s="157">
        <f>SD7a!F65+SD7b!F65++SD7e!F65</f>
        <v>0</v>
      </c>
      <c r="G65" s="155">
        <f>SD7a!G65+SD7b!G65++SD7e!G65</f>
        <v>0</v>
      </c>
      <c r="H65" s="158">
        <f>SD7a!H65+SD7b!H65++SD7e!H65</f>
        <v>0</v>
      </c>
      <c r="I65" s="157">
        <f>SD7a!I65+SD7b!I65++SD7e!I65</f>
        <v>0</v>
      </c>
      <c r="J65" s="155">
        <f>SD7a!J65+SD7b!J65++SD7e!J65</f>
        <v>0</v>
      </c>
      <c r="K65" s="158">
        <f>SD7a!K65+SD7b!K65++SD7e!K65</f>
        <v>0</v>
      </c>
      <c r="L65" s="73"/>
    </row>
    <row r="66" spans="1:12" ht="13.35" customHeight="1" x14ac:dyDescent="0.2">
      <c r="A66" s="263" t="s">
        <v>896</v>
      </c>
      <c r="B66" s="257"/>
      <c r="C66" s="184">
        <f>SD7a!C66+SD7b!C66++SD7e!C66</f>
        <v>0</v>
      </c>
      <c r="D66" s="155">
        <f>SD7a!D66+SD7b!D66++SD7e!D66</f>
        <v>0</v>
      </c>
      <c r="E66" s="156">
        <f>SD7a!E66+SD7b!E66++SD7e!E66</f>
        <v>0</v>
      </c>
      <c r="F66" s="157">
        <f>SD7a!F66+SD7b!F66++SD7e!F66</f>
        <v>0</v>
      </c>
      <c r="G66" s="155">
        <f>SD7a!G66+SD7b!G66++SD7e!G66</f>
        <v>0</v>
      </c>
      <c r="H66" s="158">
        <f>SD7a!H66+SD7b!H66++SD7e!H66</f>
        <v>0</v>
      </c>
      <c r="I66" s="157">
        <f>SD7a!I66+SD7b!I66++SD7e!I66</f>
        <v>0</v>
      </c>
      <c r="J66" s="155">
        <f>SD7a!J66+SD7b!J66++SD7e!J66</f>
        <v>0</v>
      </c>
      <c r="K66" s="158">
        <f>SD7a!K66+SD7b!K66++SD7e!K66</f>
        <v>0</v>
      </c>
      <c r="L66" s="73"/>
    </row>
    <row r="67" spans="1:12" ht="13.35" customHeight="1" x14ac:dyDescent="0.2">
      <c r="A67" s="263" t="s">
        <v>852</v>
      </c>
      <c r="B67" s="257"/>
      <c r="C67" s="184">
        <f>SD7a!C67+SD7b!C67++SD7e!C67</f>
        <v>0</v>
      </c>
      <c r="D67" s="155">
        <f>SD7a!D67+SD7b!D67++SD7e!D67</f>
        <v>0</v>
      </c>
      <c r="E67" s="156">
        <f>SD7a!E67+SD7b!E67++SD7e!E67</f>
        <v>0</v>
      </c>
      <c r="F67" s="157">
        <f>SD7a!F67+SD7b!F67++SD7e!F67</f>
        <v>0</v>
      </c>
      <c r="G67" s="155">
        <f>SD7a!G67+SD7b!G67++SD7e!G67</f>
        <v>0</v>
      </c>
      <c r="H67" s="158">
        <f>SD7a!H67+SD7b!H67++SD7e!H67</f>
        <v>0</v>
      </c>
      <c r="I67" s="157">
        <f>SD7a!I67+SD7b!I67++SD7e!I67</f>
        <v>0</v>
      </c>
      <c r="J67" s="155">
        <f>SD7a!J67+SD7b!J67++SD7e!J67</f>
        <v>0</v>
      </c>
      <c r="K67" s="158">
        <f>SD7a!K67+SD7b!K67++SD7e!K67</f>
        <v>0</v>
      </c>
      <c r="L67" s="73"/>
    </row>
    <row r="68" spans="1:12" ht="13.35" customHeight="1" x14ac:dyDescent="0.2">
      <c r="A68" s="235" t="s">
        <v>897</v>
      </c>
      <c r="B68" s="257"/>
      <c r="C68" s="155">
        <f>SUM(C69:C72)</f>
        <v>0</v>
      </c>
      <c r="D68" s="155">
        <f t="shared" ref="D68:K68" si="9">SUM(D69:D72)</f>
        <v>0</v>
      </c>
      <c r="E68" s="155">
        <f t="shared" si="9"/>
        <v>0</v>
      </c>
      <c r="F68" s="157">
        <f t="shared" si="9"/>
        <v>0</v>
      </c>
      <c r="G68" s="155">
        <f t="shared" si="9"/>
        <v>0</v>
      </c>
      <c r="H68" s="158">
        <f t="shared" si="9"/>
        <v>0</v>
      </c>
      <c r="I68" s="159">
        <f t="shared" si="9"/>
        <v>0</v>
      </c>
      <c r="J68" s="155">
        <f t="shared" si="9"/>
        <v>0</v>
      </c>
      <c r="K68" s="158">
        <f t="shared" si="9"/>
        <v>0</v>
      </c>
      <c r="L68" s="73"/>
    </row>
    <row r="69" spans="1:12" ht="13.35" customHeight="1" x14ac:dyDescent="0.2">
      <c r="A69" s="263" t="s">
        <v>898</v>
      </c>
      <c r="B69" s="257"/>
      <c r="C69" s="184">
        <f>SD7a!C69+SD7b!C69++SD7e!C69</f>
        <v>0</v>
      </c>
      <c r="D69" s="155">
        <f>SD7a!D69+SD7b!D69++SD7e!D69</f>
        <v>0</v>
      </c>
      <c r="E69" s="156">
        <f>SD7a!E69+SD7b!E69++SD7e!E69</f>
        <v>0</v>
      </c>
      <c r="F69" s="157">
        <f>SD7a!F69+SD7b!F69++SD7e!F69</f>
        <v>0</v>
      </c>
      <c r="G69" s="155">
        <f>SD7a!G69+SD7b!G69++SD7e!G69</f>
        <v>0</v>
      </c>
      <c r="H69" s="158">
        <f>SD7a!H69+SD7b!H69++SD7e!H69</f>
        <v>0</v>
      </c>
      <c r="I69" s="157">
        <f>SD7a!I69+SD7b!I69++SD7e!I69</f>
        <v>0</v>
      </c>
      <c r="J69" s="155">
        <f>SD7a!J69+SD7b!J69++SD7e!J69</f>
        <v>0</v>
      </c>
      <c r="K69" s="158">
        <f>SD7a!K69+SD7b!K69++SD7e!K69</f>
        <v>0</v>
      </c>
      <c r="L69" s="73"/>
    </row>
    <row r="70" spans="1:12" ht="13.35" customHeight="1" x14ac:dyDescent="0.2">
      <c r="A70" s="263" t="s">
        <v>899</v>
      </c>
      <c r="B70" s="257"/>
      <c r="C70" s="184">
        <f>SD7a!C70+SD7b!C70++SD7e!C70</f>
        <v>0</v>
      </c>
      <c r="D70" s="155">
        <f>SD7a!D70+SD7b!D70++SD7e!D70</f>
        <v>0</v>
      </c>
      <c r="E70" s="156">
        <f>SD7a!E70+SD7b!E70++SD7e!E70</f>
        <v>0</v>
      </c>
      <c r="F70" s="157">
        <f>SD7a!F70+SD7b!F70++SD7e!F70</f>
        <v>0</v>
      </c>
      <c r="G70" s="155">
        <f>SD7a!G70+SD7b!G70++SD7e!G70</f>
        <v>0</v>
      </c>
      <c r="H70" s="158">
        <f>SD7a!H70+SD7b!H70++SD7e!H70</f>
        <v>0</v>
      </c>
      <c r="I70" s="157">
        <f>SD7a!I70+SD7b!I70++SD7e!I70</f>
        <v>0</v>
      </c>
      <c r="J70" s="155">
        <f>SD7a!J70+SD7b!J70++SD7e!J70</f>
        <v>0</v>
      </c>
      <c r="K70" s="158">
        <f>SD7a!K70+SD7b!K70++SD7e!K70</f>
        <v>0</v>
      </c>
      <c r="L70" s="73"/>
    </row>
    <row r="71" spans="1:12" ht="13.35" customHeight="1" x14ac:dyDescent="0.2">
      <c r="A71" s="263" t="s">
        <v>900</v>
      </c>
      <c r="B71" s="257"/>
      <c r="C71" s="184">
        <f>SD7a!C71+SD7b!C71++SD7e!C71</f>
        <v>0</v>
      </c>
      <c r="D71" s="155">
        <f>SD7a!D71+SD7b!D71++SD7e!D71</f>
        <v>0</v>
      </c>
      <c r="E71" s="156">
        <f>SD7a!E71+SD7b!E71++SD7e!E71</f>
        <v>0</v>
      </c>
      <c r="F71" s="157">
        <f>SD7a!F71+SD7b!F71++SD7e!F71</f>
        <v>0</v>
      </c>
      <c r="G71" s="155">
        <f>SD7a!G71+SD7b!G71++SD7e!G71</f>
        <v>0</v>
      </c>
      <c r="H71" s="158">
        <f>SD7a!H71+SD7b!H71++SD7e!H71</f>
        <v>0</v>
      </c>
      <c r="I71" s="157">
        <f>SD7a!I71+SD7b!I71++SD7e!I71</f>
        <v>0</v>
      </c>
      <c r="J71" s="155">
        <f>SD7a!J71+SD7b!J71++SD7e!J71</f>
        <v>0</v>
      </c>
      <c r="K71" s="158">
        <f>SD7a!K71+SD7b!K71++SD7e!K71</f>
        <v>0</v>
      </c>
      <c r="L71" s="73"/>
    </row>
    <row r="72" spans="1:12" ht="13.35" customHeight="1" x14ac:dyDescent="0.2">
      <c r="A72" s="263" t="s">
        <v>852</v>
      </c>
      <c r="B72" s="257"/>
      <c r="C72" s="184">
        <f>SD7a!C72+SD7b!C72++SD7e!C72</f>
        <v>0</v>
      </c>
      <c r="D72" s="155">
        <f>SD7a!D72+SD7b!D72++SD7e!D72</f>
        <v>0</v>
      </c>
      <c r="E72" s="156">
        <f>SD7a!E72+SD7b!E72++SD7e!E72</f>
        <v>0</v>
      </c>
      <c r="F72" s="157">
        <f>SD7a!F72+SD7b!F72++SD7e!F72</f>
        <v>0</v>
      </c>
      <c r="G72" s="155">
        <f>SD7a!G72+SD7b!G72++SD7e!G72</f>
        <v>0</v>
      </c>
      <c r="H72" s="158">
        <f>SD7a!H72+SD7b!H72++SD7e!H72</f>
        <v>0</v>
      </c>
      <c r="I72" s="157">
        <f>SD7a!I72+SD7b!I72++SD7e!I72</f>
        <v>0</v>
      </c>
      <c r="J72" s="155">
        <f>SD7a!J72+SD7b!J72++SD7e!J72</f>
        <v>0</v>
      </c>
      <c r="K72" s="158">
        <f>SD7a!K72+SD7b!K72++SD7e!K72</f>
        <v>0</v>
      </c>
      <c r="L72" s="73"/>
    </row>
    <row r="73" spans="1:12" ht="5.0999999999999996" customHeight="1" x14ac:dyDescent="0.2">
      <c r="A73" s="267"/>
      <c r="B73" s="257"/>
      <c r="C73" s="66"/>
      <c r="D73" s="66"/>
      <c r="E73" s="268"/>
      <c r="F73" s="269"/>
      <c r="G73" s="66"/>
      <c r="H73" s="270"/>
      <c r="I73" s="269"/>
      <c r="J73" s="66"/>
      <c r="K73" s="268"/>
      <c r="L73" s="73"/>
    </row>
    <row r="74" spans="1:12" ht="13.35" customHeight="1" x14ac:dyDescent="0.2">
      <c r="A74" s="256" t="s">
        <v>901</v>
      </c>
      <c r="B74" s="257"/>
      <c r="C74" s="145">
        <f>C75+C98</f>
        <v>0</v>
      </c>
      <c r="D74" s="145">
        <f t="shared" ref="D74:K74" si="10">D75+D98</f>
        <v>0</v>
      </c>
      <c r="E74" s="258">
        <f t="shared" si="10"/>
        <v>4008579.4</v>
      </c>
      <c r="F74" s="259">
        <f t="shared" si="10"/>
        <v>11714675</v>
      </c>
      <c r="G74" s="145">
        <f t="shared" si="10"/>
        <v>11714675</v>
      </c>
      <c r="H74" s="260">
        <f t="shared" si="10"/>
        <v>11714675</v>
      </c>
      <c r="I74" s="259">
        <f t="shared" si="10"/>
        <v>25871670.909719996</v>
      </c>
      <c r="J74" s="145">
        <f t="shared" si="10"/>
        <v>26691988.087928239</v>
      </c>
      <c r="K74" s="258">
        <f t="shared" si="10"/>
        <v>27144445.455797084</v>
      </c>
      <c r="L74" s="73"/>
    </row>
    <row r="75" spans="1:12" ht="13.35" customHeight="1" x14ac:dyDescent="0.2">
      <c r="A75" s="235" t="s">
        <v>902</v>
      </c>
      <c r="B75" s="257"/>
      <c r="C75" s="150">
        <f>SUM(C76:C97)</f>
        <v>0</v>
      </c>
      <c r="D75" s="150">
        <f t="shared" ref="D75:K75" si="11">SUM(D76:D97)</f>
        <v>0</v>
      </c>
      <c r="E75" s="151">
        <f t="shared" si="11"/>
        <v>4008579.4</v>
      </c>
      <c r="F75" s="152">
        <f t="shared" si="11"/>
        <v>11714675</v>
      </c>
      <c r="G75" s="150">
        <f t="shared" si="11"/>
        <v>11714675</v>
      </c>
      <c r="H75" s="153">
        <f t="shared" si="11"/>
        <v>11714675</v>
      </c>
      <c r="I75" s="152">
        <f t="shared" si="11"/>
        <v>25871670.909719996</v>
      </c>
      <c r="J75" s="150">
        <f t="shared" si="11"/>
        <v>26691988.087928239</v>
      </c>
      <c r="K75" s="153">
        <f t="shared" si="11"/>
        <v>27144445.455797084</v>
      </c>
      <c r="L75" s="73"/>
    </row>
    <row r="76" spans="1:12" ht="13.35" customHeight="1" x14ac:dyDescent="0.2">
      <c r="A76" s="263" t="s">
        <v>903</v>
      </c>
      <c r="B76" s="257"/>
      <c r="C76" s="184">
        <f>SD7a!C76+SD7b!C76++SD7e!C76</f>
        <v>0</v>
      </c>
      <c r="D76" s="155">
        <f>SD7a!D76+SD7b!D76++SD7e!D76</f>
        <v>0</v>
      </c>
      <c r="E76" s="156">
        <f>SD7a!E76+SD7b!E76++SD7e!E76</f>
        <v>0</v>
      </c>
      <c r="F76" s="157">
        <f>SD7a!F76+SD7b!F76++SD7e!F76</f>
        <v>0</v>
      </c>
      <c r="G76" s="155">
        <f>SD7a!G76+SD7b!G76++SD7e!G76</f>
        <v>0</v>
      </c>
      <c r="H76" s="158">
        <f>SD7a!H76+SD7b!H76++SD7e!H76</f>
        <v>0</v>
      </c>
      <c r="I76" s="157">
        <f>SD7a!I76+SD7b!I76++SD7e!I76</f>
        <v>0</v>
      </c>
      <c r="J76" s="155">
        <f>SD7a!J76+SD7b!J76++SD7e!J76</f>
        <v>0</v>
      </c>
      <c r="K76" s="158">
        <f>SD7a!K76+SD7b!K76++SD7e!K76</f>
        <v>0</v>
      </c>
      <c r="L76" s="73"/>
    </row>
    <row r="77" spans="1:12" ht="13.35" customHeight="1" x14ac:dyDescent="0.2">
      <c r="A77" s="263" t="s">
        <v>904</v>
      </c>
      <c r="B77" s="257"/>
      <c r="C77" s="184">
        <f>SD7a!C77+SD7b!C77++SD7e!C77</f>
        <v>0</v>
      </c>
      <c r="D77" s="155">
        <f>SD7a!D77+SD7b!D77++SD7e!D77</f>
        <v>0</v>
      </c>
      <c r="E77" s="156">
        <f>SD7a!E77+SD7b!E77++SD7e!E77</f>
        <v>4008579.4</v>
      </c>
      <c r="F77" s="157">
        <f>SD7a!F77+SD7b!F77++SD7e!F77</f>
        <v>11714675</v>
      </c>
      <c r="G77" s="155">
        <f>SD7a!G77+SD7b!G77++SD7e!G77</f>
        <v>11714675</v>
      </c>
      <c r="H77" s="158">
        <f>SD7a!H77+SD7b!H77++SD7e!H77</f>
        <v>11714675</v>
      </c>
      <c r="I77" s="157">
        <f>SD7a!I77+SD7b!I77++SD7e!I77</f>
        <v>25871670.909719996</v>
      </c>
      <c r="J77" s="155">
        <f>SD7a!J77+SD7b!J77++SD7e!J77</f>
        <v>26691988.087928239</v>
      </c>
      <c r="K77" s="158">
        <f>SD7a!K77+SD7b!K77++SD7e!K77</f>
        <v>27144445.455797084</v>
      </c>
      <c r="L77" s="73"/>
    </row>
    <row r="78" spans="1:12" ht="13.35" customHeight="1" x14ac:dyDescent="0.2">
      <c r="A78" s="263" t="s">
        <v>905</v>
      </c>
      <c r="B78" s="257"/>
      <c r="C78" s="184">
        <f>SD7a!C78+SD7b!C78++SD7e!C78</f>
        <v>0</v>
      </c>
      <c r="D78" s="155">
        <f>SD7a!D78+SD7b!D78++SD7e!D78</f>
        <v>0</v>
      </c>
      <c r="E78" s="156">
        <f>SD7a!E78+SD7b!E78++SD7e!E78</f>
        <v>0</v>
      </c>
      <c r="F78" s="157">
        <f>SD7a!F78+SD7b!F78++SD7e!F78</f>
        <v>0</v>
      </c>
      <c r="G78" s="155">
        <f>SD7a!G78+SD7b!G78++SD7e!G78</f>
        <v>0</v>
      </c>
      <c r="H78" s="158">
        <f>SD7a!H78+SD7b!H78++SD7e!H78</f>
        <v>0</v>
      </c>
      <c r="I78" s="157">
        <f>SD7a!I78+SD7b!I78++SD7e!I78</f>
        <v>0</v>
      </c>
      <c r="J78" s="155">
        <f>SD7a!J78+SD7b!J78++SD7e!J78</f>
        <v>0</v>
      </c>
      <c r="K78" s="158">
        <f>SD7a!K78+SD7b!K78++SD7e!K78</f>
        <v>0</v>
      </c>
      <c r="L78" s="73"/>
    </row>
    <row r="79" spans="1:12" ht="13.35" customHeight="1" x14ac:dyDescent="0.2">
      <c r="A79" s="263" t="s">
        <v>906</v>
      </c>
      <c r="B79" s="257"/>
      <c r="C79" s="184">
        <f>SD7a!C79+SD7b!C79++SD7e!C79</f>
        <v>0</v>
      </c>
      <c r="D79" s="155">
        <f>SD7a!D79+SD7b!D79++SD7e!D79</f>
        <v>0</v>
      </c>
      <c r="E79" s="156">
        <f>SD7a!E79+SD7b!E79++SD7e!E79</f>
        <v>0</v>
      </c>
      <c r="F79" s="157">
        <f>SD7a!F79+SD7b!F79++SD7e!F79</f>
        <v>0</v>
      </c>
      <c r="G79" s="155">
        <f>SD7a!G79+SD7b!G79++SD7e!G79</f>
        <v>0</v>
      </c>
      <c r="H79" s="158">
        <f>SD7a!H79+SD7b!H79++SD7e!H79</f>
        <v>0</v>
      </c>
      <c r="I79" s="157">
        <f>SD7a!I79+SD7b!I79++SD7e!I79</f>
        <v>0</v>
      </c>
      <c r="J79" s="155">
        <f>SD7a!J79+SD7b!J79++SD7e!J79</f>
        <v>0</v>
      </c>
      <c r="K79" s="158">
        <f>SD7a!K79+SD7b!K79++SD7e!K79</f>
        <v>0</v>
      </c>
      <c r="L79" s="73"/>
    </row>
    <row r="80" spans="1:12" ht="13.35" customHeight="1" x14ac:dyDescent="0.2">
      <c r="A80" s="263" t="s">
        <v>907</v>
      </c>
      <c r="B80" s="257"/>
      <c r="C80" s="184">
        <f>SD7a!C80+SD7b!C80++SD7e!C80</f>
        <v>0</v>
      </c>
      <c r="D80" s="155">
        <f>SD7a!D80+SD7b!D80++SD7e!D80</f>
        <v>0</v>
      </c>
      <c r="E80" s="156">
        <f>SD7a!E80+SD7b!E80++SD7e!E80</f>
        <v>0</v>
      </c>
      <c r="F80" s="157">
        <f>SD7a!F80+SD7b!F80++SD7e!F80</f>
        <v>0</v>
      </c>
      <c r="G80" s="155">
        <f>SD7a!G80+SD7b!G80++SD7e!G80</f>
        <v>0</v>
      </c>
      <c r="H80" s="158">
        <f>SD7a!H80+SD7b!H80++SD7e!H80</f>
        <v>0</v>
      </c>
      <c r="I80" s="157">
        <f>SD7a!I80+SD7b!I80++SD7e!I80</f>
        <v>0</v>
      </c>
      <c r="J80" s="155">
        <f>SD7a!J80+SD7b!J80++SD7e!J80</f>
        <v>0</v>
      </c>
      <c r="K80" s="158">
        <f>SD7a!K80+SD7b!K80++SD7e!K80</f>
        <v>0</v>
      </c>
      <c r="L80" s="73"/>
    </row>
    <row r="81" spans="1:12" ht="13.35" customHeight="1" x14ac:dyDescent="0.2">
      <c r="A81" s="263" t="s">
        <v>908</v>
      </c>
      <c r="B81" s="257"/>
      <c r="C81" s="184">
        <f>SD7a!C81+SD7b!C81++SD7e!C81</f>
        <v>0</v>
      </c>
      <c r="D81" s="155">
        <f>SD7a!D81+SD7b!D81++SD7e!D81</f>
        <v>0</v>
      </c>
      <c r="E81" s="156">
        <f>SD7a!E81+SD7b!E81++SD7e!E81</f>
        <v>0</v>
      </c>
      <c r="F81" s="157">
        <f>SD7a!F81+SD7b!F81++SD7e!F81</f>
        <v>0</v>
      </c>
      <c r="G81" s="155">
        <f>SD7a!G81+SD7b!G81++SD7e!G81</f>
        <v>0</v>
      </c>
      <c r="H81" s="158">
        <f>SD7a!H81+SD7b!H81++SD7e!H81</f>
        <v>0</v>
      </c>
      <c r="I81" s="157">
        <f>SD7a!I81+SD7b!I81++SD7e!I81</f>
        <v>0</v>
      </c>
      <c r="J81" s="155">
        <f>SD7a!J81+SD7b!J81++SD7e!J81</f>
        <v>0</v>
      </c>
      <c r="K81" s="158">
        <f>SD7a!K81+SD7b!K81++SD7e!K81</f>
        <v>0</v>
      </c>
      <c r="L81" s="73"/>
    </row>
    <row r="82" spans="1:12" ht="13.35" customHeight="1" x14ac:dyDescent="0.2">
      <c r="A82" s="263" t="s">
        <v>909</v>
      </c>
      <c r="B82" s="257"/>
      <c r="C82" s="184">
        <f>SD7a!C82+SD7b!C82++SD7e!C82</f>
        <v>0</v>
      </c>
      <c r="D82" s="155">
        <f>SD7a!D82+SD7b!D82++SD7e!D82</f>
        <v>0</v>
      </c>
      <c r="E82" s="156">
        <f>SD7a!E82+SD7b!E82++SD7e!E82</f>
        <v>0</v>
      </c>
      <c r="F82" s="157">
        <f>SD7a!F82+SD7b!F82++SD7e!F82</f>
        <v>0</v>
      </c>
      <c r="G82" s="155">
        <f>SD7a!G82+SD7b!G82++SD7e!G82</f>
        <v>0</v>
      </c>
      <c r="H82" s="158">
        <f>SD7a!H82+SD7b!H82++SD7e!H82</f>
        <v>0</v>
      </c>
      <c r="I82" s="157">
        <f>SD7a!I82+SD7b!I82++SD7e!I82</f>
        <v>0</v>
      </c>
      <c r="J82" s="155">
        <f>SD7a!J82+SD7b!J82++SD7e!J82</f>
        <v>0</v>
      </c>
      <c r="K82" s="158">
        <f>SD7a!K82+SD7b!K82++SD7e!K82</f>
        <v>0</v>
      </c>
      <c r="L82" s="73"/>
    </row>
    <row r="83" spans="1:12" ht="13.35" customHeight="1" x14ac:dyDescent="0.2">
      <c r="A83" s="263" t="s">
        <v>910</v>
      </c>
      <c r="B83" s="257"/>
      <c r="C83" s="184">
        <f>SD7a!C83+SD7b!C83++SD7e!C83</f>
        <v>0</v>
      </c>
      <c r="D83" s="155">
        <f>SD7a!D83+SD7b!D83++SD7e!D83</f>
        <v>0</v>
      </c>
      <c r="E83" s="156">
        <f>SD7a!E83+SD7b!E83++SD7e!E83</f>
        <v>0</v>
      </c>
      <c r="F83" s="157">
        <f>SD7a!F83+SD7b!F83++SD7e!F83</f>
        <v>0</v>
      </c>
      <c r="G83" s="155">
        <f>SD7a!G83+SD7b!G83++SD7e!G83</f>
        <v>0</v>
      </c>
      <c r="H83" s="158">
        <f>SD7a!H83+SD7b!H83++SD7e!H83</f>
        <v>0</v>
      </c>
      <c r="I83" s="157">
        <f>SD7a!I83+SD7b!I83++SD7e!I83</f>
        <v>0</v>
      </c>
      <c r="J83" s="155">
        <f>SD7a!J83+SD7b!J83++SD7e!J83</f>
        <v>0</v>
      </c>
      <c r="K83" s="158">
        <f>SD7a!K83+SD7b!K83++SD7e!K83</f>
        <v>0</v>
      </c>
      <c r="L83" s="73"/>
    </row>
    <row r="84" spans="1:12" ht="13.35" customHeight="1" x14ac:dyDescent="0.2">
      <c r="A84" s="263" t="s">
        <v>911</v>
      </c>
      <c r="B84" s="257"/>
      <c r="C84" s="184">
        <f>SD7a!C84+SD7b!C84++SD7e!C84</f>
        <v>0</v>
      </c>
      <c r="D84" s="155">
        <f>SD7a!D84+SD7b!D84++SD7e!D84</f>
        <v>0</v>
      </c>
      <c r="E84" s="156">
        <f>SD7a!E84+SD7b!E84++SD7e!E84</f>
        <v>0</v>
      </c>
      <c r="F84" s="157">
        <f>SD7a!F84+SD7b!F84++SD7e!F84</f>
        <v>0</v>
      </c>
      <c r="G84" s="155">
        <f>SD7a!G84+SD7b!G84++SD7e!G84</f>
        <v>0</v>
      </c>
      <c r="H84" s="158">
        <f>SD7a!H84+SD7b!H84++SD7e!H84</f>
        <v>0</v>
      </c>
      <c r="I84" s="157">
        <f>SD7a!I84+SD7b!I84++SD7e!I84</f>
        <v>0</v>
      </c>
      <c r="J84" s="155">
        <f>SD7a!J84+SD7b!J84++SD7e!J84</f>
        <v>0</v>
      </c>
      <c r="K84" s="158">
        <f>SD7a!K84+SD7b!K84++SD7e!K84</f>
        <v>0</v>
      </c>
      <c r="L84" s="271"/>
    </row>
    <row r="85" spans="1:12" ht="13.35" customHeight="1" x14ac:dyDescent="0.2">
      <c r="A85" s="263" t="s">
        <v>88</v>
      </c>
      <c r="B85" s="257"/>
      <c r="C85" s="184">
        <f>SD7a!C85+SD7b!C85++SD7e!C85</f>
        <v>0</v>
      </c>
      <c r="D85" s="155">
        <f>SD7a!D85+SD7b!D85++SD7e!D85</f>
        <v>0</v>
      </c>
      <c r="E85" s="156">
        <f>SD7a!E85+SD7b!E85++SD7e!E85</f>
        <v>0</v>
      </c>
      <c r="F85" s="157">
        <f>SD7a!F85+SD7b!F85++SD7e!F85</f>
        <v>0</v>
      </c>
      <c r="G85" s="155">
        <f>SD7a!G85+SD7b!G85++SD7e!G85</f>
        <v>0</v>
      </c>
      <c r="H85" s="158">
        <f>SD7a!H85+SD7b!H85++SD7e!H85</f>
        <v>0</v>
      </c>
      <c r="I85" s="157">
        <f>SD7a!I85+SD7b!I85++SD7e!I85</f>
        <v>0</v>
      </c>
      <c r="J85" s="155">
        <f>SD7a!J85+SD7b!J85++SD7e!J85</f>
        <v>0</v>
      </c>
      <c r="K85" s="158">
        <f>SD7a!K85+SD7b!K85++SD7e!K85</f>
        <v>0</v>
      </c>
    </row>
    <row r="86" spans="1:12" ht="13.35" customHeight="1" x14ac:dyDescent="0.2">
      <c r="A86" s="263" t="s">
        <v>912</v>
      </c>
      <c r="B86" s="257"/>
      <c r="C86" s="184">
        <f>SD7a!C86+SD7b!C86++SD7e!C86</f>
        <v>0</v>
      </c>
      <c r="D86" s="155">
        <f>SD7a!D86+SD7b!D86++SD7e!D86</f>
        <v>0</v>
      </c>
      <c r="E86" s="156">
        <f>SD7a!E86+SD7b!E86++SD7e!E86</f>
        <v>0</v>
      </c>
      <c r="F86" s="157">
        <f>SD7a!F86+SD7b!F86++SD7e!F86</f>
        <v>0</v>
      </c>
      <c r="G86" s="155">
        <f>SD7a!G86+SD7b!G86++SD7e!G86</f>
        <v>0</v>
      </c>
      <c r="H86" s="158">
        <f>SD7a!H86+SD7b!H86++SD7e!H86</f>
        <v>0</v>
      </c>
      <c r="I86" s="157">
        <f>SD7a!I86+SD7b!I86++SD7e!I86</f>
        <v>0</v>
      </c>
      <c r="J86" s="155">
        <f>SD7a!J86+SD7b!J86++SD7e!J86</f>
        <v>0</v>
      </c>
      <c r="K86" s="158">
        <f>SD7a!K86+SD7b!K86++SD7e!K86</f>
        <v>0</v>
      </c>
    </row>
    <row r="87" spans="1:12" ht="13.35" customHeight="1" x14ac:dyDescent="0.2">
      <c r="A87" s="263" t="s">
        <v>913</v>
      </c>
      <c r="B87" s="257"/>
      <c r="C87" s="184">
        <f>SD7a!C87+SD7b!C87++SD7e!C87</f>
        <v>0</v>
      </c>
      <c r="D87" s="155">
        <f>SD7a!D87+SD7b!D87++SD7e!D87</f>
        <v>0</v>
      </c>
      <c r="E87" s="156">
        <f>SD7a!E87+SD7b!E87++SD7e!E87</f>
        <v>0</v>
      </c>
      <c r="F87" s="157">
        <f>SD7a!F87+SD7b!F87++SD7e!F87</f>
        <v>0</v>
      </c>
      <c r="G87" s="155">
        <f>SD7a!G87+SD7b!G87++SD7e!G87</f>
        <v>0</v>
      </c>
      <c r="H87" s="158">
        <f>SD7a!H87+SD7b!H87++SD7e!H87</f>
        <v>0</v>
      </c>
      <c r="I87" s="157">
        <f>SD7a!I87+SD7b!I87++SD7e!I87</f>
        <v>0</v>
      </c>
      <c r="J87" s="155">
        <f>SD7a!J87+SD7b!J87++SD7e!J87</f>
        <v>0</v>
      </c>
      <c r="K87" s="158">
        <f>SD7a!K87+SD7b!K87++SD7e!K87</f>
        <v>0</v>
      </c>
    </row>
    <row r="88" spans="1:12" ht="13.35" customHeight="1" x14ac:dyDescent="0.2">
      <c r="A88" s="263" t="s">
        <v>1012</v>
      </c>
      <c r="B88" s="257"/>
      <c r="C88" s="184">
        <f>SD7a!C88+SD7b!C88++SD7e!C88</f>
        <v>0</v>
      </c>
      <c r="D88" s="155">
        <f>SD7a!D88+SD7b!D88++SD7e!D88</f>
        <v>0</v>
      </c>
      <c r="E88" s="156">
        <f>SD7a!E88+SD7b!E88++SD7e!E88</f>
        <v>0</v>
      </c>
      <c r="F88" s="157">
        <f>SD7a!F88+SD7b!F88++SD7e!F88</f>
        <v>0</v>
      </c>
      <c r="G88" s="155">
        <f>SD7a!G88+SD7b!G88++SD7e!G88</f>
        <v>0</v>
      </c>
      <c r="H88" s="158">
        <f>SD7a!H88+SD7b!H88++SD7e!H88</f>
        <v>0</v>
      </c>
      <c r="I88" s="157">
        <f>SD7a!I88+SD7b!I88++SD7e!I88</f>
        <v>0</v>
      </c>
      <c r="J88" s="155">
        <f>SD7a!J88+SD7b!J88++SD7e!J88</f>
        <v>0</v>
      </c>
      <c r="K88" s="158">
        <f>SD7a!K88+SD7b!K88++SD7e!K88</f>
        <v>0</v>
      </c>
    </row>
    <row r="89" spans="1:12" ht="13.35" customHeight="1" x14ac:dyDescent="0.2">
      <c r="A89" s="263" t="s">
        <v>914</v>
      </c>
      <c r="B89" s="257"/>
      <c r="C89" s="184">
        <f>SD7a!C89+SD7b!C89++SD7e!C89</f>
        <v>0</v>
      </c>
      <c r="D89" s="155">
        <f>SD7a!D89+SD7b!D89++SD7e!D89</f>
        <v>0</v>
      </c>
      <c r="E89" s="156">
        <f>SD7a!E89+SD7b!E89++SD7e!E89</f>
        <v>0</v>
      </c>
      <c r="F89" s="157">
        <f>SD7a!F89+SD7b!F89++SD7e!F89</f>
        <v>0</v>
      </c>
      <c r="G89" s="155">
        <f>SD7a!G89+SD7b!G89++SD7e!G89</f>
        <v>0</v>
      </c>
      <c r="H89" s="158">
        <f>SD7a!H89+SD7b!H89++SD7e!H89</f>
        <v>0</v>
      </c>
      <c r="I89" s="157">
        <f>SD7a!I89+SD7b!I89++SD7e!I89</f>
        <v>0</v>
      </c>
      <c r="J89" s="155">
        <f>SD7a!J89+SD7b!J89++SD7e!J89</f>
        <v>0</v>
      </c>
      <c r="K89" s="158">
        <f>SD7a!K89+SD7b!K89++SD7e!K89</f>
        <v>0</v>
      </c>
    </row>
    <row r="90" spans="1:12" ht="13.35" customHeight="1" x14ac:dyDescent="0.2">
      <c r="A90" s="263" t="s">
        <v>915</v>
      </c>
      <c r="B90" s="257"/>
      <c r="C90" s="184">
        <f>SD7a!C90+SD7b!C90++SD7e!C90</f>
        <v>0</v>
      </c>
      <c r="D90" s="155">
        <f>SD7a!D90+SD7b!D90++SD7e!D90</f>
        <v>0</v>
      </c>
      <c r="E90" s="156">
        <f>SD7a!E90+SD7b!E90++SD7e!E90</f>
        <v>0</v>
      </c>
      <c r="F90" s="157">
        <f>SD7a!F90+SD7b!F90++SD7e!F90</f>
        <v>0</v>
      </c>
      <c r="G90" s="155">
        <f>SD7a!G90+SD7b!G90++SD7e!G90</f>
        <v>0</v>
      </c>
      <c r="H90" s="158">
        <f>SD7a!H90+SD7b!H90++SD7e!H90</f>
        <v>0</v>
      </c>
      <c r="I90" s="157">
        <f>SD7a!I90+SD7b!I90++SD7e!I90</f>
        <v>0</v>
      </c>
      <c r="J90" s="155">
        <f>SD7a!J90+SD7b!J90++SD7e!J90</f>
        <v>0</v>
      </c>
      <c r="K90" s="158">
        <f>SD7a!K90+SD7b!K90++SD7e!K90</f>
        <v>0</v>
      </c>
    </row>
    <row r="91" spans="1:12" ht="13.35" customHeight="1" x14ac:dyDescent="0.2">
      <c r="A91" s="263" t="s">
        <v>916</v>
      </c>
      <c r="B91" s="257"/>
      <c r="C91" s="184">
        <f>SD7a!C91+SD7b!C91++SD7e!C91</f>
        <v>0</v>
      </c>
      <c r="D91" s="155">
        <f>SD7a!D91+SD7b!D91++SD7e!D91</f>
        <v>0</v>
      </c>
      <c r="E91" s="156">
        <f>SD7a!E91+SD7b!E91++SD7e!E91</f>
        <v>0</v>
      </c>
      <c r="F91" s="157">
        <f>SD7a!F91+SD7b!F91++SD7e!F91</f>
        <v>0</v>
      </c>
      <c r="G91" s="155">
        <f>SD7a!G91+SD7b!G91++SD7e!G91</f>
        <v>0</v>
      </c>
      <c r="H91" s="158">
        <f>SD7a!H91+SD7b!H91++SD7e!H91</f>
        <v>0</v>
      </c>
      <c r="I91" s="157">
        <f>SD7a!I91+SD7b!I91++SD7e!I91</f>
        <v>0</v>
      </c>
      <c r="J91" s="155">
        <f>SD7a!J91+SD7b!J91++SD7e!J91</f>
        <v>0</v>
      </c>
      <c r="K91" s="158">
        <f>SD7a!K91+SD7b!K91++SD7e!K91</f>
        <v>0</v>
      </c>
    </row>
    <row r="92" spans="1:12" ht="13.35" customHeight="1" x14ac:dyDescent="0.2">
      <c r="A92" s="263" t="s">
        <v>11</v>
      </c>
      <c r="B92" s="257"/>
      <c r="C92" s="184">
        <f>SD7a!C92+SD7b!C92++SD7e!C92</f>
        <v>0</v>
      </c>
      <c r="D92" s="155">
        <f>SD7a!D92+SD7b!D92++SD7e!D92</f>
        <v>0</v>
      </c>
      <c r="E92" s="156">
        <f>SD7a!E92+SD7b!E92++SD7e!E92</f>
        <v>0</v>
      </c>
      <c r="F92" s="157">
        <f>SD7a!F92+SD7b!F92++SD7e!F92</f>
        <v>0</v>
      </c>
      <c r="G92" s="155">
        <f>SD7a!G92+SD7b!G92++SD7e!G92</f>
        <v>0</v>
      </c>
      <c r="H92" s="158">
        <f>SD7a!H92+SD7b!H92++SD7e!H92</f>
        <v>0</v>
      </c>
      <c r="I92" s="157">
        <f>SD7a!I92+SD7b!I92++SD7e!I92</f>
        <v>0</v>
      </c>
      <c r="J92" s="155">
        <f>SD7a!J92+SD7b!J92++SD7e!J92</f>
        <v>0</v>
      </c>
      <c r="K92" s="158">
        <f>SD7a!K92+SD7b!K92++SD7e!K92</f>
        <v>0</v>
      </c>
    </row>
    <row r="93" spans="1:12" ht="13.35" customHeight="1" x14ac:dyDescent="0.2">
      <c r="A93" s="263" t="s">
        <v>917</v>
      </c>
      <c r="B93" s="257"/>
      <c r="C93" s="184">
        <f>SD7a!C93+SD7b!C93++SD7e!C93</f>
        <v>0</v>
      </c>
      <c r="D93" s="155">
        <f>SD7a!D93+SD7b!D93++SD7e!D93</f>
        <v>0</v>
      </c>
      <c r="E93" s="156">
        <f>SD7a!E93+SD7b!E93++SD7e!E93</f>
        <v>0</v>
      </c>
      <c r="F93" s="157">
        <f>SD7a!F93+SD7b!F93++SD7e!F93</f>
        <v>0</v>
      </c>
      <c r="G93" s="155">
        <f>SD7a!G93+SD7b!G93++SD7e!G93</f>
        <v>0</v>
      </c>
      <c r="H93" s="158">
        <f>SD7a!H93+SD7b!H93++SD7e!H93</f>
        <v>0</v>
      </c>
      <c r="I93" s="157">
        <f>SD7a!I93+SD7b!I93++SD7e!I93</f>
        <v>0</v>
      </c>
      <c r="J93" s="155">
        <f>SD7a!J93+SD7b!J93++SD7e!J93</f>
        <v>0</v>
      </c>
      <c r="K93" s="158">
        <f>SD7a!K93+SD7b!K93++SD7e!K93</f>
        <v>0</v>
      </c>
    </row>
    <row r="94" spans="1:12" ht="13.35" customHeight="1" x14ac:dyDescent="0.2">
      <c r="A94" s="263" t="s">
        <v>10</v>
      </c>
      <c r="B94" s="257"/>
      <c r="C94" s="184">
        <f>SD7a!C94+SD7b!C94++SD7e!C94</f>
        <v>0</v>
      </c>
      <c r="D94" s="155">
        <f>SD7a!D94+SD7b!D94++SD7e!D94</f>
        <v>0</v>
      </c>
      <c r="E94" s="156">
        <f>SD7a!E94+SD7b!E94++SD7e!E94</f>
        <v>0</v>
      </c>
      <c r="F94" s="157">
        <f>SD7a!F94+SD7b!F94++SD7e!F94</f>
        <v>0</v>
      </c>
      <c r="G94" s="155">
        <f>SD7a!G94+SD7b!G94++SD7e!G94</f>
        <v>0</v>
      </c>
      <c r="H94" s="158">
        <f>SD7a!H94+SD7b!H94++SD7e!H94</f>
        <v>0</v>
      </c>
      <c r="I94" s="157">
        <f>SD7a!I94+SD7b!I94++SD7e!I94</f>
        <v>0</v>
      </c>
      <c r="J94" s="155">
        <f>SD7a!J94+SD7b!J94++SD7e!J94</f>
        <v>0</v>
      </c>
      <c r="K94" s="158">
        <f>SD7a!K94+SD7b!K94++SD7e!K94</f>
        <v>0</v>
      </c>
    </row>
    <row r="95" spans="1:12" ht="13.35" customHeight="1" x14ac:dyDescent="0.2">
      <c r="A95" s="263" t="s">
        <v>918</v>
      </c>
      <c r="B95" s="257"/>
      <c r="C95" s="184">
        <f>SD7a!C95+SD7b!C95++SD7e!C95</f>
        <v>0</v>
      </c>
      <c r="D95" s="155">
        <f>SD7a!D95+SD7b!D95++SD7e!D95</f>
        <v>0</v>
      </c>
      <c r="E95" s="156">
        <f>SD7a!E95+SD7b!E95++SD7e!E95</f>
        <v>0</v>
      </c>
      <c r="F95" s="157">
        <f>SD7a!F95+SD7b!F95++SD7e!F95</f>
        <v>0</v>
      </c>
      <c r="G95" s="155">
        <f>SD7a!G95+SD7b!G95++SD7e!G95</f>
        <v>0</v>
      </c>
      <c r="H95" s="158">
        <f>SD7a!H95+SD7b!H95++SD7e!H95</f>
        <v>0</v>
      </c>
      <c r="I95" s="157">
        <f>SD7a!I95+SD7b!I95++SD7e!I95</f>
        <v>0</v>
      </c>
      <c r="J95" s="155">
        <f>SD7a!J95+SD7b!J95++SD7e!J95</f>
        <v>0</v>
      </c>
      <c r="K95" s="158">
        <f>SD7a!K95+SD7b!K95++SD7e!K95</f>
        <v>0</v>
      </c>
    </row>
    <row r="96" spans="1:12" ht="13.35" customHeight="1" x14ac:dyDescent="0.2">
      <c r="A96" s="263" t="s">
        <v>919</v>
      </c>
      <c r="B96" s="257"/>
      <c r="C96" s="184">
        <f>SD7a!C96+SD7b!C96++SD7e!C96</f>
        <v>0</v>
      </c>
      <c r="D96" s="155">
        <f>SD7a!D96+SD7b!D96++SD7e!D96</f>
        <v>0</v>
      </c>
      <c r="E96" s="156">
        <f>SD7a!E96+SD7b!E96++SD7e!E96</f>
        <v>0</v>
      </c>
      <c r="F96" s="157">
        <f>SD7a!F96+SD7b!F96++SD7e!F96</f>
        <v>0</v>
      </c>
      <c r="G96" s="155">
        <f>SD7a!G96+SD7b!G96++SD7e!G96</f>
        <v>0</v>
      </c>
      <c r="H96" s="158">
        <f>SD7a!H96+SD7b!H96++SD7e!H96</f>
        <v>0</v>
      </c>
      <c r="I96" s="157">
        <f>SD7a!I96+SD7b!I96++SD7e!I96</f>
        <v>0</v>
      </c>
      <c r="J96" s="155">
        <f>SD7a!J96+SD7b!J96++SD7e!J96</f>
        <v>0</v>
      </c>
      <c r="K96" s="158">
        <f>SD7a!K96+SD7b!K96++SD7e!K96</f>
        <v>0</v>
      </c>
    </row>
    <row r="97" spans="1:11" ht="13.35" customHeight="1" x14ac:dyDescent="0.2">
      <c r="A97" s="263" t="s">
        <v>852</v>
      </c>
      <c r="B97" s="257"/>
      <c r="C97" s="184">
        <f>SD7a!C97+SD7b!C97++SD7e!C97</f>
        <v>0</v>
      </c>
      <c r="D97" s="155">
        <f>SD7a!D97+SD7b!D97++SD7e!D97</f>
        <v>0</v>
      </c>
      <c r="E97" s="156">
        <f>SD7a!E97+SD7b!E97++SD7e!E97</f>
        <v>0</v>
      </c>
      <c r="F97" s="157">
        <f>SD7a!F97+SD7b!F97++SD7e!F97</f>
        <v>0</v>
      </c>
      <c r="G97" s="155">
        <f>SD7a!G97+SD7b!G97++SD7e!G97</f>
        <v>0</v>
      </c>
      <c r="H97" s="158">
        <f>SD7a!H97+SD7b!H97++SD7e!H97</f>
        <v>0</v>
      </c>
      <c r="I97" s="157">
        <f>SD7a!I97+SD7b!I97++SD7e!I97</f>
        <v>0</v>
      </c>
      <c r="J97" s="155">
        <f>SD7a!J97+SD7b!J97++SD7e!J97</f>
        <v>0</v>
      </c>
      <c r="K97" s="158">
        <f>SD7a!K97+SD7b!K97++SD7e!K97</f>
        <v>0</v>
      </c>
    </row>
    <row r="98" spans="1:11" ht="13.35" customHeight="1" x14ac:dyDescent="0.2">
      <c r="A98" s="235" t="s">
        <v>920</v>
      </c>
      <c r="B98" s="257"/>
      <c r="C98" s="155">
        <f>SUM(C99:C101)</f>
        <v>0</v>
      </c>
      <c r="D98" s="155">
        <f t="shared" ref="D98:K98" si="12">SUM(D99:D101)</f>
        <v>0</v>
      </c>
      <c r="E98" s="155">
        <f t="shared" si="12"/>
        <v>0</v>
      </c>
      <c r="F98" s="157">
        <f t="shared" si="12"/>
        <v>0</v>
      </c>
      <c r="G98" s="155">
        <f t="shared" si="12"/>
        <v>0</v>
      </c>
      <c r="H98" s="158">
        <f t="shared" si="12"/>
        <v>0</v>
      </c>
      <c r="I98" s="159">
        <f t="shared" si="12"/>
        <v>0</v>
      </c>
      <c r="J98" s="155">
        <f t="shared" si="12"/>
        <v>0</v>
      </c>
      <c r="K98" s="158">
        <f t="shared" si="12"/>
        <v>0</v>
      </c>
    </row>
    <row r="99" spans="1:11" ht="13.35" customHeight="1" x14ac:dyDescent="0.2">
      <c r="A99" s="263" t="s">
        <v>921</v>
      </c>
      <c r="B99" s="257"/>
      <c r="C99" s="184">
        <f>SD7a!C99+SD7b!C99++SD7e!C99</f>
        <v>0</v>
      </c>
      <c r="D99" s="155">
        <f>SD7a!D99+SD7b!D99++SD7e!D99</f>
        <v>0</v>
      </c>
      <c r="E99" s="156">
        <f>SD7a!E99+SD7b!E99++SD7e!E99</f>
        <v>0</v>
      </c>
      <c r="F99" s="157">
        <f>SD7a!F99+SD7b!F99++SD7e!F99</f>
        <v>0</v>
      </c>
      <c r="G99" s="155">
        <f>SD7a!G99+SD7b!G99++SD7e!G99</f>
        <v>0</v>
      </c>
      <c r="H99" s="158">
        <f>SD7a!H99+SD7b!H99++SD7e!H99</f>
        <v>0</v>
      </c>
      <c r="I99" s="157">
        <f>SD7a!I99+SD7b!I99++SD7e!I99</f>
        <v>0</v>
      </c>
      <c r="J99" s="155">
        <f>SD7a!J99+SD7b!J99++SD7e!J99</f>
        <v>0</v>
      </c>
      <c r="K99" s="158">
        <f>SD7a!K99+SD7b!K99++SD7e!K99</f>
        <v>0</v>
      </c>
    </row>
    <row r="100" spans="1:11" ht="13.35" customHeight="1" x14ac:dyDescent="0.2">
      <c r="A100" s="263" t="s">
        <v>922</v>
      </c>
      <c r="B100" s="257"/>
      <c r="C100" s="184">
        <f>SD7a!C100+SD7b!C100++SD7e!C100</f>
        <v>0</v>
      </c>
      <c r="D100" s="155">
        <f>SD7a!D100+SD7b!D100++SD7e!D100</f>
        <v>0</v>
      </c>
      <c r="E100" s="156">
        <f>SD7a!E100+SD7b!E100++SD7e!E100</f>
        <v>0</v>
      </c>
      <c r="F100" s="157">
        <f>SD7a!F100+SD7b!F100++SD7e!F100</f>
        <v>0</v>
      </c>
      <c r="G100" s="155">
        <f>SD7a!G100+SD7b!G100++SD7e!G100</f>
        <v>0</v>
      </c>
      <c r="H100" s="158">
        <f>SD7a!H100+SD7b!H100++SD7e!H100</f>
        <v>0</v>
      </c>
      <c r="I100" s="157">
        <f>SD7a!I100+SD7b!I100++SD7e!I100</f>
        <v>0</v>
      </c>
      <c r="J100" s="155">
        <f>SD7a!J100+SD7b!J100++SD7e!J100</f>
        <v>0</v>
      </c>
      <c r="K100" s="158">
        <f>SD7a!K100+SD7b!K100++SD7e!K100</f>
        <v>0</v>
      </c>
    </row>
    <row r="101" spans="1:11" ht="13.35" customHeight="1" x14ac:dyDescent="0.2">
      <c r="A101" s="263" t="s">
        <v>852</v>
      </c>
      <c r="B101" s="257"/>
      <c r="C101" s="184">
        <f>SD7a!C101+SD7b!C101++SD7e!C101</f>
        <v>0</v>
      </c>
      <c r="D101" s="155">
        <f>SD7a!D101+SD7b!D101++SD7e!D101</f>
        <v>0</v>
      </c>
      <c r="E101" s="156">
        <f>SD7a!E101+SD7b!E101++SD7e!E101</f>
        <v>0</v>
      </c>
      <c r="F101" s="157">
        <f>SD7a!F101+SD7b!F101++SD7e!F101</f>
        <v>0</v>
      </c>
      <c r="G101" s="155">
        <f>SD7a!G101+SD7b!G101++SD7e!G101</f>
        <v>0</v>
      </c>
      <c r="H101" s="158">
        <f>SD7a!H101+SD7b!H101++SD7e!H101</f>
        <v>0</v>
      </c>
      <c r="I101" s="157">
        <f>SD7a!I101+SD7b!I101++SD7e!I101</f>
        <v>0</v>
      </c>
      <c r="J101" s="155">
        <f>SD7a!J101+SD7b!J101++SD7e!J101</f>
        <v>0</v>
      </c>
      <c r="K101" s="158">
        <f>SD7a!K101+SD7b!K101++SD7e!K101</f>
        <v>0</v>
      </c>
    </row>
    <row r="102" spans="1:11" ht="5.0999999999999996" customHeight="1" x14ac:dyDescent="0.2">
      <c r="A102" s="267"/>
      <c r="B102" s="257"/>
      <c r="C102" s="66"/>
      <c r="D102" s="66"/>
      <c r="E102" s="268"/>
      <c r="F102" s="269"/>
      <c r="G102" s="66"/>
      <c r="H102" s="270"/>
      <c r="I102" s="269"/>
      <c r="J102" s="66"/>
      <c r="K102" s="268"/>
    </row>
    <row r="103" spans="1:11" ht="13.35" customHeight="1" x14ac:dyDescent="0.2">
      <c r="A103" s="256" t="s">
        <v>184</v>
      </c>
      <c r="B103" s="257"/>
      <c r="C103" s="272">
        <f>SUM(C104:C108)</f>
        <v>0</v>
      </c>
      <c r="D103" s="272">
        <f t="shared" ref="D103:K103" si="13">SUM(D104:D108)</f>
        <v>0</v>
      </c>
      <c r="E103" s="273">
        <f t="shared" si="13"/>
        <v>0</v>
      </c>
      <c r="F103" s="274">
        <f t="shared" si="13"/>
        <v>0</v>
      </c>
      <c r="G103" s="272">
        <f t="shared" si="13"/>
        <v>0</v>
      </c>
      <c r="H103" s="275">
        <f t="shared" si="13"/>
        <v>0</v>
      </c>
      <c r="I103" s="274">
        <f t="shared" si="13"/>
        <v>0</v>
      </c>
      <c r="J103" s="272">
        <f t="shared" si="13"/>
        <v>0</v>
      </c>
      <c r="K103" s="273">
        <f t="shared" si="13"/>
        <v>0</v>
      </c>
    </row>
    <row r="104" spans="1:11" ht="13.35" customHeight="1" x14ac:dyDescent="0.2">
      <c r="A104" s="235" t="s">
        <v>923</v>
      </c>
      <c r="B104" s="257"/>
      <c r="C104" s="184">
        <f>SD7a!C104+SD7b!C104++SD7e!C104</f>
        <v>0</v>
      </c>
      <c r="D104" s="155">
        <f>SD7a!D104+SD7b!D104++SD7e!D104</f>
        <v>0</v>
      </c>
      <c r="E104" s="156">
        <f>SD7a!E104+SD7b!E104++SD7e!E104</f>
        <v>0</v>
      </c>
      <c r="F104" s="157">
        <f>SD7a!F104+SD7b!F104++SD7e!F104</f>
        <v>0</v>
      </c>
      <c r="G104" s="155">
        <f>SD7a!G104+SD7b!G104++SD7e!G104</f>
        <v>0</v>
      </c>
      <c r="H104" s="158">
        <f>SD7a!H104+SD7b!H104++SD7e!H104</f>
        <v>0</v>
      </c>
      <c r="I104" s="157">
        <f>SD7a!I104+SD7b!I104++SD7e!I104</f>
        <v>0</v>
      </c>
      <c r="J104" s="155">
        <f>SD7a!J104+SD7b!J104++SD7e!J104</f>
        <v>0</v>
      </c>
      <c r="K104" s="158">
        <f>SD7a!K104+SD7b!K104++SD7e!K104</f>
        <v>0</v>
      </c>
    </row>
    <row r="105" spans="1:11" ht="13.35" customHeight="1" x14ac:dyDescent="0.2">
      <c r="A105" s="239" t="s">
        <v>924</v>
      </c>
      <c r="B105" s="257"/>
      <c r="C105" s="184">
        <f>SD7a!C105+SD7b!C105++SD7e!C105</f>
        <v>0</v>
      </c>
      <c r="D105" s="155">
        <f>SD7a!D105+SD7b!D105++SD7e!D105</f>
        <v>0</v>
      </c>
      <c r="E105" s="156">
        <f>SD7a!E105+SD7b!E105++SD7e!E105</f>
        <v>0</v>
      </c>
      <c r="F105" s="157">
        <f>SD7a!F105+SD7b!F105++SD7e!F105</f>
        <v>0</v>
      </c>
      <c r="G105" s="155">
        <f>SD7a!G105+SD7b!G105++SD7e!G105</f>
        <v>0</v>
      </c>
      <c r="H105" s="158">
        <f>SD7a!H105+SD7b!H105++SD7e!H105</f>
        <v>0</v>
      </c>
      <c r="I105" s="157">
        <f>SD7a!I105+SD7b!I105++SD7e!I105</f>
        <v>0</v>
      </c>
      <c r="J105" s="155">
        <f>SD7a!J105+SD7b!J105++SD7e!J105</f>
        <v>0</v>
      </c>
      <c r="K105" s="158">
        <f>SD7a!K105+SD7b!K105++SD7e!K105</f>
        <v>0</v>
      </c>
    </row>
    <row r="106" spans="1:11" ht="13.35" customHeight="1" x14ac:dyDescent="0.2">
      <c r="A106" s="235" t="s">
        <v>925</v>
      </c>
      <c r="B106" s="257"/>
      <c r="C106" s="184">
        <f>SD7a!C106+SD7b!C106++SD7e!C106</f>
        <v>0</v>
      </c>
      <c r="D106" s="155">
        <f>SD7a!D106+SD7b!D106++SD7e!D106</f>
        <v>0</v>
      </c>
      <c r="E106" s="156">
        <f>SD7a!E106+SD7b!E106++SD7e!E106</f>
        <v>0</v>
      </c>
      <c r="F106" s="157">
        <f>SD7a!F106+SD7b!F106++SD7e!F106</f>
        <v>0</v>
      </c>
      <c r="G106" s="155">
        <f>SD7a!G106+SD7b!G106++SD7e!G106</f>
        <v>0</v>
      </c>
      <c r="H106" s="158">
        <f>SD7a!H106+SD7b!H106++SD7e!H106</f>
        <v>0</v>
      </c>
      <c r="I106" s="157">
        <f>SD7a!I106+SD7b!I106++SD7e!I106</f>
        <v>0</v>
      </c>
      <c r="J106" s="155">
        <f>SD7a!J106+SD7b!J106++SD7e!J106</f>
        <v>0</v>
      </c>
      <c r="K106" s="158">
        <f>SD7a!K106+SD7b!K106++SD7e!K106</f>
        <v>0</v>
      </c>
    </row>
    <row r="107" spans="1:11" ht="13.35" customHeight="1" x14ac:dyDescent="0.2">
      <c r="A107" s="235" t="s">
        <v>926</v>
      </c>
      <c r="B107" s="257"/>
      <c r="C107" s="184">
        <f>SD7a!C107+SD7b!C107++SD7e!C107</f>
        <v>0</v>
      </c>
      <c r="D107" s="155">
        <f>SD7a!D107+SD7b!D107++SD7e!D107</f>
        <v>0</v>
      </c>
      <c r="E107" s="156">
        <f>SD7a!E107+SD7b!E107++SD7e!E107</f>
        <v>0</v>
      </c>
      <c r="F107" s="157">
        <f>SD7a!F107+SD7b!F107++SD7e!F107</f>
        <v>0</v>
      </c>
      <c r="G107" s="155">
        <f>SD7a!G107+SD7b!G107++SD7e!G107</f>
        <v>0</v>
      </c>
      <c r="H107" s="158">
        <f>SD7a!H107+SD7b!H107++SD7e!H107</f>
        <v>0</v>
      </c>
      <c r="I107" s="157">
        <f>SD7a!I107+SD7b!I107++SD7e!I107</f>
        <v>0</v>
      </c>
      <c r="J107" s="155">
        <f>SD7a!J107+SD7b!J107++SD7e!J107</f>
        <v>0</v>
      </c>
      <c r="K107" s="158">
        <f>SD7a!K107+SD7b!K107++SD7e!K107</f>
        <v>0</v>
      </c>
    </row>
    <row r="108" spans="1:11" ht="13.35" customHeight="1" x14ac:dyDescent="0.2">
      <c r="A108" s="239" t="s">
        <v>927</v>
      </c>
      <c r="B108" s="257"/>
      <c r="C108" s="184">
        <f>SD7a!C108+SD7b!C108++SD7e!C108</f>
        <v>0</v>
      </c>
      <c r="D108" s="155">
        <f>SD7a!D108+SD7b!D108++SD7e!D108</f>
        <v>0</v>
      </c>
      <c r="E108" s="156">
        <f>SD7a!E108+SD7b!E108++SD7e!E108</f>
        <v>0</v>
      </c>
      <c r="F108" s="157">
        <f>SD7a!F108+SD7b!F108++SD7e!F108</f>
        <v>0</v>
      </c>
      <c r="G108" s="155">
        <f>SD7a!G108+SD7b!G108++SD7e!G108</f>
        <v>0</v>
      </c>
      <c r="H108" s="158">
        <f>SD7a!H108+SD7b!H108++SD7e!H108</f>
        <v>0</v>
      </c>
      <c r="I108" s="157">
        <f>SD7a!I108+SD7b!I108++SD7e!I108</f>
        <v>0</v>
      </c>
      <c r="J108" s="155">
        <f>SD7a!J108+SD7b!J108++SD7e!J108</f>
        <v>0</v>
      </c>
      <c r="K108" s="158">
        <f>SD7a!K108+SD7b!K108++SD7e!K108</f>
        <v>0</v>
      </c>
    </row>
    <row r="109" spans="1:11" ht="5.0999999999999996" customHeight="1" x14ac:dyDescent="0.2">
      <c r="A109" s="276"/>
      <c r="B109" s="257"/>
      <c r="C109" s="66"/>
      <c r="D109" s="66"/>
      <c r="E109" s="268"/>
      <c r="F109" s="269"/>
      <c r="G109" s="66"/>
      <c r="H109" s="270"/>
      <c r="I109" s="269"/>
      <c r="J109" s="66"/>
      <c r="K109" s="268"/>
    </row>
    <row r="110" spans="1:11" ht="13.35" customHeight="1" x14ac:dyDescent="0.2">
      <c r="A110" s="277" t="s">
        <v>185</v>
      </c>
      <c r="B110" s="257"/>
      <c r="C110" s="80">
        <f>+C111+C114</f>
        <v>0</v>
      </c>
      <c r="D110" s="80">
        <f t="shared" ref="D110:K110" si="14">+D111+D114</f>
        <v>0</v>
      </c>
      <c r="E110" s="278">
        <f t="shared" si="14"/>
        <v>0</v>
      </c>
      <c r="F110" s="279">
        <f t="shared" si="14"/>
        <v>0</v>
      </c>
      <c r="G110" s="80">
        <f t="shared" si="14"/>
        <v>0</v>
      </c>
      <c r="H110" s="280">
        <f t="shared" si="14"/>
        <v>0</v>
      </c>
      <c r="I110" s="279">
        <f t="shared" si="14"/>
        <v>0</v>
      </c>
      <c r="J110" s="80">
        <f t="shared" si="14"/>
        <v>0</v>
      </c>
      <c r="K110" s="278">
        <f t="shared" si="14"/>
        <v>0</v>
      </c>
    </row>
    <row r="111" spans="1:11" ht="13.35" customHeight="1" x14ac:dyDescent="0.2">
      <c r="A111" s="235" t="s">
        <v>928</v>
      </c>
      <c r="B111" s="257"/>
      <c r="C111" s="150">
        <f t="shared" ref="C111:K111" si="15">SUM(C112:C113)</f>
        <v>0</v>
      </c>
      <c r="D111" s="150">
        <f t="shared" si="15"/>
        <v>0</v>
      </c>
      <c r="E111" s="150">
        <f t="shared" si="15"/>
        <v>0</v>
      </c>
      <c r="F111" s="152">
        <f t="shared" si="15"/>
        <v>0</v>
      </c>
      <c r="G111" s="150">
        <f t="shared" si="15"/>
        <v>0</v>
      </c>
      <c r="H111" s="153">
        <f t="shared" si="15"/>
        <v>0</v>
      </c>
      <c r="I111" s="154">
        <f t="shared" si="15"/>
        <v>0</v>
      </c>
      <c r="J111" s="150">
        <f t="shared" si="15"/>
        <v>0</v>
      </c>
      <c r="K111" s="153">
        <f t="shared" si="15"/>
        <v>0</v>
      </c>
    </row>
    <row r="112" spans="1:11" ht="13.35" customHeight="1" x14ac:dyDescent="0.2">
      <c r="A112" s="263" t="s">
        <v>929</v>
      </c>
      <c r="B112" s="257"/>
      <c r="C112" s="184">
        <f>SD7a!C112+SD7b!C112++SD7e!C112</f>
        <v>0</v>
      </c>
      <c r="D112" s="155">
        <f>SD7a!D112+SD7b!D112++SD7e!D112</f>
        <v>0</v>
      </c>
      <c r="E112" s="156">
        <f>SD7a!E112+SD7b!E112++SD7e!E112</f>
        <v>0</v>
      </c>
      <c r="F112" s="157">
        <f>SD7a!F112+SD7b!F112++SD7e!F112</f>
        <v>0</v>
      </c>
      <c r="G112" s="155">
        <f>SD7a!G112+SD7b!G112++SD7e!G112</f>
        <v>0</v>
      </c>
      <c r="H112" s="158">
        <f>SD7a!H112+SD7b!H112++SD7e!H112</f>
        <v>0</v>
      </c>
      <c r="I112" s="157">
        <f>SD7a!I112+SD7b!I112++SD7e!I112</f>
        <v>0</v>
      </c>
      <c r="J112" s="155">
        <f>SD7a!J112+SD7b!J112++SD7e!J112</f>
        <v>0</v>
      </c>
      <c r="K112" s="158">
        <f>SD7a!K112+SD7b!K112++SD7e!K112</f>
        <v>0</v>
      </c>
    </row>
    <row r="113" spans="1:11" ht="13.35" customHeight="1" x14ac:dyDescent="0.2">
      <c r="A113" s="263" t="s">
        <v>930</v>
      </c>
      <c r="B113" s="257"/>
      <c r="C113" s="184">
        <f>SD7a!C113+SD7b!C113++SD7e!C113</f>
        <v>0</v>
      </c>
      <c r="D113" s="155">
        <f>SD7a!D113+SD7b!D113++SD7e!D113</f>
        <v>0</v>
      </c>
      <c r="E113" s="156">
        <f>SD7a!E113+SD7b!E113++SD7e!E113</f>
        <v>0</v>
      </c>
      <c r="F113" s="157">
        <f>SD7a!F113+SD7b!F113++SD7e!F113</f>
        <v>0</v>
      </c>
      <c r="G113" s="155">
        <f>SD7a!G113+SD7b!G113++SD7e!G113</f>
        <v>0</v>
      </c>
      <c r="H113" s="158">
        <f>SD7a!H113+SD7b!H113++SD7e!H113</f>
        <v>0</v>
      </c>
      <c r="I113" s="157">
        <f>SD7a!I113+SD7b!I113++SD7e!I113</f>
        <v>0</v>
      </c>
      <c r="J113" s="155">
        <f>SD7a!J113+SD7b!J113++SD7e!J113</f>
        <v>0</v>
      </c>
      <c r="K113" s="158">
        <f>SD7a!K113+SD7b!K113++SD7e!K113</f>
        <v>0</v>
      </c>
    </row>
    <row r="114" spans="1:11" ht="13.35" customHeight="1" x14ac:dyDescent="0.2">
      <c r="A114" s="235" t="s">
        <v>931</v>
      </c>
      <c r="B114" s="257"/>
      <c r="C114" s="155">
        <f>SUM(C115:C116)</f>
        <v>0</v>
      </c>
      <c r="D114" s="155">
        <f t="shared" ref="D114:K114" si="16">SUM(D115:D116)</f>
        <v>0</v>
      </c>
      <c r="E114" s="155">
        <f t="shared" si="16"/>
        <v>0</v>
      </c>
      <c r="F114" s="157">
        <f t="shared" si="16"/>
        <v>0</v>
      </c>
      <c r="G114" s="155">
        <f t="shared" si="16"/>
        <v>0</v>
      </c>
      <c r="H114" s="158">
        <f t="shared" si="16"/>
        <v>0</v>
      </c>
      <c r="I114" s="159">
        <f t="shared" si="16"/>
        <v>0</v>
      </c>
      <c r="J114" s="155">
        <f t="shared" si="16"/>
        <v>0</v>
      </c>
      <c r="K114" s="158">
        <f t="shared" si="16"/>
        <v>0</v>
      </c>
    </row>
    <row r="115" spans="1:11" ht="13.35" customHeight="1" x14ac:dyDescent="0.2">
      <c r="A115" s="263" t="s">
        <v>929</v>
      </c>
      <c r="B115" s="257"/>
      <c r="C115" s="184">
        <f>SD7a!C115+SD7b!C115++SD7e!C115</f>
        <v>0</v>
      </c>
      <c r="D115" s="155">
        <f>SD7a!D115+SD7b!D115++SD7e!D115</f>
        <v>0</v>
      </c>
      <c r="E115" s="156">
        <f>SD7a!E115+SD7b!E115++SD7e!E115</f>
        <v>0</v>
      </c>
      <c r="F115" s="157">
        <f>SD7a!F115+SD7b!F115++SD7e!F115</f>
        <v>0</v>
      </c>
      <c r="G115" s="155">
        <f>SD7a!G115+SD7b!G115++SD7e!G115</f>
        <v>0</v>
      </c>
      <c r="H115" s="158">
        <f>SD7a!H115+SD7b!H115++SD7e!H115</f>
        <v>0</v>
      </c>
      <c r="I115" s="157">
        <f>SD7a!I115+SD7b!I115++SD7e!I115</f>
        <v>0</v>
      </c>
      <c r="J115" s="155">
        <f>SD7a!J115+SD7b!J115++SD7e!J115</f>
        <v>0</v>
      </c>
      <c r="K115" s="158">
        <f>SD7a!K115+SD7b!K115++SD7e!K115</f>
        <v>0</v>
      </c>
    </row>
    <row r="116" spans="1:11" ht="13.35" customHeight="1" x14ac:dyDescent="0.2">
      <c r="A116" s="263" t="s">
        <v>930</v>
      </c>
      <c r="B116" s="257"/>
      <c r="C116" s="184">
        <f>SD7a!C116+SD7b!C116++SD7e!C116</f>
        <v>0</v>
      </c>
      <c r="D116" s="155">
        <f>SD7a!D116+SD7b!D116++SD7e!D116</f>
        <v>0</v>
      </c>
      <c r="E116" s="156">
        <f>SD7a!E116+SD7b!E116++SD7e!E116</f>
        <v>0</v>
      </c>
      <c r="F116" s="157">
        <f>SD7a!F116+SD7b!F116++SD7e!F116</f>
        <v>0</v>
      </c>
      <c r="G116" s="155">
        <f>SD7a!G116+SD7b!G116++SD7e!G116</f>
        <v>0</v>
      </c>
      <c r="H116" s="158">
        <f>SD7a!H116+SD7b!H116++SD7e!H116</f>
        <v>0</v>
      </c>
      <c r="I116" s="157">
        <f>SD7a!I116+SD7b!I116++SD7e!I116</f>
        <v>0</v>
      </c>
      <c r="J116" s="155">
        <f>SD7a!J116+SD7b!J116++SD7e!J116</f>
        <v>0</v>
      </c>
      <c r="K116" s="158">
        <f>SD7a!K116+SD7b!K116++SD7e!K116</f>
        <v>0</v>
      </c>
    </row>
    <row r="117" spans="1:11" ht="5.0999999999999996" customHeight="1" x14ac:dyDescent="0.2">
      <c r="A117" s="276"/>
      <c r="B117" s="257"/>
      <c r="C117" s="66"/>
      <c r="D117" s="66"/>
      <c r="E117" s="268"/>
      <c r="F117" s="269"/>
      <c r="G117" s="66"/>
      <c r="H117" s="270"/>
      <c r="I117" s="269"/>
      <c r="J117" s="66"/>
      <c r="K117" s="268"/>
    </row>
    <row r="118" spans="1:11" ht="13.35" customHeight="1" x14ac:dyDescent="0.2">
      <c r="A118" s="277" t="s">
        <v>186</v>
      </c>
      <c r="B118" s="257"/>
      <c r="C118" s="80">
        <f>+C119+C131</f>
        <v>5264505.63</v>
      </c>
      <c r="D118" s="80">
        <f t="shared" ref="D118:K118" si="17">+D119+D131</f>
        <v>20651810.98</v>
      </c>
      <c r="E118" s="278">
        <f t="shared" si="17"/>
        <v>187829.28</v>
      </c>
      <c r="F118" s="279">
        <f t="shared" si="17"/>
        <v>858964</v>
      </c>
      <c r="G118" s="80">
        <f t="shared" si="17"/>
        <v>858964</v>
      </c>
      <c r="H118" s="280">
        <f t="shared" si="17"/>
        <v>858964</v>
      </c>
      <c r="I118" s="279">
        <f t="shared" si="17"/>
        <v>574173.81414666667</v>
      </c>
      <c r="J118" s="80">
        <f t="shared" si="17"/>
        <v>591989.11434082664</v>
      </c>
      <c r="K118" s="278">
        <f t="shared" si="17"/>
        <v>611436.6353718231</v>
      </c>
    </row>
    <row r="119" spans="1:11" ht="13.35" customHeight="1" x14ac:dyDescent="0.2">
      <c r="A119" s="235" t="s">
        <v>932</v>
      </c>
      <c r="B119" s="257"/>
      <c r="C119" s="150">
        <f>SUM(C120:C130)</f>
        <v>5264505.63</v>
      </c>
      <c r="D119" s="150">
        <f t="shared" ref="D119:K119" si="18">SUM(D120:D130)</f>
        <v>20651810.98</v>
      </c>
      <c r="E119" s="150">
        <f t="shared" si="18"/>
        <v>187829.28</v>
      </c>
      <c r="F119" s="152">
        <f t="shared" si="18"/>
        <v>858964</v>
      </c>
      <c r="G119" s="150">
        <f t="shared" si="18"/>
        <v>858964</v>
      </c>
      <c r="H119" s="153">
        <f t="shared" si="18"/>
        <v>858964</v>
      </c>
      <c r="I119" s="154">
        <f t="shared" si="18"/>
        <v>574173.81414666667</v>
      </c>
      <c r="J119" s="150">
        <f t="shared" si="18"/>
        <v>591989.11434082664</v>
      </c>
      <c r="K119" s="153">
        <f t="shared" si="18"/>
        <v>611436.6353718231</v>
      </c>
    </row>
    <row r="120" spans="1:11" ht="13.35" customHeight="1" x14ac:dyDescent="0.2">
      <c r="A120" s="263" t="s">
        <v>933</v>
      </c>
      <c r="B120" s="257"/>
      <c r="C120" s="184">
        <f>SD7a!C120+SD7b!C120++SD7e!C120</f>
        <v>4627982.5</v>
      </c>
      <c r="D120" s="155">
        <f>SD7a!D120+SD7b!D120++SD7e!D120</f>
        <v>20651810.98</v>
      </c>
      <c r="E120" s="156">
        <f>SD7a!E120+SD7b!E120++SD7e!E120</f>
        <v>0</v>
      </c>
      <c r="F120" s="157">
        <f>SD7a!F120+SD7b!F120++SD7e!F120</f>
        <v>0</v>
      </c>
      <c r="G120" s="155">
        <f>SD7a!G120+SD7b!G120++SD7e!G120</f>
        <v>0</v>
      </c>
      <c r="H120" s="158">
        <f>SD7a!H120+SD7b!H120++SD7e!H120</f>
        <v>0</v>
      </c>
      <c r="I120" s="157">
        <f>SD7a!I120+SD7b!I120++SD7e!I120</f>
        <v>0</v>
      </c>
      <c r="J120" s="155">
        <f>SD7a!J120+SD7b!J120++SD7e!J120</f>
        <v>0</v>
      </c>
      <c r="K120" s="158">
        <f>SD7a!K120+SD7b!K120++SD7e!K120</f>
        <v>0</v>
      </c>
    </row>
    <row r="121" spans="1:11" ht="13.35" customHeight="1" x14ac:dyDescent="0.2">
      <c r="A121" s="263" t="s">
        <v>934</v>
      </c>
      <c r="B121" s="257"/>
      <c r="C121" s="184">
        <f>SD7a!C121+SD7b!C121++SD7e!C121</f>
        <v>0</v>
      </c>
      <c r="D121" s="155">
        <f>SD7a!D121+SD7b!D121++SD7e!D121</f>
        <v>0</v>
      </c>
      <c r="E121" s="156">
        <f>SD7a!E121+SD7b!E121++SD7e!E121</f>
        <v>0</v>
      </c>
      <c r="F121" s="157">
        <f>SD7a!F121+SD7b!F121++SD7e!F121</f>
        <v>0</v>
      </c>
      <c r="G121" s="155">
        <f>SD7a!G121+SD7b!G121++SD7e!G121</f>
        <v>0</v>
      </c>
      <c r="H121" s="158">
        <f>SD7a!H121+SD7b!H121++SD7e!H121</f>
        <v>0</v>
      </c>
      <c r="I121" s="157">
        <f>SD7a!I121+SD7b!I121++SD7e!I121</f>
        <v>0</v>
      </c>
      <c r="J121" s="155">
        <f>SD7a!J121+SD7b!J121++SD7e!J121</f>
        <v>0</v>
      </c>
      <c r="K121" s="158">
        <f>SD7a!K121+SD7b!K121++SD7e!K121</f>
        <v>0</v>
      </c>
    </row>
    <row r="122" spans="1:11" ht="13.35" customHeight="1" x14ac:dyDescent="0.2">
      <c r="A122" s="263" t="s">
        <v>935</v>
      </c>
      <c r="B122" s="257"/>
      <c r="C122" s="184">
        <f>SD7a!C122+SD7b!C122++SD7e!C122</f>
        <v>0</v>
      </c>
      <c r="D122" s="155">
        <f>SD7a!D122+SD7b!D122++SD7e!D122</f>
        <v>0</v>
      </c>
      <c r="E122" s="156">
        <f>SD7a!E122+SD7b!E122++SD7e!E122</f>
        <v>0</v>
      </c>
      <c r="F122" s="157">
        <f>SD7a!F122+SD7b!F122++SD7e!F122</f>
        <v>0</v>
      </c>
      <c r="G122" s="155">
        <f>SD7a!G122+SD7b!G122++SD7e!G122</f>
        <v>0</v>
      </c>
      <c r="H122" s="158">
        <f>SD7a!H122+SD7b!H122++SD7e!H122</f>
        <v>0</v>
      </c>
      <c r="I122" s="157">
        <f>SD7a!I122+SD7b!I122++SD7e!I122</f>
        <v>0</v>
      </c>
      <c r="J122" s="155">
        <f>SD7a!J122+SD7b!J122++SD7e!J122</f>
        <v>0</v>
      </c>
      <c r="K122" s="158">
        <f>SD7a!K122+SD7b!K122++SD7e!K122</f>
        <v>0</v>
      </c>
    </row>
    <row r="123" spans="1:11" ht="13.35" customHeight="1" x14ac:dyDescent="0.2">
      <c r="A123" s="263" t="s">
        <v>936</v>
      </c>
      <c r="B123" s="257"/>
      <c r="C123" s="184">
        <f>SD7a!C123+SD7b!C123++SD7e!C123</f>
        <v>0</v>
      </c>
      <c r="D123" s="155">
        <f>SD7a!D123+SD7b!D123++SD7e!D123</f>
        <v>0</v>
      </c>
      <c r="E123" s="156">
        <f>SD7a!E123+SD7b!E123++SD7e!E123</f>
        <v>0</v>
      </c>
      <c r="F123" s="157">
        <f>SD7a!F123+SD7b!F123++SD7e!F123</f>
        <v>0</v>
      </c>
      <c r="G123" s="155">
        <f>SD7a!G123+SD7b!G123++SD7e!G123</f>
        <v>0</v>
      </c>
      <c r="H123" s="158">
        <f>SD7a!H123+SD7b!H123++SD7e!H123</f>
        <v>0</v>
      </c>
      <c r="I123" s="157">
        <f>SD7a!I123+SD7b!I123++SD7e!I123</f>
        <v>0</v>
      </c>
      <c r="J123" s="155">
        <f>SD7a!J123+SD7b!J123++SD7e!J123</f>
        <v>0</v>
      </c>
      <c r="K123" s="158">
        <f>SD7a!K123+SD7b!K123++SD7e!K123</f>
        <v>0</v>
      </c>
    </row>
    <row r="124" spans="1:11" ht="13.35" customHeight="1" x14ac:dyDescent="0.2">
      <c r="A124" s="263" t="s">
        <v>937</v>
      </c>
      <c r="B124" s="257"/>
      <c r="C124" s="184">
        <f>SD7a!C124+SD7b!C124++SD7e!C124</f>
        <v>0</v>
      </c>
      <c r="D124" s="155">
        <f>SD7a!D124+SD7b!D124++SD7e!D124</f>
        <v>0</v>
      </c>
      <c r="E124" s="156">
        <f>SD7a!E124+SD7b!E124++SD7e!E124</f>
        <v>0</v>
      </c>
      <c r="F124" s="157">
        <f>SD7a!F124+SD7b!F124++SD7e!F124</f>
        <v>0</v>
      </c>
      <c r="G124" s="155">
        <f>SD7a!G124+SD7b!G124++SD7e!G124</f>
        <v>0</v>
      </c>
      <c r="H124" s="158">
        <f>SD7a!H124+SD7b!H124++SD7e!H124</f>
        <v>0</v>
      </c>
      <c r="I124" s="157">
        <f>SD7a!I124+SD7b!I124++SD7e!I124</f>
        <v>0</v>
      </c>
      <c r="J124" s="155">
        <f>SD7a!J124+SD7b!J124++SD7e!J124</f>
        <v>0</v>
      </c>
      <c r="K124" s="158">
        <f>SD7a!K124+SD7b!K124++SD7e!K124</f>
        <v>0</v>
      </c>
    </row>
    <row r="125" spans="1:11" ht="13.35" customHeight="1" x14ac:dyDescent="0.2">
      <c r="A125" s="263" t="s">
        <v>938</v>
      </c>
      <c r="B125" s="257"/>
      <c r="C125" s="184">
        <f>SD7a!C125+SD7b!C125++SD7e!C125</f>
        <v>0</v>
      </c>
      <c r="D125" s="155">
        <f>SD7a!D125+SD7b!D125++SD7e!D125</f>
        <v>0</v>
      </c>
      <c r="E125" s="156">
        <f>SD7a!E125+SD7b!E125++SD7e!E125</f>
        <v>0</v>
      </c>
      <c r="F125" s="157">
        <f>SD7a!F125+SD7b!F125++SD7e!F125</f>
        <v>0</v>
      </c>
      <c r="G125" s="155">
        <f>SD7a!G125+SD7b!G125++SD7e!G125</f>
        <v>0</v>
      </c>
      <c r="H125" s="158">
        <f>SD7a!H125+SD7b!H125++SD7e!H125</f>
        <v>0</v>
      </c>
      <c r="I125" s="157">
        <f>SD7a!I125+SD7b!I125++SD7e!I125</f>
        <v>0</v>
      </c>
      <c r="J125" s="155">
        <f>SD7a!J125+SD7b!J125++SD7e!J125</f>
        <v>0</v>
      </c>
      <c r="K125" s="158">
        <f>SD7a!K125+SD7b!K125++SD7e!K125</f>
        <v>0</v>
      </c>
    </row>
    <row r="126" spans="1:11" ht="13.35" customHeight="1" x14ac:dyDescent="0.2">
      <c r="A126" s="263" t="s">
        <v>939</v>
      </c>
      <c r="B126" s="257"/>
      <c r="C126" s="184">
        <f>SD7a!C126+SD7b!C126++SD7e!C126</f>
        <v>0</v>
      </c>
      <c r="D126" s="155">
        <f>SD7a!D126+SD7b!D126++SD7e!D126</f>
        <v>0</v>
      </c>
      <c r="E126" s="156">
        <f>SD7a!E126+SD7b!E126++SD7e!E126</f>
        <v>0</v>
      </c>
      <c r="F126" s="157">
        <f>SD7a!F126+SD7b!F126++SD7e!F126</f>
        <v>0</v>
      </c>
      <c r="G126" s="155">
        <f>SD7a!G126+SD7b!G126++SD7e!G126</f>
        <v>0</v>
      </c>
      <c r="H126" s="158">
        <f>SD7a!H126+SD7b!H126++SD7e!H126</f>
        <v>0</v>
      </c>
      <c r="I126" s="157">
        <f>SD7a!I126+SD7b!I126++SD7e!I126</f>
        <v>0</v>
      </c>
      <c r="J126" s="155">
        <f>SD7a!J126+SD7b!J126++SD7e!J126</f>
        <v>0</v>
      </c>
      <c r="K126" s="158">
        <f>SD7a!K126+SD7b!K126++SD7e!K126</f>
        <v>0</v>
      </c>
    </row>
    <row r="127" spans="1:11" ht="13.35" customHeight="1" x14ac:dyDescent="0.2">
      <c r="A127" s="263" t="s">
        <v>940</v>
      </c>
      <c r="B127" s="257"/>
      <c r="C127" s="184">
        <f>SD7a!C127+SD7b!C127++SD7e!C127</f>
        <v>636523.13</v>
      </c>
      <c r="D127" s="155">
        <f>SD7a!D127+SD7b!D127++SD7e!D127</f>
        <v>0</v>
      </c>
      <c r="E127" s="156">
        <f>SD7a!E127+SD7b!E127++SD7e!E127</f>
        <v>187829.28</v>
      </c>
      <c r="F127" s="157">
        <f>SD7a!F127+SD7b!F127++SD7e!F127</f>
        <v>858964</v>
      </c>
      <c r="G127" s="155">
        <f>SD7a!G127+SD7b!G127++SD7e!G127</f>
        <v>858964</v>
      </c>
      <c r="H127" s="158">
        <f>SD7a!H127+SD7b!H127++SD7e!H127</f>
        <v>858964</v>
      </c>
      <c r="I127" s="157">
        <f>SD7a!I127+SD7b!I127++SD7e!I127</f>
        <v>574173.81414666667</v>
      </c>
      <c r="J127" s="155">
        <f>SD7a!J127+SD7b!J127++SD7e!J127</f>
        <v>591989.11434082664</v>
      </c>
      <c r="K127" s="158">
        <f>SD7a!K127+SD7b!K127++SD7e!K127</f>
        <v>611436.6353718231</v>
      </c>
    </row>
    <row r="128" spans="1:11" ht="13.35" customHeight="1" x14ac:dyDescent="0.2">
      <c r="A128" s="263" t="s">
        <v>941</v>
      </c>
      <c r="B128" s="257"/>
      <c r="C128" s="184">
        <f>SD7a!C128+SD7b!C128++SD7e!C128</f>
        <v>0</v>
      </c>
      <c r="D128" s="155">
        <f>SD7a!D128+SD7b!D128++SD7e!D128</f>
        <v>0</v>
      </c>
      <c r="E128" s="156">
        <f>SD7a!E128+SD7b!E128++SD7e!E128</f>
        <v>0</v>
      </c>
      <c r="F128" s="157">
        <f>SD7a!F128+SD7b!F128++SD7e!F128</f>
        <v>0</v>
      </c>
      <c r="G128" s="155">
        <f>SD7a!G128+SD7b!G128++SD7e!G128</f>
        <v>0</v>
      </c>
      <c r="H128" s="158">
        <f>SD7a!H128+SD7b!H128++SD7e!H128</f>
        <v>0</v>
      </c>
      <c r="I128" s="157">
        <f>SD7a!I128+SD7b!I128++SD7e!I128</f>
        <v>0</v>
      </c>
      <c r="J128" s="155">
        <f>SD7a!J128+SD7b!J128++SD7e!J128</f>
        <v>0</v>
      </c>
      <c r="K128" s="158">
        <f>SD7a!K128+SD7b!K128++SD7e!K128</f>
        <v>0</v>
      </c>
    </row>
    <row r="129" spans="1:11" ht="13.35" customHeight="1" x14ac:dyDescent="0.2">
      <c r="A129" s="263" t="s">
        <v>942</v>
      </c>
      <c r="B129" s="257"/>
      <c r="C129" s="184">
        <f>SD7a!C129+SD7b!C129++SD7e!C129</f>
        <v>0</v>
      </c>
      <c r="D129" s="155">
        <f>SD7a!D129+SD7b!D129++SD7e!D129</f>
        <v>0</v>
      </c>
      <c r="E129" s="156">
        <f>SD7a!E129+SD7b!E129++SD7e!E129</f>
        <v>0</v>
      </c>
      <c r="F129" s="157">
        <f>SD7a!F129+SD7b!F129++SD7e!F129</f>
        <v>0</v>
      </c>
      <c r="G129" s="155">
        <f>SD7a!G129+SD7b!G129++SD7e!G129</f>
        <v>0</v>
      </c>
      <c r="H129" s="158">
        <f>SD7a!H129+SD7b!H129++SD7e!H129</f>
        <v>0</v>
      </c>
      <c r="I129" s="157">
        <f>SD7a!I129+SD7b!I129++SD7e!I129</f>
        <v>0</v>
      </c>
      <c r="J129" s="155">
        <f>SD7a!J129+SD7b!J129++SD7e!J129</f>
        <v>0</v>
      </c>
      <c r="K129" s="158">
        <f>SD7a!K129+SD7b!K129++SD7e!K129</f>
        <v>0</v>
      </c>
    </row>
    <row r="130" spans="1:11" ht="13.35" customHeight="1" x14ac:dyDescent="0.2">
      <c r="A130" s="263" t="s">
        <v>852</v>
      </c>
      <c r="B130" s="257"/>
      <c r="C130" s="184">
        <f>SD7a!C130+SD7b!C130++SD7e!C130</f>
        <v>0</v>
      </c>
      <c r="D130" s="155">
        <f>SD7a!D130+SD7b!D130++SD7e!D130</f>
        <v>0</v>
      </c>
      <c r="E130" s="156">
        <f>SD7a!E130+SD7b!E130++SD7e!E130</f>
        <v>0</v>
      </c>
      <c r="F130" s="157">
        <f>SD7a!F130+SD7b!F130++SD7e!F130</f>
        <v>0</v>
      </c>
      <c r="G130" s="155">
        <f>SD7a!G130+SD7b!G130++SD7e!G130</f>
        <v>0</v>
      </c>
      <c r="H130" s="158">
        <f>SD7a!H130+SD7b!H130++SD7e!H130</f>
        <v>0</v>
      </c>
      <c r="I130" s="157">
        <f>SD7a!I130+SD7b!I130++SD7e!I130</f>
        <v>0</v>
      </c>
      <c r="J130" s="155">
        <f>SD7a!J130+SD7b!J130++SD7e!J130</f>
        <v>0</v>
      </c>
      <c r="K130" s="158">
        <f>SD7a!K130+SD7b!K130++SD7e!K130</f>
        <v>0</v>
      </c>
    </row>
    <row r="131" spans="1:11" ht="13.35" customHeight="1" x14ac:dyDescent="0.2">
      <c r="A131" s="235" t="s">
        <v>943</v>
      </c>
      <c r="B131" s="257"/>
      <c r="C131" s="155">
        <f>SUM(C132:C134)</f>
        <v>0</v>
      </c>
      <c r="D131" s="155">
        <f t="shared" ref="D131:K131" si="19">SUM(D132:D134)</f>
        <v>0</v>
      </c>
      <c r="E131" s="155">
        <f t="shared" si="19"/>
        <v>0</v>
      </c>
      <c r="F131" s="157">
        <f t="shared" si="19"/>
        <v>0</v>
      </c>
      <c r="G131" s="155">
        <f t="shared" si="19"/>
        <v>0</v>
      </c>
      <c r="H131" s="158">
        <f t="shared" si="19"/>
        <v>0</v>
      </c>
      <c r="I131" s="159">
        <f t="shared" si="19"/>
        <v>0</v>
      </c>
      <c r="J131" s="155">
        <f t="shared" si="19"/>
        <v>0</v>
      </c>
      <c r="K131" s="158">
        <f t="shared" si="19"/>
        <v>0</v>
      </c>
    </row>
    <row r="132" spans="1:11" ht="13.35" customHeight="1" x14ac:dyDescent="0.2">
      <c r="A132" s="263" t="s">
        <v>944</v>
      </c>
      <c r="B132" s="257"/>
      <c r="C132" s="184">
        <f>SD7a!C132+SD7b!C132++SD7e!C132</f>
        <v>0</v>
      </c>
      <c r="D132" s="155">
        <f>SD7a!D132+SD7b!D132++SD7e!D132</f>
        <v>0</v>
      </c>
      <c r="E132" s="156">
        <f>SD7a!E132+SD7b!E132++SD7e!E132</f>
        <v>0</v>
      </c>
      <c r="F132" s="157">
        <f>SD7a!F132+SD7b!F132++SD7e!F132</f>
        <v>0</v>
      </c>
      <c r="G132" s="155">
        <f>SD7a!G132+SD7b!G132++SD7e!G132</f>
        <v>0</v>
      </c>
      <c r="H132" s="158">
        <f>SD7a!H132+SD7b!H132++SD7e!H132</f>
        <v>0</v>
      </c>
      <c r="I132" s="157">
        <f>SD7a!I132+SD7b!I132++SD7e!I132</f>
        <v>0</v>
      </c>
      <c r="J132" s="155">
        <f>SD7a!J132+SD7b!J132++SD7e!J132</f>
        <v>0</v>
      </c>
      <c r="K132" s="158">
        <f>SD7a!K132+SD7b!K132++SD7e!K132</f>
        <v>0</v>
      </c>
    </row>
    <row r="133" spans="1:11" ht="13.35" customHeight="1" x14ac:dyDescent="0.2">
      <c r="A133" s="263" t="s">
        <v>945</v>
      </c>
      <c r="B133" s="257"/>
      <c r="C133" s="184">
        <f>SD7a!C133+SD7b!C133++SD7e!C133</f>
        <v>0</v>
      </c>
      <c r="D133" s="155">
        <f>SD7a!D133+SD7b!D133++SD7e!D133</f>
        <v>0</v>
      </c>
      <c r="E133" s="156">
        <f>SD7a!E133+SD7b!E133++SD7e!E133</f>
        <v>0</v>
      </c>
      <c r="F133" s="157">
        <f>SD7a!F133+SD7b!F133++SD7e!F133</f>
        <v>0</v>
      </c>
      <c r="G133" s="155">
        <f>SD7a!G133+SD7b!G133++SD7e!G133</f>
        <v>0</v>
      </c>
      <c r="H133" s="158">
        <f>SD7a!H133+SD7b!H133++SD7e!H133</f>
        <v>0</v>
      </c>
      <c r="I133" s="157">
        <f>SD7a!I133+SD7b!I133++SD7e!I133</f>
        <v>0</v>
      </c>
      <c r="J133" s="155">
        <f>SD7a!J133+SD7b!J133++SD7e!J133</f>
        <v>0</v>
      </c>
      <c r="K133" s="158">
        <f>SD7a!K133+SD7b!K133++SD7e!K133</f>
        <v>0</v>
      </c>
    </row>
    <row r="134" spans="1:11" ht="13.35" customHeight="1" x14ac:dyDescent="0.2">
      <c r="A134" s="263" t="s">
        <v>852</v>
      </c>
      <c r="B134" s="257"/>
      <c r="C134" s="184">
        <f>SD7a!C134+SD7b!C134++SD7e!C134</f>
        <v>0</v>
      </c>
      <c r="D134" s="155">
        <f>SD7a!D134+SD7b!D134++SD7e!D134</f>
        <v>0</v>
      </c>
      <c r="E134" s="156">
        <f>SD7a!E134+SD7b!E134++SD7e!E134</f>
        <v>0</v>
      </c>
      <c r="F134" s="157">
        <f>SD7a!F134+SD7b!F134++SD7e!F134</f>
        <v>0</v>
      </c>
      <c r="G134" s="155">
        <f>SD7a!G134+SD7b!G134++SD7e!G134</f>
        <v>0</v>
      </c>
      <c r="H134" s="158">
        <f>SD7a!H134+SD7b!H134++SD7e!H134</f>
        <v>0</v>
      </c>
      <c r="I134" s="157">
        <f>SD7a!I134+SD7b!I134++SD7e!I134</f>
        <v>0</v>
      </c>
      <c r="J134" s="155">
        <f>SD7a!J134+SD7b!J134++SD7e!J134</f>
        <v>0</v>
      </c>
      <c r="K134" s="158">
        <f>SD7a!K134+SD7b!K134++SD7e!K134</f>
        <v>0</v>
      </c>
    </row>
    <row r="135" spans="1:11" ht="5.0999999999999996" customHeight="1" x14ac:dyDescent="0.2">
      <c r="A135" s="281"/>
      <c r="B135" s="257"/>
      <c r="C135" s="66"/>
      <c r="D135" s="66"/>
      <c r="E135" s="268"/>
      <c r="F135" s="269"/>
      <c r="G135" s="66"/>
      <c r="H135" s="270"/>
      <c r="I135" s="269"/>
      <c r="J135" s="66"/>
      <c r="K135" s="268"/>
    </row>
    <row r="136" spans="1:11" ht="13.35" customHeight="1" x14ac:dyDescent="0.2">
      <c r="A136" s="256" t="s">
        <v>946</v>
      </c>
      <c r="B136" s="257"/>
      <c r="C136" s="272">
        <f t="shared" ref="C136:K136" si="20">SUM(C137:C137)</f>
        <v>0</v>
      </c>
      <c r="D136" s="272">
        <f t="shared" si="20"/>
        <v>0</v>
      </c>
      <c r="E136" s="273">
        <f t="shared" si="20"/>
        <v>0</v>
      </c>
      <c r="F136" s="274">
        <f t="shared" si="20"/>
        <v>0</v>
      </c>
      <c r="G136" s="272">
        <f t="shared" si="20"/>
        <v>0</v>
      </c>
      <c r="H136" s="275">
        <f t="shared" si="20"/>
        <v>0</v>
      </c>
      <c r="I136" s="274">
        <f t="shared" si="20"/>
        <v>0</v>
      </c>
      <c r="J136" s="272">
        <f t="shared" si="20"/>
        <v>0</v>
      </c>
      <c r="K136" s="273">
        <f t="shared" si="20"/>
        <v>0</v>
      </c>
    </row>
    <row r="137" spans="1:11" ht="13.35" customHeight="1" x14ac:dyDescent="0.2">
      <c r="A137" s="235" t="s">
        <v>946</v>
      </c>
      <c r="B137" s="257"/>
      <c r="C137" s="184">
        <f>SD7a!C137+SD7b!C137++SD7e!C137</f>
        <v>0</v>
      </c>
      <c r="D137" s="155">
        <f>SD7a!D137+SD7b!D137++SD7e!D137</f>
        <v>0</v>
      </c>
      <c r="E137" s="156">
        <f>SD7a!E137+SD7b!E137++SD7e!E137</f>
        <v>0</v>
      </c>
      <c r="F137" s="157">
        <f>SD7a!F137+SD7b!F137++SD7e!F137</f>
        <v>0</v>
      </c>
      <c r="G137" s="155">
        <f>SD7a!G137+SD7b!G137++SD7e!G137</f>
        <v>0</v>
      </c>
      <c r="H137" s="158">
        <f>SD7a!H137+SD7b!H137++SD7e!H137</f>
        <v>0</v>
      </c>
      <c r="I137" s="157">
        <f>SD7a!I137+SD7b!I137++SD7e!I137</f>
        <v>0</v>
      </c>
      <c r="J137" s="155">
        <f>SD7a!J137+SD7b!J137++SD7e!J137</f>
        <v>0</v>
      </c>
      <c r="K137" s="158">
        <f>SD7a!K137+SD7b!K137++SD7e!K137</f>
        <v>0</v>
      </c>
    </row>
    <row r="138" spans="1:11" ht="5.0999999999999996" customHeight="1" x14ac:dyDescent="0.2">
      <c r="A138" s="267"/>
      <c r="B138" s="257"/>
      <c r="C138" s="66"/>
      <c r="D138" s="66"/>
      <c r="E138" s="268"/>
      <c r="F138" s="269"/>
      <c r="G138" s="66"/>
      <c r="H138" s="270"/>
      <c r="I138" s="269"/>
      <c r="J138" s="66"/>
      <c r="K138" s="268"/>
    </row>
    <row r="139" spans="1:11" ht="13.35" customHeight="1" x14ac:dyDescent="0.2">
      <c r="A139" s="256" t="s">
        <v>947</v>
      </c>
      <c r="B139" s="257"/>
      <c r="C139" s="272">
        <f>+C140+C141</f>
        <v>0</v>
      </c>
      <c r="D139" s="272">
        <f t="shared" ref="D139:K139" si="21">+D140+D141</f>
        <v>7098773.0700000003</v>
      </c>
      <c r="E139" s="273">
        <f t="shared" si="21"/>
        <v>0</v>
      </c>
      <c r="F139" s="274">
        <f t="shared" si="21"/>
        <v>0</v>
      </c>
      <c r="G139" s="272">
        <f t="shared" si="21"/>
        <v>0</v>
      </c>
      <c r="H139" s="275">
        <f t="shared" si="21"/>
        <v>0</v>
      </c>
      <c r="I139" s="274">
        <f t="shared" si="21"/>
        <v>0</v>
      </c>
      <c r="J139" s="272">
        <f t="shared" si="21"/>
        <v>0</v>
      </c>
      <c r="K139" s="273">
        <f t="shared" si="21"/>
        <v>0</v>
      </c>
    </row>
    <row r="140" spans="1:11" ht="13.35" customHeight="1" x14ac:dyDescent="0.2">
      <c r="A140" s="239" t="s">
        <v>948</v>
      </c>
      <c r="B140" s="257"/>
      <c r="C140" s="184">
        <f>SD7a!C140+SD7b!C140++SD7e!C140</f>
        <v>0</v>
      </c>
      <c r="D140" s="155">
        <f>SD7a!D140+SD7b!D140++SD7e!D140</f>
        <v>0</v>
      </c>
      <c r="E140" s="156">
        <f>SD7a!E140+SD7b!E140++SD7e!E140</f>
        <v>0</v>
      </c>
      <c r="F140" s="157">
        <f>SD7a!F140+SD7b!F140++SD7e!F140</f>
        <v>0</v>
      </c>
      <c r="G140" s="155">
        <f>SD7a!G140+SD7b!G140++SD7e!G140</f>
        <v>0</v>
      </c>
      <c r="H140" s="158">
        <f>SD7a!H140+SD7b!H140++SD7e!H140</f>
        <v>0</v>
      </c>
      <c r="I140" s="157">
        <f>SD7a!I140+SD7b!I140++SD7e!I140</f>
        <v>0</v>
      </c>
      <c r="J140" s="155">
        <f>SD7a!J140+SD7b!J140++SD7e!J140</f>
        <v>0</v>
      </c>
      <c r="K140" s="158">
        <f>SD7a!K140+SD7b!K140++SD7e!K140</f>
        <v>0</v>
      </c>
    </row>
    <row r="141" spans="1:11" ht="13.35" customHeight="1" x14ac:dyDescent="0.2">
      <c r="A141" s="239" t="s">
        <v>949</v>
      </c>
      <c r="B141" s="257"/>
      <c r="C141" s="155">
        <f>SUM(C142:C147)</f>
        <v>0</v>
      </c>
      <c r="D141" s="155">
        <f t="shared" ref="D141:K141" si="22">SUM(D142:D147)</f>
        <v>7098773.0700000003</v>
      </c>
      <c r="E141" s="155">
        <f t="shared" si="22"/>
        <v>0</v>
      </c>
      <c r="F141" s="157">
        <f t="shared" si="22"/>
        <v>0</v>
      </c>
      <c r="G141" s="155">
        <f t="shared" si="22"/>
        <v>0</v>
      </c>
      <c r="H141" s="158">
        <f t="shared" si="22"/>
        <v>0</v>
      </c>
      <c r="I141" s="159">
        <f t="shared" si="22"/>
        <v>0</v>
      </c>
      <c r="J141" s="155">
        <f t="shared" si="22"/>
        <v>0</v>
      </c>
      <c r="K141" s="158">
        <f t="shared" si="22"/>
        <v>0</v>
      </c>
    </row>
    <row r="142" spans="1:11" ht="13.35" customHeight="1" x14ac:dyDescent="0.2">
      <c r="A142" s="263" t="s">
        <v>950</v>
      </c>
      <c r="B142" s="257"/>
      <c r="C142" s="184">
        <f>SD7a!C142+SD7b!C142++SD7e!C142</f>
        <v>0</v>
      </c>
      <c r="D142" s="155">
        <f>SD7a!D142+SD7b!D142++SD7e!D142</f>
        <v>0</v>
      </c>
      <c r="E142" s="156">
        <f>SD7a!E142+SD7b!E142++SD7e!E142</f>
        <v>0</v>
      </c>
      <c r="F142" s="157">
        <f>SD7a!F142+SD7b!F142++SD7e!F142</f>
        <v>0</v>
      </c>
      <c r="G142" s="155">
        <f>SD7a!G142+SD7b!G142++SD7e!G142</f>
        <v>0</v>
      </c>
      <c r="H142" s="158">
        <f>SD7a!H142+SD7b!H142++SD7e!H142</f>
        <v>0</v>
      </c>
      <c r="I142" s="157">
        <f>SD7a!I142+SD7b!I142++SD7e!I142</f>
        <v>0</v>
      </c>
      <c r="J142" s="155">
        <f>SD7a!J142+SD7b!J142++SD7e!J142</f>
        <v>0</v>
      </c>
      <c r="K142" s="158">
        <f>SD7a!K142+SD7b!K142++SD7e!K142</f>
        <v>0</v>
      </c>
    </row>
    <row r="143" spans="1:11" ht="13.35" customHeight="1" x14ac:dyDescent="0.2">
      <c r="A143" s="263" t="s">
        <v>951</v>
      </c>
      <c r="B143" s="257"/>
      <c r="C143" s="184">
        <f>SD7a!C143+SD7b!C143++SD7e!C143</f>
        <v>0</v>
      </c>
      <c r="D143" s="155">
        <f>SD7a!D143+SD7b!D143++SD7e!D143</f>
        <v>0</v>
      </c>
      <c r="E143" s="156">
        <f>SD7a!E143+SD7b!E143++SD7e!E143</f>
        <v>0</v>
      </c>
      <c r="F143" s="157">
        <f>SD7a!F143+SD7b!F143++SD7e!F143</f>
        <v>0</v>
      </c>
      <c r="G143" s="155">
        <f>SD7a!G143+SD7b!G143++SD7e!G143</f>
        <v>0</v>
      </c>
      <c r="H143" s="158">
        <f>SD7a!H143+SD7b!H143++SD7e!H143</f>
        <v>0</v>
      </c>
      <c r="I143" s="157">
        <f>SD7a!I143+SD7b!I143++SD7e!I143</f>
        <v>0</v>
      </c>
      <c r="J143" s="155">
        <f>SD7a!J143+SD7b!J143++SD7e!J143</f>
        <v>0</v>
      </c>
      <c r="K143" s="158">
        <f>SD7a!K143+SD7b!K143++SD7e!K143</f>
        <v>0</v>
      </c>
    </row>
    <row r="144" spans="1:11" ht="13.35" customHeight="1" x14ac:dyDescent="0.2">
      <c r="A144" s="263" t="s">
        <v>952</v>
      </c>
      <c r="B144" s="257"/>
      <c r="C144" s="184">
        <f>SD7a!C144+SD7b!C144++SD7e!C144</f>
        <v>0</v>
      </c>
      <c r="D144" s="155">
        <f>SD7a!D144+SD7b!D144++SD7e!D144</f>
        <v>0</v>
      </c>
      <c r="E144" s="156">
        <f>SD7a!E144+SD7b!E144++SD7e!E144</f>
        <v>0</v>
      </c>
      <c r="F144" s="157">
        <f>SD7a!F144+SD7b!F144++SD7e!F144</f>
        <v>0</v>
      </c>
      <c r="G144" s="155">
        <f>SD7a!G144+SD7b!G144++SD7e!G144</f>
        <v>0</v>
      </c>
      <c r="H144" s="158">
        <f>SD7a!H144+SD7b!H144++SD7e!H144</f>
        <v>0</v>
      </c>
      <c r="I144" s="157">
        <f>SD7a!I144+SD7b!I144++SD7e!I144</f>
        <v>0</v>
      </c>
      <c r="J144" s="155">
        <f>SD7a!J144+SD7b!J144++SD7e!J144</f>
        <v>0</v>
      </c>
      <c r="K144" s="158">
        <f>SD7a!K144+SD7b!K144++SD7e!K144</f>
        <v>0</v>
      </c>
    </row>
    <row r="145" spans="1:11" ht="13.35" customHeight="1" x14ac:dyDescent="0.2">
      <c r="A145" s="263" t="s">
        <v>953</v>
      </c>
      <c r="B145" s="257"/>
      <c r="C145" s="184">
        <f>SD7a!C145+SD7b!C145++SD7e!C145</f>
        <v>0</v>
      </c>
      <c r="D145" s="155">
        <f>SD7a!D145+SD7b!D145++SD7e!D145</f>
        <v>0</v>
      </c>
      <c r="E145" s="156">
        <f>SD7a!E145+SD7b!E145++SD7e!E145</f>
        <v>0</v>
      </c>
      <c r="F145" s="157">
        <f>SD7a!F145+SD7b!F145++SD7e!F145</f>
        <v>0</v>
      </c>
      <c r="G145" s="155">
        <f>SD7a!G145+SD7b!G145++SD7e!G145</f>
        <v>0</v>
      </c>
      <c r="H145" s="158">
        <f>SD7a!H145+SD7b!H145++SD7e!H145</f>
        <v>0</v>
      </c>
      <c r="I145" s="157">
        <f>SD7a!I145+SD7b!I145++SD7e!I145</f>
        <v>0</v>
      </c>
      <c r="J145" s="155">
        <f>SD7a!J145+SD7b!J145++SD7e!J145</f>
        <v>0</v>
      </c>
      <c r="K145" s="158">
        <f>SD7a!K145+SD7b!K145++SD7e!K145</f>
        <v>0</v>
      </c>
    </row>
    <row r="146" spans="1:11" ht="13.35" customHeight="1" x14ac:dyDescent="0.2">
      <c r="A146" s="263" t="s">
        <v>954</v>
      </c>
      <c r="B146" s="257"/>
      <c r="C146" s="184">
        <f>SD7a!C146+SD7b!C146++SD7e!C146</f>
        <v>0</v>
      </c>
      <c r="D146" s="155">
        <f>SD7a!D146+SD7b!D146++SD7e!D146</f>
        <v>0</v>
      </c>
      <c r="E146" s="156">
        <f>SD7a!E146+SD7b!E146++SD7e!E146</f>
        <v>0</v>
      </c>
      <c r="F146" s="157">
        <f>SD7a!F146+SD7b!F146++SD7e!F146</f>
        <v>0</v>
      </c>
      <c r="G146" s="155">
        <f>SD7a!G146+SD7b!G146++SD7e!G146</f>
        <v>0</v>
      </c>
      <c r="H146" s="158">
        <f>SD7a!H146+SD7b!H146++SD7e!H146</f>
        <v>0</v>
      </c>
      <c r="I146" s="157">
        <f>SD7a!I146+SD7b!I146++SD7e!I146</f>
        <v>0</v>
      </c>
      <c r="J146" s="155">
        <f>SD7a!J146+SD7b!J146++SD7e!J146</f>
        <v>0</v>
      </c>
      <c r="K146" s="158">
        <f>SD7a!K146+SD7b!K146++SD7e!K146</f>
        <v>0</v>
      </c>
    </row>
    <row r="147" spans="1:11" ht="13.35" customHeight="1" x14ac:dyDescent="0.2">
      <c r="A147" s="263" t="s">
        <v>955</v>
      </c>
      <c r="B147" s="257"/>
      <c r="C147" s="184">
        <f>SD7a!C147+SD7b!C147++SD7e!C147</f>
        <v>0</v>
      </c>
      <c r="D147" s="155">
        <f>SD7a!D147+SD7b!D147++SD7e!D147</f>
        <v>7098773.0700000003</v>
      </c>
      <c r="E147" s="156">
        <f>SD7a!E147+SD7b!E147++SD7e!E147</f>
        <v>0</v>
      </c>
      <c r="F147" s="157">
        <f>SD7a!F147+SD7b!F147++SD7e!F147</f>
        <v>0</v>
      </c>
      <c r="G147" s="155">
        <f>SD7a!G147+SD7b!G147++SD7e!G147</f>
        <v>0</v>
      </c>
      <c r="H147" s="158">
        <f>SD7a!H147+SD7b!H147++SD7e!H147</f>
        <v>0</v>
      </c>
      <c r="I147" s="157">
        <f>SD7a!I147+SD7b!I147++SD7e!I147</f>
        <v>0</v>
      </c>
      <c r="J147" s="155">
        <f>SD7a!J147+SD7b!J147++SD7e!J147</f>
        <v>0</v>
      </c>
      <c r="K147" s="158">
        <f>SD7a!K147+SD7b!K147++SD7e!K147</f>
        <v>0</v>
      </c>
    </row>
    <row r="148" spans="1:11" ht="5.0999999999999996" customHeight="1" x14ac:dyDescent="0.2">
      <c r="A148" s="267"/>
      <c r="B148" s="257"/>
      <c r="C148" s="80"/>
      <c r="D148" s="80"/>
      <c r="E148" s="278"/>
      <c r="F148" s="279"/>
      <c r="G148" s="80"/>
      <c r="H148" s="280"/>
      <c r="I148" s="279"/>
      <c r="J148" s="80"/>
      <c r="K148" s="278"/>
    </row>
    <row r="149" spans="1:11" ht="13.35" customHeight="1" x14ac:dyDescent="0.2">
      <c r="A149" s="256" t="s">
        <v>956</v>
      </c>
      <c r="B149" s="257"/>
      <c r="C149" s="272">
        <f t="shared" ref="C149:K149" si="23">SUM(C150:C150)</f>
        <v>10313218.279999999</v>
      </c>
      <c r="D149" s="272">
        <f t="shared" si="23"/>
        <v>11449225.390000001</v>
      </c>
      <c r="E149" s="273">
        <f t="shared" si="23"/>
        <v>14793961.640000001</v>
      </c>
      <c r="F149" s="274">
        <f t="shared" si="23"/>
        <v>10174600</v>
      </c>
      <c r="G149" s="272">
        <f t="shared" si="23"/>
        <v>10174600</v>
      </c>
      <c r="H149" s="275">
        <f t="shared" si="23"/>
        <v>10174600</v>
      </c>
      <c r="I149" s="274">
        <f t="shared" si="23"/>
        <v>2541724.3327333299</v>
      </c>
      <c r="J149" s="272">
        <f t="shared" si="23"/>
        <v>2648476.7547081332</v>
      </c>
      <c r="K149" s="273">
        <f t="shared" si="23"/>
        <v>2765009.7319152914</v>
      </c>
    </row>
    <row r="150" spans="1:11" ht="13.35" customHeight="1" x14ac:dyDescent="0.2">
      <c r="A150" s="235" t="s">
        <v>956</v>
      </c>
      <c r="B150" s="257"/>
      <c r="C150" s="184">
        <f>SD7a!C150+SD7b!C150++SD7e!C150</f>
        <v>10313218.279999999</v>
      </c>
      <c r="D150" s="155">
        <f>SD7a!D150+SD7b!D150++SD7e!D150</f>
        <v>11449225.390000001</v>
      </c>
      <c r="E150" s="156">
        <f>SD7a!E150+SD7b!E150++SD7e!E150</f>
        <v>14793961.640000001</v>
      </c>
      <c r="F150" s="157">
        <f>SD7a!F150+SD7b!F150++SD7e!F150</f>
        <v>10174600</v>
      </c>
      <c r="G150" s="155">
        <f>SD7a!G150+SD7b!G150++SD7e!G150</f>
        <v>10174600</v>
      </c>
      <c r="H150" s="158">
        <f>SD7a!H150+SD7b!H150++SD7e!H150</f>
        <v>10174600</v>
      </c>
      <c r="I150" s="157">
        <f>SD7a!I150+SD7b!I150++SD7e!I150</f>
        <v>2541724.3327333299</v>
      </c>
      <c r="J150" s="155">
        <f>SD7a!J150+SD7b!J150++SD7e!J150</f>
        <v>2648476.7547081332</v>
      </c>
      <c r="K150" s="158">
        <f>SD7a!K150+SD7b!K150++SD7e!K150</f>
        <v>2765009.7319152914</v>
      </c>
    </row>
    <row r="151" spans="1:11" ht="5.0999999999999996" customHeight="1" x14ac:dyDescent="0.2">
      <c r="A151" s="267"/>
      <c r="B151" s="257"/>
      <c r="C151" s="66"/>
      <c r="D151" s="66"/>
      <c r="E151" s="268"/>
      <c r="F151" s="269"/>
      <c r="G151" s="66"/>
      <c r="H151" s="270"/>
      <c r="I151" s="269"/>
      <c r="J151" s="66"/>
      <c r="K151" s="268"/>
    </row>
    <row r="152" spans="1:11" ht="13.35" customHeight="1" x14ac:dyDescent="0.2">
      <c r="A152" s="256" t="s">
        <v>957</v>
      </c>
      <c r="B152" s="257"/>
      <c r="C152" s="272">
        <f t="shared" ref="C152:K152" si="24">SUM(C153:C153)</f>
        <v>2644237.19</v>
      </c>
      <c r="D152" s="272">
        <f t="shared" si="24"/>
        <v>2630856.61</v>
      </c>
      <c r="E152" s="273">
        <f t="shared" si="24"/>
        <v>4998014.74</v>
      </c>
      <c r="F152" s="274">
        <f t="shared" si="24"/>
        <v>218997</v>
      </c>
      <c r="G152" s="272">
        <f t="shared" si="24"/>
        <v>218997</v>
      </c>
      <c r="H152" s="275">
        <f t="shared" si="24"/>
        <v>218997</v>
      </c>
      <c r="I152" s="274">
        <f t="shared" si="24"/>
        <v>515100.1333333333</v>
      </c>
      <c r="J152" s="272">
        <f t="shared" si="24"/>
        <v>515734.33893333335</v>
      </c>
      <c r="K152" s="273">
        <f t="shared" si="24"/>
        <v>516426.64984640002</v>
      </c>
    </row>
    <row r="153" spans="1:11" ht="13.35" customHeight="1" x14ac:dyDescent="0.2">
      <c r="A153" s="235" t="s">
        <v>957</v>
      </c>
      <c r="B153" s="257"/>
      <c r="C153" s="184">
        <f>SD7a!C153+SD7b!C153++SD7e!C153</f>
        <v>2644237.19</v>
      </c>
      <c r="D153" s="155">
        <f>SD7a!D153+SD7b!D153++SD7e!D153</f>
        <v>2630856.61</v>
      </c>
      <c r="E153" s="156">
        <f>SD7a!E153+SD7b!E153++SD7e!E153</f>
        <v>4998014.74</v>
      </c>
      <c r="F153" s="157">
        <f>SD7a!F153+SD7b!F153++SD7e!F153</f>
        <v>218997</v>
      </c>
      <c r="G153" s="155">
        <f>SD7a!G153+SD7b!G153++SD7e!G153</f>
        <v>218997</v>
      </c>
      <c r="H153" s="158">
        <f>SD7a!H153+SD7b!H153++SD7e!H153</f>
        <v>218997</v>
      </c>
      <c r="I153" s="157">
        <f>SD7a!I153+SD7b!I153++SD7e!I153</f>
        <v>515100.1333333333</v>
      </c>
      <c r="J153" s="155">
        <f>SD7a!J153+SD7b!J153++SD7e!J153</f>
        <v>515734.33893333335</v>
      </c>
      <c r="K153" s="158">
        <f>SD7a!K153+SD7b!K153++SD7e!K153</f>
        <v>516426.64984640002</v>
      </c>
    </row>
    <row r="154" spans="1:11" ht="5.0999999999999996" customHeight="1" x14ac:dyDescent="0.2">
      <c r="A154" s="267"/>
      <c r="B154" s="257"/>
      <c r="C154" s="66"/>
      <c r="D154" s="66"/>
      <c r="E154" s="268"/>
      <c r="F154" s="269"/>
      <c r="G154" s="66"/>
      <c r="H154" s="270"/>
      <c r="I154" s="269"/>
      <c r="J154" s="66"/>
      <c r="K154" s="268"/>
    </row>
    <row r="155" spans="1:11" ht="13.35" customHeight="1" x14ac:dyDescent="0.2">
      <c r="A155" s="256" t="s">
        <v>958</v>
      </c>
      <c r="B155" s="257"/>
      <c r="C155" s="272">
        <f t="shared" ref="C155:K155" si="25">SUM(C156:C156)</f>
        <v>0</v>
      </c>
      <c r="D155" s="272">
        <f t="shared" si="25"/>
        <v>0</v>
      </c>
      <c r="E155" s="273">
        <f t="shared" si="25"/>
        <v>0</v>
      </c>
      <c r="F155" s="274">
        <f t="shared" si="25"/>
        <v>1000000</v>
      </c>
      <c r="G155" s="272">
        <f t="shared" si="25"/>
        <v>2000000</v>
      </c>
      <c r="H155" s="275">
        <f t="shared" si="25"/>
        <v>2000000</v>
      </c>
      <c r="I155" s="274">
        <f t="shared" si="25"/>
        <v>0</v>
      </c>
      <c r="J155" s="272">
        <f t="shared" si="25"/>
        <v>0</v>
      </c>
      <c r="K155" s="273">
        <f t="shared" si="25"/>
        <v>0</v>
      </c>
    </row>
    <row r="156" spans="1:11" ht="13.35" customHeight="1" x14ac:dyDescent="0.2">
      <c r="A156" s="235" t="s">
        <v>958</v>
      </c>
      <c r="B156" s="257"/>
      <c r="C156" s="184">
        <f>SD7a!C156+SD7b!C156++SD7e!C156</f>
        <v>0</v>
      </c>
      <c r="D156" s="155">
        <f>SD7a!D156+SD7b!D156++SD7e!D156</f>
        <v>0</v>
      </c>
      <c r="E156" s="156">
        <f>SD7a!E156+SD7b!E156++SD7e!E156</f>
        <v>0</v>
      </c>
      <c r="F156" s="157">
        <f>SD7a!F156+SD7b!F156++SD7e!F156</f>
        <v>1000000</v>
      </c>
      <c r="G156" s="155">
        <f>SD7a!G156+SD7b!G156++SD7e!G156</f>
        <v>2000000</v>
      </c>
      <c r="H156" s="158">
        <f>SD7a!H156+SD7b!H156++SD7e!H156</f>
        <v>2000000</v>
      </c>
      <c r="I156" s="157">
        <f>SD7a!I156+SD7b!I156++SD7e!I156</f>
        <v>0</v>
      </c>
      <c r="J156" s="155">
        <f>SD7a!J156+SD7b!J156++SD7e!J156</f>
        <v>0</v>
      </c>
      <c r="K156" s="158">
        <f>SD7a!K156+SD7b!K156++SD7e!K156</f>
        <v>0</v>
      </c>
    </row>
    <row r="157" spans="1:11" ht="5.0999999999999996" customHeight="1" x14ac:dyDescent="0.2">
      <c r="A157" s="267"/>
      <c r="B157" s="257"/>
      <c r="C157" s="66"/>
      <c r="D157" s="66"/>
      <c r="E157" s="268"/>
      <c r="F157" s="269"/>
      <c r="G157" s="66"/>
      <c r="H157" s="270"/>
      <c r="I157" s="269"/>
      <c r="J157" s="66"/>
      <c r="K157" s="268"/>
    </row>
    <row r="158" spans="1:11" ht="13.35" customHeight="1" x14ac:dyDescent="0.2">
      <c r="A158" s="256" t="s">
        <v>959</v>
      </c>
      <c r="B158" s="257"/>
      <c r="C158" s="272">
        <f t="shared" ref="C158:K158" si="26">SUM(C159:C159)</f>
        <v>0</v>
      </c>
      <c r="D158" s="272">
        <f t="shared" si="26"/>
        <v>1624433.39</v>
      </c>
      <c r="E158" s="273">
        <f t="shared" si="26"/>
        <v>0</v>
      </c>
      <c r="F158" s="274">
        <f t="shared" si="26"/>
        <v>5000000</v>
      </c>
      <c r="G158" s="272">
        <f t="shared" si="26"/>
        <v>5000000</v>
      </c>
      <c r="H158" s="275">
        <f t="shared" si="26"/>
        <v>5000000</v>
      </c>
      <c r="I158" s="274">
        <f t="shared" si="26"/>
        <v>30600000.004666667</v>
      </c>
      <c r="J158" s="272">
        <f t="shared" si="26"/>
        <v>619245.00364266662</v>
      </c>
      <c r="K158" s="273">
        <f t="shared" si="26"/>
        <v>639125.84352294402</v>
      </c>
    </row>
    <row r="159" spans="1:11" ht="13.35" customHeight="1" x14ac:dyDescent="0.2">
      <c r="A159" s="235" t="s">
        <v>959</v>
      </c>
      <c r="B159" s="257"/>
      <c r="C159" s="184">
        <f>SD7a!C159+SD7b!C159++SD7e!C159</f>
        <v>0</v>
      </c>
      <c r="D159" s="155">
        <f>SD7a!D159+SD7b!D159++SD7e!D159</f>
        <v>1624433.39</v>
      </c>
      <c r="E159" s="156">
        <f>SD7a!E159+SD7b!E159++SD7e!E159</f>
        <v>0</v>
      </c>
      <c r="F159" s="157">
        <f>SD7a!F159+SD7b!F159++SD7e!F159</f>
        <v>5000000</v>
      </c>
      <c r="G159" s="155">
        <f>SD7a!G159+SD7b!G159++SD7e!G159</f>
        <v>5000000</v>
      </c>
      <c r="H159" s="158">
        <f>SD7a!H159+SD7b!H159++SD7e!H159</f>
        <v>5000000</v>
      </c>
      <c r="I159" s="157">
        <f>SD7a!I159+SD7b!I159++SD7e!I159</f>
        <v>30600000.004666667</v>
      </c>
      <c r="J159" s="155">
        <f>SD7a!J159+SD7b!J159++SD7e!J159</f>
        <v>619245.00364266662</v>
      </c>
      <c r="K159" s="158">
        <f>SD7a!K159+SD7b!K159++SD7e!K159</f>
        <v>639125.84352294402</v>
      </c>
    </row>
    <row r="160" spans="1:11" ht="5.0999999999999996" customHeight="1" x14ac:dyDescent="0.2">
      <c r="A160" s="267"/>
      <c r="B160" s="257"/>
      <c r="C160" s="66"/>
      <c r="D160" s="66"/>
      <c r="E160" s="268"/>
      <c r="F160" s="269"/>
      <c r="G160" s="66"/>
      <c r="H160" s="270"/>
      <c r="I160" s="269"/>
      <c r="J160" s="66"/>
      <c r="K160" s="268"/>
    </row>
    <row r="161" spans="1:23" ht="13.35" customHeight="1" x14ac:dyDescent="0.2">
      <c r="A161" s="256" t="s">
        <v>974</v>
      </c>
      <c r="B161" s="257"/>
      <c r="C161" s="272">
        <f t="shared" ref="C161:K161" si="27">SUM(C162:C162)</f>
        <v>0</v>
      </c>
      <c r="D161" s="272">
        <f t="shared" si="27"/>
        <v>0</v>
      </c>
      <c r="E161" s="273">
        <f t="shared" si="27"/>
        <v>0</v>
      </c>
      <c r="F161" s="274">
        <f t="shared" si="27"/>
        <v>0</v>
      </c>
      <c r="G161" s="272">
        <f t="shared" si="27"/>
        <v>0</v>
      </c>
      <c r="H161" s="275">
        <f t="shared" si="27"/>
        <v>0</v>
      </c>
      <c r="I161" s="274">
        <f t="shared" si="27"/>
        <v>0</v>
      </c>
      <c r="J161" s="272">
        <f t="shared" si="27"/>
        <v>0</v>
      </c>
      <c r="K161" s="273">
        <f t="shared" si="27"/>
        <v>0</v>
      </c>
    </row>
    <row r="162" spans="1:23" ht="13.35" customHeight="1" x14ac:dyDescent="0.2">
      <c r="A162" s="235" t="s">
        <v>974</v>
      </c>
      <c r="B162" s="257"/>
      <c r="C162" s="184">
        <f>SD7a!C162+SD7b!C162++SD7e!C162</f>
        <v>0</v>
      </c>
      <c r="D162" s="155">
        <f>SD7a!D162+SD7b!D162++SD7e!D162</f>
        <v>0</v>
      </c>
      <c r="E162" s="156">
        <f>SD7a!E162+SD7b!E162++SD7e!E162</f>
        <v>0</v>
      </c>
      <c r="F162" s="157">
        <f>SD7a!F162+SD7b!F162++SD7e!F162</f>
        <v>0</v>
      </c>
      <c r="G162" s="155">
        <f>SD7a!G162+SD7b!G162++SD7e!G162</f>
        <v>0</v>
      </c>
      <c r="H162" s="158">
        <f>SD7a!H162+SD7b!H162++SD7e!H162</f>
        <v>0</v>
      </c>
      <c r="I162" s="157">
        <f>SD7a!I162+SD7b!I162++SD7e!I162</f>
        <v>0</v>
      </c>
      <c r="J162" s="155">
        <f>SD7a!J162+SD7b!J162++SD7e!J162</f>
        <v>0</v>
      </c>
      <c r="K162" s="158">
        <f>SD7a!K162+SD7b!K162++SD7e!K162</f>
        <v>0</v>
      </c>
    </row>
    <row r="163" spans="1:23" ht="5.0999999999999996" customHeight="1" x14ac:dyDescent="0.2">
      <c r="A163" s="267"/>
      <c r="B163" s="257"/>
      <c r="C163" s="66"/>
      <c r="D163" s="66"/>
      <c r="E163" s="268"/>
      <c r="F163" s="269"/>
      <c r="G163" s="66"/>
      <c r="H163" s="270"/>
      <c r="I163" s="269"/>
      <c r="J163" s="66"/>
      <c r="K163" s="268"/>
    </row>
    <row r="164" spans="1:23" ht="13.35" customHeight="1" x14ac:dyDescent="0.2">
      <c r="A164" s="256" t="s">
        <v>960</v>
      </c>
      <c r="B164" s="257"/>
      <c r="C164" s="272">
        <f t="shared" ref="C164:K164" si="28">SUM(C165:C165)</f>
        <v>0</v>
      </c>
      <c r="D164" s="272">
        <f t="shared" si="28"/>
        <v>0</v>
      </c>
      <c r="E164" s="273">
        <f t="shared" si="28"/>
        <v>0</v>
      </c>
      <c r="F164" s="274">
        <f t="shared" si="28"/>
        <v>0</v>
      </c>
      <c r="G164" s="272">
        <f t="shared" si="28"/>
        <v>0</v>
      </c>
      <c r="H164" s="275">
        <f t="shared" si="28"/>
        <v>0</v>
      </c>
      <c r="I164" s="274">
        <f t="shared" si="28"/>
        <v>0</v>
      </c>
      <c r="J164" s="272">
        <f t="shared" si="28"/>
        <v>0</v>
      </c>
      <c r="K164" s="273">
        <f t="shared" si="28"/>
        <v>0</v>
      </c>
    </row>
    <row r="165" spans="1:23" ht="13.35" customHeight="1" x14ac:dyDescent="0.2">
      <c r="A165" s="235" t="s">
        <v>960</v>
      </c>
      <c r="B165" s="257"/>
      <c r="C165" s="184">
        <f>SD7a!C165+SD7b!C165++SD7e!C165</f>
        <v>0</v>
      </c>
      <c r="D165" s="155">
        <f>SD7a!D165+SD7b!D165++SD7e!D165</f>
        <v>0</v>
      </c>
      <c r="E165" s="156">
        <f>SD7a!E165+SD7b!E165++SD7e!E165</f>
        <v>0</v>
      </c>
      <c r="F165" s="157">
        <f>SD7a!F165+SD7b!F165++SD7e!F165</f>
        <v>0</v>
      </c>
      <c r="G165" s="155">
        <f>SD7a!G165+SD7b!G165++SD7e!G165</f>
        <v>0</v>
      </c>
      <c r="H165" s="158">
        <f>SD7a!H165+SD7b!H165++SD7e!H165</f>
        <v>0</v>
      </c>
      <c r="I165" s="157">
        <f>SD7a!I165+SD7b!I165++SD7e!I165</f>
        <v>0</v>
      </c>
      <c r="J165" s="155">
        <f>SD7a!J165+SD7b!J165++SD7e!J165</f>
        <v>0</v>
      </c>
      <c r="K165" s="158">
        <f>SD7a!K165+SD7b!K165++SD7e!K165</f>
        <v>0</v>
      </c>
    </row>
    <row r="166" spans="1:23" ht="5.0999999999999996" customHeight="1" x14ac:dyDescent="0.2">
      <c r="A166" s="267"/>
      <c r="B166" s="257"/>
      <c r="C166" s="66"/>
      <c r="D166" s="66"/>
      <c r="E166" s="268"/>
      <c r="F166" s="269"/>
      <c r="G166" s="66"/>
      <c r="H166" s="270"/>
      <c r="I166" s="269"/>
      <c r="J166" s="66"/>
      <c r="K166" s="268"/>
    </row>
    <row r="167" spans="1:23" ht="12.75" customHeight="1" x14ac:dyDescent="0.2">
      <c r="A167" s="248" t="s">
        <v>825</v>
      </c>
      <c r="B167" s="282">
        <v>1</v>
      </c>
      <c r="C167" s="283">
        <f>C6+C74+C103+C110+C118+C136+C139+C149+C152+C155+C158+C161+C164</f>
        <v>117385197.39999999</v>
      </c>
      <c r="D167" s="284">
        <f t="shared" ref="D167:K167" si="29">D6+D74+D103+D110+D118+D136+D139+D149+D152+D155+D158+D161+D164</f>
        <v>178299145.59999996</v>
      </c>
      <c r="E167" s="285">
        <f t="shared" si="29"/>
        <v>110238627.13</v>
      </c>
      <c r="F167" s="283">
        <f t="shared" si="29"/>
        <v>169725001</v>
      </c>
      <c r="G167" s="284">
        <f t="shared" si="29"/>
        <v>179285774</v>
      </c>
      <c r="H167" s="285">
        <f t="shared" si="29"/>
        <v>179285774</v>
      </c>
      <c r="I167" s="283">
        <f t="shared" si="29"/>
        <v>217751825.96328667</v>
      </c>
      <c r="J167" s="284">
        <f t="shared" si="29"/>
        <v>143462010.80420658</v>
      </c>
      <c r="K167" s="285">
        <f t="shared" si="29"/>
        <v>126391958.95704556</v>
      </c>
      <c r="M167" s="77"/>
      <c r="N167" s="77"/>
      <c r="O167" s="77"/>
      <c r="P167" s="77"/>
      <c r="Q167" s="77"/>
      <c r="R167" s="77"/>
      <c r="S167" s="77"/>
      <c r="T167" s="77"/>
      <c r="U167" s="77"/>
      <c r="V167" s="77"/>
      <c r="W167" s="77"/>
    </row>
    <row r="168" spans="1:23" ht="12.75" customHeight="1" x14ac:dyDescent="0.2">
      <c r="A168" s="286"/>
      <c r="B168" s="287"/>
      <c r="C168" s="260"/>
      <c r="D168" s="260"/>
      <c r="E168" s="260"/>
      <c r="F168" s="260"/>
      <c r="G168" s="260"/>
      <c r="H168" s="260"/>
      <c r="I168" s="260"/>
      <c r="J168" s="260"/>
      <c r="K168" s="260"/>
      <c r="M168" s="77"/>
      <c r="N168" s="77"/>
      <c r="O168" s="77"/>
      <c r="P168" s="77"/>
      <c r="Q168" s="77"/>
      <c r="R168" s="77"/>
      <c r="S168" s="77"/>
      <c r="T168" s="77"/>
      <c r="U168" s="77"/>
      <c r="V168" s="77"/>
      <c r="W168" s="77"/>
    </row>
    <row r="169" spans="1:23" ht="12.75" customHeight="1" x14ac:dyDescent="0.2">
      <c r="A169" s="288" t="s">
        <v>33</v>
      </c>
      <c r="B169" s="289"/>
      <c r="C169" s="290"/>
      <c r="D169" s="291"/>
      <c r="E169" s="292"/>
      <c r="F169" s="290"/>
      <c r="G169" s="291"/>
      <c r="H169" s="292"/>
      <c r="I169" s="290"/>
      <c r="J169" s="291"/>
      <c r="K169" s="292"/>
      <c r="L169" s="73"/>
      <c r="M169" s="73"/>
      <c r="N169" s="73"/>
    </row>
    <row r="170" spans="1:23" ht="12.75" customHeight="1" x14ac:dyDescent="0.2">
      <c r="A170" s="293" t="s">
        <v>17</v>
      </c>
      <c r="B170" s="116"/>
      <c r="C170" s="294"/>
      <c r="D170" s="295"/>
      <c r="E170" s="296"/>
      <c r="F170" s="297"/>
      <c r="G170" s="295"/>
      <c r="H170" s="298"/>
      <c r="I170" s="297"/>
      <c r="J170" s="295"/>
      <c r="K170" s="298"/>
    </row>
    <row r="171" spans="1:23" ht="12.75" customHeight="1" x14ac:dyDescent="0.2">
      <c r="A171" s="293" t="s">
        <v>125</v>
      </c>
      <c r="B171" s="116"/>
      <c r="C171" s="294"/>
      <c r="D171" s="295"/>
      <c r="E171" s="296"/>
      <c r="F171" s="297"/>
      <c r="G171" s="295"/>
      <c r="H171" s="298"/>
      <c r="I171" s="297"/>
      <c r="J171" s="295"/>
      <c r="K171" s="298"/>
    </row>
    <row r="172" spans="1:23" ht="12.75" customHeight="1" x14ac:dyDescent="0.2">
      <c r="A172" s="293" t="s">
        <v>278</v>
      </c>
      <c r="B172" s="116"/>
      <c r="C172" s="294"/>
      <c r="D172" s="295"/>
      <c r="E172" s="296"/>
      <c r="F172" s="297"/>
      <c r="G172" s="295"/>
      <c r="H172" s="298"/>
      <c r="I172" s="297"/>
      <c r="J172" s="295"/>
      <c r="K172" s="298"/>
    </row>
    <row r="173" spans="1:23" ht="12.75" customHeight="1" x14ac:dyDescent="0.2">
      <c r="A173" s="293" t="s">
        <v>126</v>
      </c>
      <c r="B173" s="116"/>
      <c r="C173" s="294"/>
      <c r="D173" s="295"/>
      <c r="E173" s="296"/>
      <c r="F173" s="297"/>
      <c r="G173" s="295"/>
      <c r="H173" s="298"/>
      <c r="I173" s="297"/>
      <c r="J173" s="295"/>
      <c r="K173" s="298"/>
    </row>
    <row r="174" spans="1:23" ht="12.75" customHeight="1" x14ac:dyDescent="0.2">
      <c r="A174" s="299" t="s">
        <v>388</v>
      </c>
      <c r="B174" s="137"/>
      <c r="C174" s="300">
        <f>SUM(C170:C173)</f>
        <v>0</v>
      </c>
      <c r="D174" s="301">
        <f t="shared" ref="D174:K174" si="30">SUM(D170:D173)</f>
        <v>0</v>
      </c>
      <c r="E174" s="302">
        <f t="shared" si="30"/>
        <v>0</v>
      </c>
      <c r="F174" s="300">
        <f t="shared" si="30"/>
        <v>0</v>
      </c>
      <c r="G174" s="301">
        <f t="shared" si="30"/>
        <v>0</v>
      </c>
      <c r="H174" s="302">
        <f t="shared" si="30"/>
        <v>0</v>
      </c>
      <c r="I174" s="300">
        <f t="shared" si="30"/>
        <v>0</v>
      </c>
      <c r="J174" s="301">
        <f t="shared" si="30"/>
        <v>0</v>
      </c>
      <c r="K174" s="302">
        <f t="shared" si="30"/>
        <v>0</v>
      </c>
      <c r="L174" s="77"/>
      <c r="M174" s="77"/>
      <c r="N174" s="77"/>
      <c r="O174" s="77"/>
      <c r="P174" s="77"/>
      <c r="Q174" s="77"/>
      <c r="R174" s="77"/>
      <c r="S174" s="77"/>
      <c r="T174" s="77"/>
      <c r="U174" s="77"/>
      <c r="V174" s="77"/>
      <c r="W174" s="77"/>
    </row>
    <row r="175" spans="1:23" ht="0.9" customHeight="1" x14ac:dyDescent="0.2">
      <c r="A175" s="303"/>
      <c r="B175" s="116"/>
      <c r="C175" s="184"/>
      <c r="D175" s="155"/>
      <c r="E175" s="156"/>
      <c r="F175" s="157"/>
      <c r="G175" s="155"/>
      <c r="H175" s="158"/>
      <c r="I175" s="157"/>
      <c r="J175" s="155"/>
      <c r="K175" s="158"/>
    </row>
    <row r="176" spans="1:23" ht="12.75" customHeight="1" x14ac:dyDescent="0.2">
      <c r="A176" s="303" t="s">
        <v>269</v>
      </c>
      <c r="B176" s="116">
        <v>3</v>
      </c>
      <c r="C176" s="294"/>
      <c r="D176" s="295"/>
      <c r="E176" s="296"/>
      <c r="F176" s="297"/>
      <c r="G176" s="295"/>
      <c r="H176" s="298"/>
      <c r="I176" s="297"/>
      <c r="J176" s="295"/>
      <c r="K176" s="298"/>
    </row>
    <row r="177" spans="1:12" ht="12.75" customHeight="1" x14ac:dyDescent="0.2">
      <c r="A177" s="303" t="s">
        <v>34</v>
      </c>
      <c r="B177" s="116"/>
      <c r="C177" s="294"/>
      <c r="D177" s="295"/>
      <c r="E177" s="296"/>
      <c r="F177" s="297"/>
      <c r="G177" s="295"/>
      <c r="H177" s="298"/>
      <c r="I177" s="297"/>
      <c r="J177" s="295"/>
      <c r="K177" s="298"/>
    </row>
    <row r="178" spans="1:12" ht="12.75" customHeight="1" x14ac:dyDescent="0.2">
      <c r="A178" s="248" t="s">
        <v>333</v>
      </c>
      <c r="B178" s="249">
        <v>4</v>
      </c>
      <c r="C178" s="250">
        <f>+C174+C176+C177</f>
        <v>0</v>
      </c>
      <c r="D178" s="251">
        <f t="shared" ref="D178:K178" si="31">+D174+D176+D177</f>
        <v>0</v>
      </c>
      <c r="E178" s="304">
        <f t="shared" si="31"/>
        <v>0</v>
      </c>
      <c r="F178" s="250">
        <f t="shared" si="31"/>
        <v>0</v>
      </c>
      <c r="G178" s="251">
        <f t="shared" si="31"/>
        <v>0</v>
      </c>
      <c r="H178" s="304">
        <f t="shared" si="31"/>
        <v>0</v>
      </c>
      <c r="I178" s="250">
        <f t="shared" si="31"/>
        <v>0</v>
      </c>
      <c r="J178" s="251">
        <f t="shared" si="31"/>
        <v>0</v>
      </c>
      <c r="K178" s="304">
        <f t="shared" si="31"/>
        <v>0</v>
      </c>
    </row>
    <row r="179" spans="1:12" ht="12.75" customHeight="1" x14ac:dyDescent="0.2">
      <c r="A179" s="189" t="s">
        <v>162</v>
      </c>
      <c r="B179" s="305"/>
      <c r="C179" s="77"/>
      <c r="D179" s="77"/>
      <c r="E179" s="77"/>
      <c r="F179" s="77"/>
      <c r="G179" s="77"/>
      <c r="H179" s="77"/>
      <c r="I179" s="77"/>
      <c r="J179" s="77"/>
      <c r="K179" s="77"/>
    </row>
    <row r="180" spans="1:12" ht="12.75" customHeight="1" x14ac:dyDescent="0.2">
      <c r="A180" s="136" t="s">
        <v>527</v>
      </c>
      <c r="B180" s="305"/>
      <c r="C180" s="286"/>
      <c r="D180" s="286"/>
      <c r="E180" s="77"/>
      <c r="F180" s="77"/>
      <c r="G180" s="77"/>
      <c r="H180" s="77"/>
      <c r="I180" s="77"/>
      <c r="J180" s="77"/>
      <c r="K180" s="77"/>
    </row>
    <row r="181" spans="1:12" ht="12.75" customHeight="1" x14ac:dyDescent="0.2">
      <c r="A181" s="657" t="s">
        <v>528</v>
      </c>
      <c r="B181" s="657"/>
      <c r="C181" s="657"/>
      <c r="D181" s="657"/>
      <c r="E181" s="657"/>
      <c r="F181" s="657"/>
      <c r="G181" s="657"/>
      <c r="H181" s="657"/>
      <c r="I181" s="657"/>
      <c r="J181" s="657"/>
      <c r="K181" s="657"/>
      <c r="L181" s="657"/>
    </row>
    <row r="182" spans="1:12" ht="12.75" customHeight="1" x14ac:dyDescent="0.2">
      <c r="A182" s="136" t="s">
        <v>529</v>
      </c>
      <c r="B182" s="306"/>
      <c r="C182" s="306"/>
      <c r="D182" s="306"/>
      <c r="E182" s="306"/>
      <c r="F182" s="306"/>
      <c r="G182" s="306"/>
      <c r="H182" s="306"/>
      <c r="I182" s="306"/>
      <c r="J182" s="306"/>
      <c r="K182" s="306"/>
    </row>
    <row r="183" spans="1:12" ht="12.75" customHeight="1" x14ac:dyDescent="0.2">
      <c r="A183" s="136" t="s">
        <v>530</v>
      </c>
      <c r="B183" s="306"/>
      <c r="C183" s="306"/>
      <c r="D183" s="306"/>
      <c r="E183" s="306"/>
      <c r="F183" s="306"/>
      <c r="G183" s="306"/>
      <c r="H183" s="306"/>
      <c r="I183" s="306"/>
      <c r="J183" s="306"/>
      <c r="K183" s="306"/>
    </row>
    <row r="184" spans="1:12" ht="12.75" customHeight="1" x14ac:dyDescent="0.2">
      <c r="A184" s="136"/>
      <c r="B184" s="305"/>
      <c r="C184" s="286"/>
      <c r="D184" s="286"/>
      <c r="E184" s="77"/>
      <c r="F184" s="77"/>
      <c r="G184" s="77"/>
      <c r="H184" s="77"/>
      <c r="I184" s="77"/>
      <c r="J184" s="77"/>
      <c r="K184" s="77"/>
    </row>
    <row r="185" spans="1:12" ht="12.75" customHeight="1" x14ac:dyDescent="0.2">
      <c r="B185" s="305"/>
      <c r="C185" s="286"/>
      <c r="D185" s="286"/>
      <c r="E185" s="77"/>
      <c r="F185" s="77"/>
      <c r="G185" s="77"/>
      <c r="H185" s="77"/>
      <c r="I185" s="77"/>
      <c r="J185" s="77"/>
      <c r="K185" s="77"/>
    </row>
    <row r="186" spans="1:12" ht="12.75" customHeight="1" x14ac:dyDescent="0.2">
      <c r="A186" s="136"/>
      <c r="B186" s="305"/>
      <c r="C186" s="286"/>
      <c r="D186" s="286"/>
      <c r="E186" s="77"/>
      <c r="F186" s="77"/>
      <c r="G186" s="77"/>
      <c r="H186" s="77"/>
      <c r="I186" s="77"/>
      <c r="J186" s="77"/>
      <c r="K186" s="77"/>
    </row>
    <row r="187" spans="1:12" ht="11.25" customHeight="1" x14ac:dyDescent="0.2">
      <c r="A187" s="307" t="s">
        <v>124</v>
      </c>
      <c r="B187" s="308"/>
      <c r="C187" s="309">
        <f>C167-(SD7a!C167+SD7b!C167++SD7e!C167)</f>
        <v>0</v>
      </c>
      <c r="D187" s="309">
        <f>D167-(SD7a!D167+SD7b!D167++SD7e!D167)</f>
        <v>0</v>
      </c>
      <c r="E187" s="309">
        <f>E167-(SD7a!E167+SD7b!E167++SD7e!E167)</f>
        <v>0</v>
      </c>
      <c r="F187" s="309">
        <f>F167-(SD7a!F167+SD7b!F167++SD7e!F167)</f>
        <v>0</v>
      </c>
      <c r="G187" s="309">
        <f>G167-(SD7a!G167+SD7b!G167++SD7e!G167)</f>
        <v>0</v>
      </c>
      <c r="H187" s="309">
        <f>H167-(SD7a!H167+SD7b!H167++SD7e!H167)</f>
        <v>0</v>
      </c>
      <c r="I187" s="309">
        <f>I167-(SD7a!I167+SD7b!I167++SD7e!I167)</f>
        <v>0</v>
      </c>
      <c r="J187" s="309">
        <f>J167-(SD7a!J167+SD7b!J167++SD7e!J167)</f>
        <v>0</v>
      </c>
      <c r="K187" s="309">
        <f>K167-(SD7a!K167+SD7b!K167++SD7e!K167)</f>
        <v>0</v>
      </c>
    </row>
    <row r="188" spans="1:12" ht="11.25" customHeight="1" x14ac:dyDescent="0.2">
      <c r="A188" s="86"/>
    </row>
    <row r="189" spans="1:12" ht="11.25" customHeight="1" x14ac:dyDescent="0.2"/>
    <row r="190" spans="1:12" ht="11.25" customHeight="1" x14ac:dyDescent="0.2"/>
    <row r="191" spans="1:12" ht="11.25" customHeight="1" x14ac:dyDescent="0.2"/>
    <row r="192" spans="1:1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sheetData>
  <sheetProtection algorithmName="SHA-512" hashValue="JmWhI1h+/nlgt/ahUj62YY+OzGjE+6vmS0WF6oYsrOUgprrKW6zDBluAMLYB0ros7y9XE9aOte4RR6gxjDwBIQ==" saltValue="SJMj5DgdknAKQy8IgFcfmA==" spinCount="100000"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2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8">
    <pageSetUpPr fitToPage="1"/>
  </sheetPr>
  <dimension ref="A1:W88"/>
  <sheetViews>
    <sheetView showGridLines="0" zoomScaleNormal="100" workbookViewId="0">
      <pane xSplit="2" ySplit="3" topLeftCell="C38" activePane="bottomRight" state="frozen"/>
      <selection activeCell="A23" sqref="A23"/>
      <selection pane="topRight" activeCell="A23" sqref="A23"/>
      <selection pane="bottomLeft" activeCell="A23" sqref="A23"/>
      <selection pane="bottomRight" sqref="A1:K48"/>
    </sheetView>
  </sheetViews>
  <sheetFormatPr defaultColWidth="9.109375" defaultRowHeight="10.199999999999999" x14ac:dyDescent="0.2"/>
  <cols>
    <col min="1" max="1" width="30.6640625" style="59" customWidth="1"/>
    <col min="2" max="2" width="3.109375" style="58" customWidth="1"/>
    <col min="3" max="11" width="8.6640625" style="59" customWidth="1"/>
    <col min="12" max="12" width="10.44140625" style="59" bestFit="1"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23" ht="13.8" x14ac:dyDescent="0.3">
      <c r="A1" s="57" t="str">
        <f>_MEB3</f>
        <v>Centlec (Soc) Ltd - Table D4 Budgeted Financial Position</v>
      </c>
    </row>
    <row r="2" spans="1:23" s="133" customFormat="1" ht="27" customHeight="1" x14ac:dyDescent="0.2">
      <c r="A2" s="125" t="str">
        <f>desc</f>
        <v>Description</v>
      </c>
      <c r="B2" s="252" t="str">
        <f>head27</f>
        <v>Ref</v>
      </c>
      <c r="C2" s="100" t="str">
        <f>head1b</f>
        <v>2017/18</v>
      </c>
      <c r="D2" s="60" t="str">
        <f>head1A</f>
        <v>2018/19</v>
      </c>
      <c r="E2" s="61" t="str">
        <f>Head1</f>
        <v>2019/20</v>
      </c>
      <c r="F2" s="654" t="str">
        <f>Head2</f>
        <v>Current Year 2020/21</v>
      </c>
      <c r="G2" s="658"/>
      <c r="H2" s="659"/>
      <c r="I2" s="62" t="str">
        <f>Head3a</f>
        <v>Medium Term Revenue and Expenditure Framework</v>
      </c>
      <c r="J2" s="63"/>
      <c r="K2" s="64"/>
    </row>
    <row r="3" spans="1:23" s="133" customFormat="1" ht="27" customHeight="1" x14ac:dyDescent="0.2">
      <c r="A3" s="234" t="s">
        <v>183</v>
      </c>
      <c r="B3" s="310"/>
      <c r="C3" s="129" t="str">
        <f>Head5</f>
        <v>Audited Outcome</v>
      </c>
      <c r="D3" s="130" t="str">
        <f>Head5</f>
        <v>Audited Outcome</v>
      </c>
      <c r="E3" s="128" t="str">
        <f>Head5</f>
        <v>Audited Outcome</v>
      </c>
      <c r="F3" s="131" t="str">
        <f>Head6</f>
        <v>Original Budget</v>
      </c>
      <c r="G3" s="127" t="str">
        <f>Head7</f>
        <v>Adjusted Budget</v>
      </c>
      <c r="H3" s="128" t="str">
        <f>Head8</f>
        <v>Full Year Forecast</v>
      </c>
      <c r="I3" s="131" t="str">
        <f>Head9</f>
        <v>Budget Year 2021/22</v>
      </c>
      <c r="J3" s="127" t="str">
        <f>Head10</f>
        <v>Budget Year +1 2022/23</v>
      </c>
      <c r="K3" s="128" t="str">
        <f>Head11</f>
        <v>Budget Year +2 2023/24</v>
      </c>
    </row>
    <row r="4" spans="1:23" ht="12.75" customHeight="1" x14ac:dyDescent="0.2">
      <c r="A4" s="79" t="s">
        <v>78</v>
      </c>
      <c r="B4" s="116"/>
      <c r="C4" s="68"/>
      <c r="D4" s="66"/>
      <c r="E4" s="67"/>
      <c r="F4" s="68"/>
      <c r="G4" s="66"/>
      <c r="H4" s="67"/>
      <c r="I4" s="68"/>
      <c r="J4" s="66"/>
      <c r="K4" s="67"/>
    </row>
    <row r="5" spans="1:23" ht="12.75" customHeight="1" x14ac:dyDescent="0.2">
      <c r="A5" s="79" t="s">
        <v>79</v>
      </c>
      <c r="B5" s="116"/>
      <c r="C5" s="68"/>
      <c r="D5" s="66"/>
      <c r="E5" s="67"/>
      <c r="F5" s="68"/>
      <c r="G5" s="66"/>
      <c r="H5" s="67"/>
      <c r="I5" s="68"/>
      <c r="J5" s="66"/>
      <c r="K5" s="67"/>
    </row>
    <row r="6" spans="1:23" ht="12.75" customHeight="1" x14ac:dyDescent="0.2">
      <c r="A6" s="70" t="s">
        <v>273</v>
      </c>
      <c r="B6" s="116"/>
      <c r="C6" s="236">
        <v>81467989</v>
      </c>
      <c r="D6" s="237">
        <v>13555909</v>
      </c>
      <c r="E6" s="238">
        <v>32388423.559999999</v>
      </c>
      <c r="F6" s="236">
        <v>61140313</v>
      </c>
      <c r="G6" s="237">
        <v>84119392.200000003</v>
      </c>
      <c r="H6" s="238">
        <v>84119392.200000003</v>
      </c>
      <c r="I6" s="236">
        <v>87568287.28019999</v>
      </c>
      <c r="J6" s="237">
        <v>91421291.920528799</v>
      </c>
      <c r="K6" s="238">
        <v>95535250.056952596</v>
      </c>
    </row>
    <row r="7" spans="1:23" ht="12.75" customHeight="1" x14ac:dyDescent="0.2">
      <c r="A7" s="70" t="s">
        <v>123</v>
      </c>
      <c r="B7" s="116"/>
      <c r="C7" s="236">
        <v>53265198</v>
      </c>
      <c r="D7" s="237"/>
      <c r="E7" s="238">
        <v>5008.26</v>
      </c>
      <c r="F7" s="236">
        <v>66211200</v>
      </c>
      <c r="G7" s="237">
        <v>1135909.200000003</v>
      </c>
      <c r="H7" s="238">
        <v>1135909.200000003</v>
      </c>
      <c r="I7" s="236">
        <v>1182481.4771999998</v>
      </c>
      <c r="J7" s="237">
        <v>1234510.6621967999</v>
      </c>
      <c r="K7" s="238">
        <v>1290063.6419956558</v>
      </c>
    </row>
    <row r="8" spans="1:23" ht="12.75" customHeight="1" x14ac:dyDescent="0.2">
      <c r="A8" s="70" t="s">
        <v>121</v>
      </c>
      <c r="B8" s="116"/>
      <c r="C8" s="236">
        <v>586442019</v>
      </c>
      <c r="D8" s="237">
        <v>768845276</v>
      </c>
      <c r="E8" s="238">
        <v>866023795.90999997</v>
      </c>
      <c r="F8" s="236">
        <v>780620514</v>
      </c>
      <c r="G8" s="237">
        <v>887921264.18831301</v>
      </c>
      <c r="H8" s="238">
        <v>887921264.18831301</v>
      </c>
      <c r="I8" s="236">
        <v>924326036.02003372</v>
      </c>
      <c r="J8" s="237">
        <v>964996381.60491526</v>
      </c>
      <c r="K8" s="238">
        <v>1008421218.7771363</v>
      </c>
    </row>
    <row r="9" spans="1:23" ht="12.75" customHeight="1" x14ac:dyDescent="0.2">
      <c r="A9" s="70" t="s">
        <v>122</v>
      </c>
      <c r="B9" s="116"/>
      <c r="C9" s="236">
        <v>275470</v>
      </c>
      <c r="D9" s="237"/>
      <c r="E9" s="238">
        <v>2670039692.0700002</v>
      </c>
      <c r="F9" s="236"/>
      <c r="G9" s="237">
        <v>64082629.199999996</v>
      </c>
      <c r="H9" s="238">
        <v>64082629.199999996</v>
      </c>
      <c r="I9" s="236">
        <v>66710016.99719999</v>
      </c>
      <c r="J9" s="237">
        <v>69645257.74507679</v>
      </c>
      <c r="K9" s="238">
        <v>72779294.343605235</v>
      </c>
    </row>
    <row r="10" spans="1:23" ht="12.75" customHeight="1" x14ac:dyDescent="0.2">
      <c r="A10" s="70" t="s">
        <v>274</v>
      </c>
      <c r="B10" s="116"/>
      <c r="C10" s="236">
        <v>67030116</v>
      </c>
      <c r="D10" s="237">
        <v>67336576</v>
      </c>
      <c r="E10" s="238"/>
      <c r="F10" s="236"/>
      <c r="G10" s="237"/>
      <c r="H10" s="238"/>
      <c r="I10" s="236"/>
      <c r="J10" s="237"/>
      <c r="K10" s="238"/>
    </row>
    <row r="11" spans="1:23" ht="12.75" customHeight="1" x14ac:dyDescent="0.2">
      <c r="A11" s="70" t="s">
        <v>120</v>
      </c>
      <c r="B11" s="116"/>
      <c r="C11" s="236">
        <v>99748852</v>
      </c>
      <c r="D11" s="237">
        <v>87664166</v>
      </c>
      <c r="E11" s="238">
        <v>107776047.2</v>
      </c>
      <c r="F11" s="236">
        <v>93799202</v>
      </c>
      <c r="G11" s="237">
        <v>95275994.599999994</v>
      </c>
      <c r="H11" s="238">
        <v>95275994.599999994</v>
      </c>
      <c r="I11" s="236">
        <v>99182310.378599986</v>
      </c>
      <c r="J11" s="237">
        <v>103546332.03525838</v>
      </c>
      <c r="K11" s="238">
        <v>108205916.976845</v>
      </c>
    </row>
    <row r="12" spans="1:23" ht="12.75" customHeight="1" x14ac:dyDescent="0.2">
      <c r="A12" s="135" t="s">
        <v>150</v>
      </c>
      <c r="B12" s="134"/>
      <c r="C12" s="76">
        <f>SUM(C6:C11)</f>
        <v>888229644</v>
      </c>
      <c r="D12" s="74">
        <f>SUM(D6:D11)</f>
        <v>937401927</v>
      </c>
      <c r="E12" s="75">
        <f>SUM(E6:E11)</f>
        <v>3676232967</v>
      </c>
      <c r="F12" s="76">
        <f t="shared" ref="F12:K12" si="0">SUM(F6:F11)</f>
        <v>1001771229</v>
      </c>
      <c r="G12" s="74">
        <f t="shared" si="0"/>
        <v>1132535189.3883131</v>
      </c>
      <c r="H12" s="75">
        <f t="shared" si="0"/>
        <v>1132535189.3883131</v>
      </c>
      <c r="I12" s="76">
        <f t="shared" si="0"/>
        <v>1178969132.1532335</v>
      </c>
      <c r="J12" s="74">
        <f t="shared" si="0"/>
        <v>1230843773.9679761</v>
      </c>
      <c r="K12" s="75">
        <f t="shared" si="0"/>
        <v>1286231743.7965348</v>
      </c>
      <c r="L12" s="77"/>
      <c r="M12" s="77"/>
      <c r="N12" s="77"/>
      <c r="O12" s="77"/>
      <c r="P12" s="77"/>
      <c r="Q12" s="77"/>
      <c r="R12" s="77"/>
      <c r="S12" s="77"/>
      <c r="T12" s="77"/>
      <c r="U12" s="77"/>
      <c r="V12" s="77"/>
      <c r="W12" s="77"/>
    </row>
    <row r="13" spans="1:23" ht="5.0999999999999996" customHeight="1" x14ac:dyDescent="0.2">
      <c r="A13" s="78"/>
      <c r="B13" s="116"/>
      <c r="C13" s="68"/>
      <c r="D13" s="66"/>
      <c r="E13" s="67"/>
      <c r="F13" s="68"/>
      <c r="G13" s="66"/>
      <c r="H13" s="67"/>
      <c r="I13" s="68"/>
      <c r="J13" s="66"/>
      <c r="K13" s="67"/>
    </row>
    <row r="14" spans="1:23" ht="13.5" customHeight="1" x14ac:dyDescent="0.2">
      <c r="A14" s="79" t="s">
        <v>21</v>
      </c>
      <c r="B14" s="116"/>
      <c r="C14" s="68"/>
      <c r="D14" s="66"/>
      <c r="E14" s="67"/>
      <c r="F14" s="68"/>
      <c r="G14" s="66"/>
      <c r="H14" s="67"/>
      <c r="I14" s="68"/>
      <c r="J14" s="66"/>
      <c r="K14" s="67"/>
    </row>
    <row r="15" spans="1:23" ht="12.75" customHeight="1" x14ac:dyDescent="0.2">
      <c r="A15" s="70" t="s">
        <v>119</v>
      </c>
      <c r="B15" s="116">
        <v>3</v>
      </c>
      <c r="C15" s="236">
        <v>4566241</v>
      </c>
      <c r="D15" s="237">
        <v>4190063</v>
      </c>
      <c r="E15" s="238"/>
      <c r="F15" s="236"/>
      <c r="G15" s="237"/>
      <c r="H15" s="238"/>
      <c r="I15" s="236"/>
      <c r="J15" s="237"/>
      <c r="K15" s="238"/>
    </row>
    <row r="16" spans="1:23" ht="12.75" customHeight="1" x14ac:dyDescent="0.2">
      <c r="A16" s="70" t="s">
        <v>80</v>
      </c>
      <c r="B16" s="116"/>
      <c r="C16" s="236"/>
      <c r="D16" s="237"/>
      <c r="E16" s="238"/>
      <c r="F16" s="236"/>
      <c r="G16" s="237"/>
      <c r="H16" s="238"/>
      <c r="I16" s="236"/>
      <c r="J16" s="237"/>
      <c r="K16" s="238"/>
    </row>
    <row r="17" spans="1:23" ht="12.75" customHeight="1" x14ac:dyDescent="0.2">
      <c r="A17" s="70" t="s">
        <v>118</v>
      </c>
      <c r="B17" s="116"/>
      <c r="C17" s="236"/>
      <c r="D17" s="237"/>
      <c r="E17" s="238"/>
      <c r="F17" s="236"/>
      <c r="G17" s="237"/>
      <c r="H17" s="238"/>
      <c r="I17" s="236"/>
      <c r="J17" s="237"/>
      <c r="K17" s="238"/>
    </row>
    <row r="18" spans="1:23" s="73" customFormat="1" ht="12.75" customHeight="1" x14ac:dyDescent="0.2">
      <c r="A18" s="241" t="s">
        <v>822</v>
      </c>
      <c r="B18" s="311"/>
      <c r="C18" s="236"/>
      <c r="D18" s="237"/>
      <c r="E18" s="238">
        <v>1124000</v>
      </c>
      <c r="F18" s="236"/>
      <c r="G18" s="237"/>
      <c r="H18" s="238"/>
      <c r="I18" s="236"/>
      <c r="J18" s="237"/>
      <c r="K18" s="238"/>
    </row>
    <row r="19" spans="1:23" ht="12.75" customHeight="1" x14ac:dyDescent="0.2">
      <c r="A19" s="70" t="s">
        <v>117</v>
      </c>
      <c r="B19" s="116">
        <v>1</v>
      </c>
      <c r="C19" s="236">
        <v>3809366681</v>
      </c>
      <c r="D19" s="237">
        <v>3851457000</v>
      </c>
      <c r="E19" s="238">
        <v>6684549000</v>
      </c>
      <c r="F19" s="236">
        <v>4090781322</v>
      </c>
      <c r="G19" s="237">
        <v>6806984138</v>
      </c>
      <c r="H19" s="238">
        <v>6806984138</v>
      </c>
      <c r="I19" s="236">
        <v>6985684830.0805311</v>
      </c>
      <c r="J19" s="237">
        <v>7137086929.1712599</v>
      </c>
      <c r="K19" s="238">
        <v>7295528637.9260702</v>
      </c>
    </row>
    <row r="20" spans="1:23" s="73" customFormat="1" ht="0.9" customHeight="1" x14ac:dyDescent="0.2">
      <c r="A20" s="70"/>
      <c r="B20" s="311"/>
      <c r="C20" s="157"/>
      <c r="D20" s="155"/>
      <c r="E20" s="158"/>
      <c r="F20" s="157"/>
      <c r="G20" s="155"/>
      <c r="H20" s="158"/>
      <c r="I20" s="157"/>
      <c r="J20" s="155"/>
      <c r="K20" s="158"/>
    </row>
    <row r="21" spans="1:23" s="73" customFormat="1" ht="12.75" customHeight="1" x14ac:dyDescent="0.2">
      <c r="A21" s="70" t="s">
        <v>823</v>
      </c>
      <c r="B21" s="311"/>
      <c r="C21" s="236"/>
      <c r="D21" s="237"/>
      <c r="E21" s="238"/>
      <c r="F21" s="236"/>
      <c r="G21" s="237"/>
      <c r="H21" s="238"/>
      <c r="I21" s="236"/>
      <c r="J21" s="237"/>
      <c r="K21" s="238"/>
    </row>
    <row r="22" spans="1:23" s="73" customFormat="1" ht="12.75" customHeight="1" x14ac:dyDescent="0.2">
      <c r="A22" s="70" t="s">
        <v>824</v>
      </c>
      <c r="B22" s="311"/>
      <c r="C22" s="236">
        <v>100820124</v>
      </c>
      <c r="D22" s="237">
        <v>96862893</v>
      </c>
      <c r="E22" s="238">
        <v>81638000</v>
      </c>
      <c r="F22" s="236">
        <v>86237197</v>
      </c>
      <c r="G22" s="237">
        <v>99070212</v>
      </c>
      <c r="H22" s="238">
        <v>99070212</v>
      </c>
      <c r="I22" s="236">
        <v>102393384.84899999</v>
      </c>
      <c r="J22" s="237">
        <v>105862777.30335599</v>
      </c>
      <c r="K22" s="238">
        <v>109488292.41815801</v>
      </c>
    </row>
    <row r="23" spans="1:23" s="73" customFormat="1" ht="12.75" customHeight="1" x14ac:dyDescent="0.2">
      <c r="A23" s="241" t="s">
        <v>811</v>
      </c>
      <c r="B23" s="311"/>
      <c r="C23" s="236">
        <v>300817107</v>
      </c>
      <c r="D23" s="237">
        <v>454432719</v>
      </c>
      <c r="E23" s="238">
        <v>1296498000</v>
      </c>
      <c r="F23" s="236">
        <v>254080194</v>
      </c>
      <c r="G23" s="237">
        <v>1245487293.6399999</v>
      </c>
      <c r="H23" s="238">
        <v>1245487293.6399999</v>
      </c>
      <c r="I23" s="236">
        <v>1296241996.0982397</v>
      </c>
      <c r="J23" s="237">
        <v>1352975941.2025623</v>
      </c>
      <c r="K23" s="238">
        <v>1413570978.5116775</v>
      </c>
    </row>
    <row r="24" spans="1:23" ht="12.75" customHeight="1" x14ac:dyDescent="0.2">
      <c r="A24" s="135" t="s">
        <v>149</v>
      </c>
      <c r="B24" s="134"/>
      <c r="C24" s="76">
        <f>SUM(C15:C19)+SUM(C21:C23)</f>
        <v>4215570153</v>
      </c>
      <c r="D24" s="74">
        <f t="shared" ref="D24:K24" si="1">SUM(D15:D19)+SUM(D21:D23)</f>
        <v>4406942675</v>
      </c>
      <c r="E24" s="75">
        <f t="shared" si="1"/>
        <v>8063809000</v>
      </c>
      <c r="F24" s="76">
        <f t="shared" si="1"/>
        <v>4431098713</v>
      </c>
      <c r="G24" s="74">
        <f t="shared" si="1"/>
        <v>8151541643.6399994</v>
      </c>
      <c r="H24" s="75">
        <f t="shared" si="1"/>
        <v>8151541643.6399994</v>
      </c>
      <c r="I24" s="76">
        <f t="shared" si="1"/>
        <v>8384320211.027771</v>
      </c>
      <c r="J24" s="74">
        <f t="shared" si="1"/>
        <v>8595925647.6771774</v>
      </c>
      <c r="K24" s="75">
        <f t="shared" si="1"/>
        <v>8818587908.8559055</v>
      </c>
      <c r="L24" s="77"/>
      <c r="M24" s="77"/>
      <c r="N24" s="77"/>
      <c r="O24" s="77"/>
      <c r="P24" s="77"/>
      <c r="Q24" s="77"/>
      <c r="R24" s="77"/>
      <c r="S24" s="77"/>
      <c r="T24" s="77"/>
      <c r="U24" s="77"/>
      <c r="V24" s="77"/>
      <c r="W24" s="77"/>
    </row>
    <row r="25" spans="1:23" ht="12.75" customHeight="1" x14ac:dyDescent="0.2">
      <c r="A25" s="135" t="s">
        <v>267</v>
      </c>
      <c r="B25" s="134"/>
      <c r="C25" s="76">
        <f>C12+C24</f>
        <v>5103799797</v>
      </c>
      <c r="D25" s="74">
        <f>D12+D24</f>
        <v>5344344602</v>
      </c>
      <c r="E25" s="75">
        <f>E12+E24</f>
        <v>11740041967</v>
      </c>
      <c r="F25" s="76">
        <f t="shared" ref="F25:K25" si="2">F12+F24</f>
        <v>5432869942</v>
      </c>
      <c r="G25" s="74">
        <f t="shared" si="2"/>
        <v>9284076833.0283127</v>
      </c>
      <c r="H25" s="75">
        <f t="shared" si="2"/>
        <v>9284076833.0283127</v>
      </c>
      <c r="I25" s="76">
        <f t="shared" si="2"/>
        <v>9563289343.1810036</v>
      </c>
      <c r="J25" s="74">
        <f t="shared" si="2"/>
        <v>9826769421.645153</v>
      </c>
      <c r="K25" s="75">
        <f t="shared" si="2"/>
        <v>10104819652.652441</v>
      </c>
      <c r="L25" s="77"/>
      <c r="M25" s="77"/>
      <c r="N25" s="77"/>
      <c r="O25" s="77"/>
      <c r="P25" s="77"/>
      <c r="Q25" s="77"/>
      <c r="R25" s="77"/>
      <c r="S25" s="77"/>
      <c r="T25" s="77"/>
      <c r="U25" s="77"/>
      <c r="V25" s="77"/>
      <c r="W25" s="77"/>
    </row>
    <row r="26" spans="1:23" ht="5.0999999999999996" customHeight="1" x14ac:dyDescent="0.2">
      <c r="A26" s="78"/>
      <c r="B26" s="116"/>
      <c r="C26" s="68"/>
      <c r="D26" s="66"/>
      <c r="E26" s="67"/>
      <c r="F26" s="68"/>
      <c r="G26" s="66"/>
      <c r="H26" s="67"/>
      <c r="I26" s="68"/>
      <c r="J26" s="66"/>
      <c r="K26" s="67"/>
    </row>
    <row r="27" spans="1:23" ht="12.75" customHeight="1" x14ac:dyDescent="0.2">
      <c r="A27" s="79" t="s">
        <v>22</v>
      </c>
      <c r="B27" s="116"/>
      <c r="C27" s="68"/>
      <c r="D27" s="66"/>
      <c r="E27" s="67"/>
      <c r="F27" s="68"/>
      <c r="G27" s="66"/>
      <c r="H27" s="67"/>
      <c r="I27" s="68"/>
      <c r="J27" s="66"/>
      <c r="K27" s="67"/>
    </row>
    <row r="28" spans="1:23" ht="12.75" customHeight="1" x14ac:dyDescent="0.2">
      <c r="A28" s="79" t="s">
        <v>81</v>
      </c>
      <c r="B28" s="312"/>
      <c r="C28" s="68"/>
      <c r="D28" s="66"/>
      <c r="E28" s="67"/>
      <c r="F28" s="68"/>
      <c r="G28" s="66"/>
      <c r="H28" s="67"/>
      <c r="I28" s="68"/>
      <c r="J28" s="66"/>
      <c r="K28" s="67"/>
    </row>
    <row r="29" spans="1:23" ht="12.75" customHeight="1" x14ac:dyDescent="0.2">
      <c r="A29" s="70" t="s">
        <v>240</v>
      </c>
      <c r="B29" s="116"/>
      <c r="C29" s="236"/>
      <c r="D29" s="237"/>
      <c r="E29" s="238"/>
      <c r="F29" s="236"/>
      <c r="G29" s="237"/>
      <c r="H29" s="238"/>
      <c r="I29" s="236"/>
      <c r="J29" s="237"/>
      <c r="K29" s="238"/>
    </row>
    <row r="30" spans="1:23" ht="12.75" customHeight="1" x14ac:dyDescent="0.2">
      <c r="A30" s="70" t="s">
        <v>269</v>
      </c>
      <c r="B30" s="116"/>
      <c r="C30" s="236"/>
      <c r="D30" s="237">
        <v>20282000</v>
      </c>
      <c r="E30" s="238"/>
      <c r="F30" s="236">
        <v>24257459</v>
      </c>
      <c r="G30" s="237">
        <v>24257459</v>
      </c>
      <c r="H30" s="238">
        <v>24257459</v>
      </c>
      <c r="I30" s="236">
        <v>25252014.818999998</v>
      </c>
      <c r="J30" s="237">
        <v>26363103.471035998</v>
      </c>
      <c r="K30" s="238">
        <v>27549443.127232615</v>
      </c>
    </row>
    <row r="31" spans="1:23" ht="12.75" customHeight="1" x14ac:dyDescent="0.2">
      <c r="A31" s="70" t="s">
        <v>116</v>
      </c>
      <c r="B31" s="116"/>
      <c r="C31" s="236">
        <v>114471056</v>
      </c>
      <c r="D31" s="237">
        <v>115053108</v>
      </c>
      <c r="E31" s="238">
        <v>127725026.18000001</v>
      </c>
      <c r="F31" s="236">
        <v>100626795</v>
      </c>
      <c r="G31" s="237">
        <v>120279352.40000001</v>
      </c>
      <c r="H31" s="238">
        <v>120279352.40000001</v>
      </c>
      <c r="I31" s="236">
        <v>125210805.8484</v>
      </c>
      <c r="J31" s="237">
        <v>130720081.3057296</v>
      </c>
      <c r="K31" s="238">
        <v>136602484.96448743</v>
      </c>
    </row>
    <row r="32" spans="1:23" ht="12.75" customHeight="1" x14ac:dyDescent="0.2">
      <c r="A32" s="70" t="s">
        <v>275</v>
      </c>
      <c r="B32" s="116"/>
      <c r="C32" s="236">
        <v>565612500</v>
      </c>
      <c r="D32" s="237">
        <v>855978393</v>
      </c>
      <c r="E32" s="238">
        <v>5066052204.7200003</v>
      </c>
      <c r="F32" s="236">
        <v>538824438</v>
      </c>
      <c r="G32" s="237">
        <v>714917185.83516073</v>
      </c>
      <c r="H32" s="238">
        <v>714917185.83516073</v>
      </c>
      <c r="I32" s="236">
        <v>744228790.45440233</v>
      </c>
      <c r="J32" s="237">
        <v>776974857.2343961</v>
      </c>
      <c r="K32" s="238">
        <v>811938725.80994391</v>
      </c>
    </row>
    <row r="33" spans="1:23" ht="12.75" customHeight="1" x14ac:dyDescent="0.2">
      <c r="A33" s="70" t="s">
        <v>82</v>
      </c>
      <c r="B33" s="116">
        <v>3</v>
      </c>
      <c r="C33" s="236"/>
      <c r="D33" s="237">
        <v>31374286</v>
      </c>
      <c r="E33" s="238">
        <v>36024307.159999996</v>
      </c>
      <c r="F33" s="236">
        <v>34863543</v>
      </c>
      <c r="G33" s="237">
        <v>34863543</v>
      </c>
      <c r="H33" s="238">
        <v>34863543</v>
      </c>
      <c r="I33" s="236">
        <v>36292948.262999997</v>
      </c>
      <c r="J33" s="237">
        <v>37889837.986571997</v>
      </c>
      <c r="K33" s="238">
        <v>39594880.695967734</v>
      </c>
    </row>
    <row r="34" spans="1:23" ht="12.75" customHeight="1" x14ac:dyDescent="0.2">
      <c r="A34" s="135" t="s">
        <v>25</v>
      </c>
      <c r="B34" s="134"/>
      <c r="C34" s="76">
        <f t="shared" ref="C34:K34" si="3">SUM(C29:C33)</f>
        <v>680083556</v>
      </c>
      <c r="D34" s="74">
        <f t="shared" si="3"/>
        <v>1022687787</v>
      </c>
      <c r="E34" s="75">
        <f t="shared" si="3"/>
        <v>5229801538.0600004</v>
      </c>
      <c r="F34" s="76">
        <f t="shared" si="3"/>
        <v>698572235</v>
      </c>
      <c r="G34" s="74">
        <f t="shared" si="3"/>
        <v>894317540.23516071</v>
      </c>
      <c r="H34" s="75">
        <f t="shared" si="3"/>
        <v>894317540.23516071</v>
      </c>
      <c r="I34" s="76">
        <f t="shared" si="3"/>
        <v>930984559.38480234</v>
      </c>
      <c r="J34" s="74">
        <f t="shared" si="3"/>
        <v>971947879.99773371</v>
      </c>
      <c r="K34" s="75">
        <f t="shared" si="3"/>
        <v>1015685534.5976317</v>
      </c>
      <c r="L34" s="77"/>
      <c r="M34" s="77"/>
      <c r="N34" s="77"/>
      <c r="O34" s="77"/>
      <c r="P34" s="77"/>
      <c r="Q34" s="77"/>
      <c r="R34" s="77"/>
      <c r="S34" s="77"/>
      <c r="T34" s="77"/>
      <c r="U34" s="77"/>
      <c r="V34" s="77"/>
      <c r="W34" s="77"/>
    </row>
    <row r="35" spans="1:23" ht="5.0999999999999996" customHeight="1" x14ac:dyDescent="0.2">
      <c r="A35" s="78"/>
      <c r="B35" s="116"/>
      <c r="C35" s="68"/>
      <c r="D35" s="66"/>
      <c r="E35" s="67"/>
      <c r="F35" s="68"/>
      <c r="G35" s="66"/>
      <c r="H35" s="67"/>
      <c r="I35" s="68"/>
      <c r="J35" s="66"/>
      <c r="K35" s="67"/>
    </row>
    <row r="36" spans="1:23" ht="12.75" customHeight="1" x14ac:dyDescent="0.2">
      <c r="A36" s="79" t="s">
        <v>23</v>
      </c>
      <c r="B36" s="116"/>
      <c r="C36" s="68"/>
      <c r="D36" s="66"/>
      <c r="E36" s="67"/>
      <c r="F36" s="68"/>
      <c r="G36" s="66"/>
      <c r="H36" s="67"/>
      <c r="I36" s="68"/>
      <c r="J36" s="66"/>
      <c r="K36" s="67"/>
    </row>
    <row r="37" spans="1:23" ht="12.75" customHeight="1" x14ac:dyDescent="0.2">
      <c r="A37" s="70" t="s">
        <v>269</v>
      </c>
      <c r="B37" s="116"/>
      <c r="C37" s="236"/>
      <c r="D37" s="237"/>
      <c r="E37" s="238"/>
      <c r="F37" s="236"/>
      <c r="G37" s="237"/>
      <c r="H37" s="238"/>
      <c r="I37" s="236"/>
      <c r="J37" s="237"/>
      <c r="K37" s="238"/>
    </row>
    <row r="38" spans="1:23" ht="12.75" customHeight="1" x14ac:dyDescent="0.2">
      <c r="A38" s="70" t="s">
        <v>82</v>
      </c>
      <c r="B38" s="116">
        <v>3</v>
      </c>
      <c r="C38" s="236">
        <v>594244899</v>
      </c>
      <c r="D38" s="237">
        <v>687953110.80999994</v>
      </c>
      <c r="E38" s="238">
        <v>1504031870.0699999</v>
      </c>
      <c r="F38" s="236">
        <v>654340825</v>
      </c>
      <c r="G38" s="237">
        <v>1564542184.8</v>
      </c>
      <c r="H38" s="238">
        <v>1564542184.8</v>
      </c>
      <c r="I38" s="236">
        <v>1628688414.3767998</v>
      </c>
      <c r="J38" s="237">
        <v>1700350704.6093791</v>
      </c>
      <c r="K38" s="238">
        <v>1776866486.3168011</v>
      </c>
    </row>
    <row r="39" spans="1:23" ht="12.75" customHeight="1" x14ac:dyDescent="0.2">
      <c r="A39" s="135" t="s">
        <v>24</v>
      </c>
      <c r="B39" s="134"/>
      <c r="C39" s="313">
        <f>SUM(C37:C38)</f>
        <v>594244899</v>
      </c>
      <c r="D39" s="314">
        <f>SUM(D37:D38)</f>
        <v>687953110.80999994</v>
      </c>
      <c r="E39" s="75">
        <f>SUM(E37:E38)</f>
        <v>1504031870.0699999</v>
      </c>
      <c r="F39" s="76">
        <f t="shared" ref="F39:K39" si="4">SUM(F37:F38)</f>
        <v>654340825</v>
      </c>
      <c r="G39" s="74">
        <f t="shared" si="4"/>
        <v>1564542184.8</v>
      </c>
      <c r="H39" s="75">
        <f t="shared" si="4"/>
        <v>1564542184.8</v>
      </c>
      <c r="I39" s="76">
        <f t="shared" si="4"/>
        <v>1628688414.3767998</v>
      </c>
      <c r="J39" s="74">
        <f t="shared" si="4"/>
        <v>1700350704.6093791</v>
      </c>
      <c r="K39" s="75">
        <f t="shared" si="4"/>
        <v>1776866486.3168011</v>
      </c>
      <c r="L39" s="77"/>
      <c r="M39" s="77"/>
      <c r="N39" s="77"/>
      <c r="O39" s="77"/>
      <c r="P39" s="77"/>
      <c r="Q39" s="77"/>
      <c r="R39" s="77"/>
      <c r="S39" s="77"/>
      <c r="T39" s="77"/>
      <c r="U39" s="77"/>
      <c r="V39" s="77"/>
      <c r="W39" s="77"/>
    </row>
    <row r="40" spans="1:23" ht="12.75" customHeight="1" x14ac:dyDescent="0.2">
      <c r="A40" s="135" t="s">
        <v>409</v>
      </c>
      <c r="B40" s="134"/>
      <c r="C40" s="76">
        <f>C34+C39</f>
        <v>1274328455</v>
      </c>
      <c r="D40" s="74">
        <f>D34+D39</f>
        <v>1710640897.8099999</v>
      </c>
      <c r="E40" s="75">
        <f>E34+E39</f>
        <v>6733833408.1300001</v>
      </c>
      <c r="F40" s="76">
        <f t="shared" ref="F40:K40" si="5">F34+F39</f>
        <v>1352913060</v>
      </c>
      <c r="G40" s="74">
        <f t="shared" si="5"/>
        <v>2458859725.0351605</v>
      </c>
      <c r="H40" s="75">
        <f t="shared" si="5"/>
        <v>2458859725.0351605</v>
      </c>
      <c r="I40" s="76">
        <f t="shared" si="5"/>
        <v>2559672973.7616024</v>
      </c>
      <c r="J40" s="74">
        <f t="shared" si="5"/>
        <v>2672298584.6071129</v>
      </c>
      <c r="K40" s="75">
        <f t="shared" si="5"/>
        <v>2792552020.9144325</v>
      </c>
      <c r="L40" s="77"/>
      <c r="M40" s="77"/>
      <c r="N40" s="77"/>
      <c r="O40" s="77"/>
      <c r="P40" s="77"/>
      <c r="Q40" s="77"/>
      <c r="R40" s="77"/>
      <c r="S40" s="77"/>
      <c r="T40" s="77"/>
      <c r="U40" s="77"/>
      <c r="V40" s="77"/>
      <c r="W40" s="77"/>
    </row>
    <row r="41" spans="1:23" s="86" customFormat="1" ht="5.0999999999999996" customHeight="1" x14ac:dyDescent="0.2">
      <c r="A41" s="78"/>
      <c r="B41" s="116"/>
      <c r="C41" s="68"/>
      <c r="D41" s="66"/>
      <c r="E41" s="67"/>
      <c r="F41" s="68"/>
      <c r="G41" s="66"/>
      <c r="H41" s="67"/>
      <c r="I41" s="68"/>
      <c r="J41" s="66"/>
      <c r="K41" s="67"/>
    </row>
    <row r="42" spans="1:23" ht="12.75" customHeight="1" x14ac:dyDescent="0.2">
      <c r="A42" s="315" t="s">
        <v>266</v>
      </c>
      <c r="B42" s="254">
        <v>2</v>
      </c>
      <c r="C42" s="316">
        <f t="shared" ref="C42:K42" si="6">C25-C40</f>
        <v>3829471342</v>
      </c>
      <c r="D42" s="317">
        <f t="shared" si="6"/>
        <v>3633703704.1900001</v>
      </c>
      <c r="E42" s="318">
        <f t="shared" si="6"/>
        <v>5006208558.8699999</v>
      </c>
      <c r="F42" s="316">
        <f t="shared" si="6"/>
        <v>4079956882</v>
      </c>
      <c r="G42" s="317">
        <f t="shared" si="6"/>
        <v>6825217107.9931526</v>
      </c>
      <c r="H42" s="318">
        <f t="shared" si="6"/>
        <v>6825217107.9931526</v>
      </c>
      <c r="I42" s="316">
        <f t="shared" si="6"/>
        <v>7003616369.4194012</v>
      </c>
      <c r="J42" s="317">
        <f t="shared" si="6"/>
        <v>7154470837.0380402</v>
      </c>
      <c r="K42" s="318">
        <f t="shared" si="6"/>
        <v>7312267631.7380085</v>
      </c>
      <c r="L42" s="77"/>
      <c r="M42" s="77"/>
      <c r="N42" s="77"/>
      <c r="O42" s="77"/>
      <c r="P42" s="77"/>
      <c r="Q42" s="77"/>
      <c r="R42" s="77"/>
      <c r="S42" s="77"/>
      <c r="T42" s="77"/>
      <c r="U42" s="77"/>
      <c r="V42" s="77"/>
      <c r="W42" s="77"/>
    </row>
    <row r="43" spans="1:23" ht="5.0999999999999996" customHeight="1" x14ac:dyDescent="0.2">
      <c r="A43" s="78"/>
      <c r="B43" s="116"/>
      <c r="C43" s="68"/>
      <c r="D43" s="66"/>
      <c r="E43" s="67"/>
      <c r="F43" s="68"/>
      <c r="G43" s="66"/>
      <c r="H43" s="67"/>
      <c r="I43" s="68"/>
      <c r="J43" s="66"/>
      <c r="K43" s="67"/>
    </row>
    <row r="44" spans="1:23" ht="12.75" customHeight="1" x14ac:dyDescent="0.2">
      <c r="A44" s="79" t="s">
        <v>151</v>
      </c>
      <c r="B44" s="116"/>
      <c r="C44" s="68"/>
      <c r="D44" s="66"/>
      <c r="E44" s="67"/>
      <c r="F44" s="68"/>
      <c r="G44" s="66"/>
      <c r="H44" s="67"/>
      <c r="I44" s="68"/>
      <c r="J44" s="66"/>
      <c r="K44" s="67"/>
    </row>
    <row r="45" spans="1:23" ht="12.75" customHeight="1" x14ac:dyDescent="0.2">
      <c r="A45" s="70" t="s">
        <v>100</v>
      </c>
      <c r="B45" s="116"/>
      <c r="C45" s="236">
        <v>2369340937</v>
      </c>
      <c r="D45" s="237">
        <v>755147312</v>
      </c>
      <c r="E45" s="238">
        <v>668520368.86999977</v>
      </c>
      <c r="F45" s="236">
        <v>1424153456</v>
      </c>
      <c r="G45" s="237">
        <v>1291754744.9931526</v>
      </c>
      <c r="H45" s="238">
        <v>1291754744.9931526</v>
      </c>
      <c r="I45" s="236">
        <v>1525488630.0494013</v>
      </c>
      <c r="J45" s="237">
        <v>1731124375.0617399</v>
      </c>
      <c r="K45" s="238">
        <v>1943154634.3814716</v>
      </c>
    </row>
    <row r="46" spans="1:23" ht="12.75" customHeight="1" x14ac:dyDescent="0.2">
      <c r="A46" s="70" t="s">
        <v>340</v>
      </c>
      <c r="B46" s="116"/>
      <c r="C46" s="236">
        <v>1460130405</v>
      </c>
      <c r="D46" s="237">
        <v>2878555989.1900001</v>
      </c>
      <c r="E46" s="238">
        <v>4337688614.2700005</v>
      </c>
      <c r="F46" s="236">
        <v>2655803426</v>
      </c>
      <c r="G46" s="237">
        <v>5533462363</v>
      </c>
      <c r="H46" s="238">
        <v>5533462363</v>
      </c>
      <c r="I46" s="236">
        <v>5478127739.3699999</v>
      </c>
      <c r="J46" s="237">
        <v>5423346461.9763002</v>
      </c>
      <c r="K46" s="238">
        <v>5369112997.3565369</v>
      </c>
    </row>
    <row r="47" spans="1:23" s="73" customFormat="1" ht="0.9" customHeight="1" x14ac:dyDescent="0.2">
      <c r="A47" s="241"/>
      <c r="B47" s="311"/>
      <c r="C47" s="157"/>
      <c r="D47" s="155"/>
      <c r="E47" s="158"/>
      <c r="F47" s="157"/>
      <c r="G47" s="155"/>
      <c r="H47" s="158"/>
      <c r="I47" s="157"/>
      <c r="J47" s="155"/>
      <c r="K47" s="158"/>
    </row>
    <row r="48" spans="1:23" ht="12.75" customHeight="1" x14ac:dyDescent="0.2">
      <c r="A48" s="248" t="s">
        <v>144</v>
      </c>
      <c r="B48" s="249">
        <v>2</v>
      </c>
      <c r="C48" s="250">
        <f>SUM(C45:C46)</f>
        <v>3829471342</v>
      </c>
      <c r="D48" s="251">
        <f t="shared" ref="D48:K48" si="7">SUM(D45:D46)</f>
        <v>3633703301.1900001</v>
      </c>
      <c r="E48" s="304">
        <f t="shared" si="7"/>
        <v>5006208983.1400003</v>
      </c>
      <c r="F48" s="250">
        <f t="shared" si="7"/>
        <v>4079956882</v>
      </c>
      <c r="G48" s="251">
        <f t="shared" si="7"/>
        <v>6825217107.9931526</v>
      </c>
      <c r="H48" s="304">
        <f t="shared" si="7"/>
        <v>6825217107.9931526</v>
      </c>
      <c r="I48" s="250">
        <f t="shared" si="7"/>
        <v>7003616369.4194012</v>
      </c>
      <c r="J48" s="251">
        <f t="shared" si="7"/>
        <v>7154470837.0380402</v>
      </c>
      <c r="K48" s="304">
        <f t="shared" si="7"/>
        <v>7312267631.7380085</v>
      </c>
      <c r="L48" s="77"/>
      <c r="M48" s="77"/>
      <c r="N48" s="77"/>
      <c r="O48" s="77"/>
      <c r="P48" s="77"/>
      <c r="Q48" s="77"/>
      <c r="R48" s="77"/>
      <c r="S48" s="77"/>
      <c r="T48" s="77"/>
      <c r="U48" s="77"/>
      <c r="V48" s="77"/>
      <c r="W48" s="77"/>
    </row>
    <row r="49" spans="1:11" ht="12.75" customHeight="1" x14ac:dyDescent="0.2">
      <c r="A49" s="189" t="s">
        <v>162</v>
      </c>
      <c r="B49" s="305"/>
      <c r="C49" s="77"/>
      <c r="D49" s="77"/>
      <c r="E49" s="77"/>
      <c r="F49" s="77"/>
      <c r="G49" s="77"/>
      <c r="H49" s="77"/>
      <c r="I49" s="77"/>
      <c r="J49" s="77"/>
      <c r="K49" s="77"/>
    </row>
    <row r="50" spans="1:11" ht="12.75" customHeight="1" x14ac:dyDescent="0.2">
      <c r="A50" s="136" t="s">
        <v>531</v>
      </c>
      <c r="B50" s="136"/>
      <c r="C50" s="136"/>
      <c r="D50" s="136"/>
      <c r="E50" s="136"/>
      <c r="F50" s="136"/>
      <c r="G50" s="136"/>
      <c r="H50" s="136"/>
      <c r="I50" s="136"/>
      <c r="J50" s="136"/>
      <c r="K50" s="136"/>
    </row>
    <row r="51" spans="1:11" ht="12.75" customHeight="1" x14ac:dyDescent="0.2">
      <c r="A51" s="136" t="s">
        <v>532</v>
      </c>
      <c r="B51" s="308"/>
      <c r="C51" s="319"/>
      <c r="D51" s="319"/>
      <c r="E51" s="320"/>
      <c r="F51" s="320"/>
      <c r="G51" s="320"/>
      <c r="H51" s="320"/>
      <c r="I51" s="320"/>
      <c r="J51" s="320"/>
      <c r="K51" s="320"/>
    </row>
    <row r="52" spans="1:11" ht="12.75" customHeight="1" x14ac:dyDescent="0.2">
      <c r="A52" s="321" t="s">
        <v>323</v>
      </c>
      <c r="B52" s="308"/>
      <c r="C52" s="319"/>
      <c r="D52" s="319"/>
      <c r="E52" s="320"/>
      <c r="F52" s="320"/>
      <c r="G52" s="320"/>
      <c r="H52" s="320"/>
      <c r="I52" s="320"/>
      <c r="J52" s="320"/>
      <c r="K52" s="320"/>
    </row>
    <row r="53" spans="1:11" ht="11.25" customHeight="1" x14ac:dyDescent="0.2">
      <c r="A53" s="307" t="s">
        <v>229</v>
      </c>
      <c r="B53" s="308"/>
      <c r="C53" s="173">
        <f>IF((C42-C48)=0,0,"Unbalanced")</f>
        <v>0</v>
      </c>
      <c r="D53" s="322" t="str">
        <f t="shared" ref="D53:K53" si="8">IF((D42-D48)=0,0,"Unbalanced")</f>
        <v>Unbalanced</v>
      </c>
      <c r="E53" s="322" t="str">
        <f t="shared" si="8"/>
        <v>Unbalanced</v>
      </c>
      <c r="F53" s="322">
        <f t="shared" si="8"/>
        <v>0</v>
      </c>
      <c r="G53" s="323">
        <f t="shared" si="8"/>
        <v>0</v>
      </c>
      <c r="H53" s="322">
        <f t="shared" si="8"/>
        <v>0</v>
      </c>
      <c r="I53" s="322">
        <f t="shared" si="8"/>
        <v>0</v>
      </c>
      <c r="J53" s="322">
        <f t="shared" si="8"/>
        <v>0</v>
      </c>
      <c r="K53" s="322">
        <f t="shared" si="8"/>
        <v>0</v>
      </c>
    </row>
    <row r="54" spans="1:11" ht="11.25" customHeight="1" x14ac:dyDescent="0.2">
      <c r="B54" s="59"/>
    </row>
    <row r="55" spans="1:11" ht="11.25" customHeight="1" x14ac:dyDescent="0.2">
      <c r="B55" s="59"/>
    </row>
    <row r="56" spans="1:11" ht="11.25" customHeight="1" x14ac:dyDescent="0.2">
      <c r="B56" s="59"/>
      <c r="I56" s="530">
        <f>I6+I7</f>
        <v>88750768.757399991</v>
      </c>
      <c r="J56" s="530">
        <f t="shared" ref="J56:K56" si="9">J6+J7</f>
        <v>92655802.582725599</v>
      </c>
      <c r="K56" s="530">
        <f t="shared" si="9"/>
        <v>96825313.698948249</v>
      </c>
    </row>
    <row r="57" spans="1:11" ht="11.25" customHeight="1" x14ac:dyDescent="0.2">
      <c r="B57" s="59"/>
    </row>
    <row r="58" spans="1:11" ht="11.25" customHeight="1" x14ac:dyDescent="0.2">
      <c r="B58" s="5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sheetData>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9">
    <pageSetUpPr fitToPage="1"/>
  </sheetPr>
  <dimension ref="A1:P82"/>
  <sheetViews>
    <sheetView showGridLines="0" zoomScale="120" zoomScaleNormal="120" workbookViewId="0">
      <pane xSplit="2" ySplit="3" topLeftCell="C28" activePane="bottomRight" state="frozen"/>
      <selection activeCell="A23" sqref="A23"/>
      <selection pane="topRight" activeCell="A23" sqref="A23"/>
      <selection pane="bottomLeft" activeCell="A23" sqref="A23"/>
      <selection pane="bottomRight" activeCell="C7" sqref="C7:K41"/>
    </sheetView>
  </sheetViews>
  <sheetFormatPr defaultColWidth="9.109375" defaultRowHeight="10.199999999999999" x14ac:dyDescent="0.2"/>
  <cols>
    <col min="1" max="1" width="35.6640625" style="59" customWidth="1"/>
    <col min="2" max="2" width="3.109375" style="58" customWidth="1"/>
    <col min="3" max="11" width="8.6640625" style="59" customWidth="1"/>
    <col min="12" max="14" width="9.44140625" style="59" customWidth="1"/>
    <col min="15" max="16" width="9.88671875" style="59" customWidth="1"/>
    <col min="17" max="16384" width="9.109375" style="59"/>
  </cols>
  <sheetData>
    <row r="1" spans="1:14" ht="13.8" x14ac:dyDescent="0.3">
      <c r="A1" s="57" t="str">
        <f>_MEB4</f>
        <v>Centlec (Soc) Ltd - Table D5 Budgeted Cash Flow</v>
      </c>
    </row>
    <row r="2" spans="1:14" s="133" customFormat="1" ht="27.75" customHeight="1" x14ac:dyDescent="0.2">
      <c r="A2" s="125" t="str">
        <f>desc</f>
        <v>Description</v>
      </c>
      <c r="B2" s="252" t="str">
        <f>head27</f>
        <v>Ref</v>
      </c>
      <c r="C2" s="100" t="str">
        <f>head1b</f>
        <v>2017/18</v>
      </c>
      <c r="D2" s="60" t="str">
        <f>head1A</f>
        <v>2018/19</v>
      </c>
      <c r="E2" s="61" t="str">
        <f>Head1</f>
        <v>2019/20</v>
      </c>
      <c r="F2" s="654" t="str">
        <f>Head2</f>
        <v>Current Year 2020/21</v>
      </c>
      <c r="G2" s="658"/>
      <c r="H2" s="659"/>
      <c r="I2" s="62" t="str">
        <f>Head3a</f>
        <v>Medium Term Revenue and Expenditure Framework</v>
      </c>
      <c r="J2" s="63"/>
      <c r="K2" s="64"/>
    </row>
    <row r="3" spans="1:14" s="133" customFormat="1" ht="27.75" customHeight="1" x14ac:dyDescent="0.2">
      <c r="A3" s="234" t="s">
        <v>183</v>
      </c>
      <c r="B3" s="310"/>
      <c r="C3" s="129" t="str">
        <f>Head5</f>
        <v>Audited Outcome</v>
      </c>
      <c r="D3" s="130" t="str">
        <f>Head5</f>
        <v>Audited Outcome</v>
      </c>
      <c r="E3" s="128" t="str">
        <f>Head5</f>
        <v>Audited Outcome</v>
      </c>
      <c r="F3" s="131" t="str">
        <f>Head6</f>
        <v>Original Budget</v>
      </c>
      <c r="G3" s="127" t="str">
        <f>Head7</f>
        <v>Adjusted Budget</v>
      </c>
      <c r="H3" s="128" t="str">
        <f>Head8</f>
        <v>Full Year Forecast</v>
      </c>
      <c r="I3" s="131" t="str">
        <f>Head9</f>
        <v>Budget Year 2021/22</v>
      </c>
      <c r="J3" s="127" t="str">
        <f>Head10</f>
        <v>Budget Year +1 2022/23</v>
      </c>
      <c r="K3" s="128" t="str">
        <f>Head11</f>
        <v>Budget Year +2 2023/24</v>
      </c>
    </row>
    <row r="4" spans="1:14" ht="12.75" customHeight="1" x14ac:dyDescent="0.2">
      <c r="A4" s="79" t="s">
        <v>309</v>
      </c>
      <c r="B4" s="116"/>
      <c r="C4" s="68"/>
      <c r="D4" s="66"/>
      <c r="E4" s="67"/>
      <c r="F4" s="68"/>
      <c r="G4" s="66"/>
      <c r="H4" s="67"/>
      <c r="I4" s="68"/>
      <c r="J4" s="66"/>
      <c r="K4" s="67"/>
    </row>
    <row r="5" spans="1:14" ht="12.75" customHeight="1" x14ac:dyDescent="0.2">
      <c r="A5" s="79" t="s">
        <v>335</v>
      </c>
      <c r="B5" s="116"/>
      <c r="C5" s="68"/>
      <c r="D5" s="66"/>
      <c r="E5" s="67"/>
      <c r="F5" s="68"/>
      <c r="G5" s="66"/>
      <c r="H5" s="67"/>
      <c r="I5" s="68"/>
      <c r="J5" s="66"/>
      <c r="K5" s="67"/>
    </row>
    <row r="6" spans="1:14" s="73" customFormat="1" ht="12.75" customHeight="1" x14ac:dyDescent="0.2">
      <c r="A6" s="239" t="s">
        <v>357</v>
      </c>
      <c r="B6" s="311"/>
      <c r="C6" s="236"/>
      <c r="D6" s="237"/>
      <c r="E6" s="238"/>
      <c r="F6" s="236"/>
      <c r="G6" s="237"/>
      <c r="H6" s="238"/>
      <c r="I6" s="236"/>
      <c r="J6" s="237"/>
      <c r="K6" s="238"/>
    </row>
    <row r="7" spans="1:14" s="73" customFormat="1" ht="12.75" customHeight="1" x14ac:dyDescent="0.2">
      <c r="A7" s="239" t="s">
        <v>401</v>
      </c>
      <c r="B7" s="311"/>
      <c r="C7" s="236">
        <v>2093532530</v>
      </c>
      <c r="D7" s="237">
        <v>2689648938.3209996</v>
      </c>
      <c r="E7" s="238">
        <v>2945111712.6999993</v>
      </c>
      <c r="F7" s="236">
        <v>2668052020.2041798</v>
      </c>
      <c r="G7" s="237">
        <v>2229886296.2041798</v>
      </c>
      <c r="H7" s="238">
        <v>2229886296.2041798</v>
      </c>
      <c r="I7" s="236">
        <v>2841852982.5</v>
      </c>
      <c r="J7" s="237">
        <v>2914320807.7649999</v>
      </c>
      <c r="K7" s="238">
        <v>3042550923.3090005</v>
      </c>
    </row>
    <row r="8" spans="1:14" s="73" customFormat="1" ht="12.75" customHeight="1" x14ac:dyDescent="0.2">
      <c r="A8" s="239" t="s">
        <v>20</v>
      </c>
      <c r="B8" s="311"/>
      <c r="C8" s="236"/>
      <c r="D8" s="237">
        <v>15990451.949999999</v>
      </c>
      <c r="E8" s="238"/>
      <c r="F8" s="236">
        <v>13981604.63218</v>
      </c>
      <c r="G8" s="237">
        <v>15105898.612911999</v>
      </c>
      <c r="H8" s="238">
        <v>15105898.612911999</v>
      </c>
      <c r="I8" s="236">
        <v>11378876.387039974</v>
      </c>
      <c r="J8" s="237">
        <v>12061608.970262371</v>
      </c>
      <c r="K8" s="238">
        <v>12785305.508478152</v>
      </c>
    </row>
    <row r="9" spans="1:14" ht="12.75" customHeight="1" x14ac:dyDescent="0.2">
      <c r="A9" s="241" t="s">
        <v>1161</v>
      </c>
      <c r="B9" s="116"/>
      <c r="C9" s="236"/>
      <c r="D9" s="237">
        <v>4076963.4539999994</v>
      </c>
      <c r="E9" s="238"/>
      <c r="F9" s="236"/>
      <c r="G9" s="237"/>
      <c r="H9" s="238"/>
      <c r="I9" s="236"/>
      <c r="J9" s="237"/>
      <c r="K9" s="238"/>
    </row>
    <row r="10" spans="1:14" ht="12.75" customHeight="1" x14ac:dyDescent="0.2">
      <c r="A10" s="241" t="s">
        <v>1162</v>
      </c>
      <c r="B10" s="116"/>
      <c r="C10" s="236">
        <v>21885338</v>
      </c>
      <c r="D10" s="237"/>
      <c r="E10" s="238">
        <v>3182696.2630000007</v>
      </c>
      <c r="F10" s="236">
        <v>69432826.634000003</v>
      </c>
      <c r="G10" s="237">
        <v>62424899.634000003</v>
      </c>
      <c r="H10" s="238">
        <v>62424899.634000003</v>
      </c>
      <c r="I10" s="236">
        <v>33466030.119966667</v>
      </c>
      <c r="J10" s="237">
        <v>41007035.464432001</v>
      </c>
      <c r="K10" s="238">
        <v>42975373.166724697</v>
      </c>
    </row>
    <row r="11" spans="1:14" ht="12.75" customHeight="1" x14ac:dyDescent="0.2">
      <c r="A11" s="70" t="s">
        <v>324</v>
      </c>
      <c r="B11" s="116"/>
      <c r="C11" s="236">
        <v>26692781</v>
      </c>
      <c r="D11" s="237"/>
      <c r="E11" s="238"/>
      <c r="F11" s="236">
        <v>17085849.008159999</v>
      </c>
      <c r="G11" s="237">
        <v>27465786.900000002</v>
      </c>
      <c r="H11" s="238">
        <v>27465786.900000002</v>
      </c>
      <c r="I11" s="236">
        <v>29307680.940239999</v>
      </c>
      <c r="J11" s="237">
        <v>31066141.796654403</v>
      </c>
      <c r="K11" s="238">
        <v>37663189.604453683</v>
      </c>
    </row>
    <row r="12" spans="1:14" ht="12.75" customHeight="1" x14ac:dyDescent="0.2">
      <c r="A12" s="70" t="s">
        <v>182</v>
      </c>
      <c r="B12" s="116"/>
      <c r="C12" s="236"/>
      <c r="D12" s="237"/>
      <c r="E12" s="238"/>
      <c r="F12" s="236"/>
      <c r="G12" s="237"/>
      <c r="H12" s="238"/>
      <c r="I12" s="236"/>
      <c r="J12" s="237"/>
      <c r="K12" s="238"/>
    </row>
    <row r="13" spans="1:14" ht="12.75" customHeight="1" x14ac:dyDescent="0.2">
      <c r="A13" s="79" t="s">
        <v>336</v>
      </c>
      <c r="B13" s="116">
        <v>2</v>
      </c>
      <c r="C13" s="157"/>
      <c r="D13" s="155"/>
      <c r="E13" s="158"/>
      <c r="F13" s="157"/>
      <c r="G13" s="155"/>
      <c r="H13" s="158"/>
      <c r="I13" s="157"/>
      <c r="J13" s="155"/>
      <c r="K13" s="158"/>
    </row>
    <row r="14" spans="1:14" ht="12.75" customHeight="1" x14ac:dyDescent="0.2">
      <c r="A14" s="241" t="s">
        <v>204</v>
      </c>
      <c r="B14" s="116"/>
      <c r="C14" s="236">
        <v>-2018961523</v>
      </c>
      <c r="D14" s="237">
        <v>-2556031415.474</v>
      </c>
      <c r="E14" s="238">
        <v>-2755701866.0100002</v>
      </c>
      <c r="F14" s="236">
        <v>-2432471145.71631</v>
      </c>
      <c r="G14" s="237">
        <v>-2023178404.71631</v>
      </c>
      <c r="H14" s="238">
        <v>-2023178404.71631</v>
      </c>
      <c r="I14" s="236">
        <v>-2680406459.2291298</v>
      </c>
      <c r="J14" s="237">
        <v>-2735458248.9885302</v>
      </c>
      <c r="K14" s="238">
        <v>-2889273943.6862502</v>
      </c>
      <c r="L14" s="73"/>
      <c r="M14" s="73"/>
      <c r="N14" s="73"/>
    </row>
    <row r="15" spans="1:14" ht="12.75" customHeight="1" x14ac:dyDescent="0.2">
      <c r="A15" s="70" t="s">
        <v>19</v>
      </c>
      <c r="B15" s="116"/>
      <c r="C15" s="236">
        <v>-62050</v>
      </c>
      <c r="D15" s="237"/>
      <c r="E15" s="238">
        <v>-1073403.54</v>
      </c>
      <c r="F15" s="236">
        <v>-56600.334999999999</v>
      </c>
      <c r="G15" s="237">
        <v>-56600.334999999999</v>
      </c>
      <c r="H15" s="238">
        <v>-56600.334999999999</v>
      </c>
      <c r="I15" s="236">
        <v>-58864.046280000002</v>
      </c>
      <c r="J15" s="237">
        <v>-61336.336223760001</v>
      </c>
      <c r="K15" s="238">
        <v>-64035.135017605397</v>
      </c>
    </row>
    <row r="16" spans="1:14" s="73" customFormat="1" ht="12.75" customHeight="1" x14ac:dyDescent="0.2">
      <c r="A16" s="241" t="s">
        <v>326</v>
      </c>
      <c r="B16" s="311"/>
      <c r="C16" s="236"/>
      <c r="D16" s="237"/>
      <c r="E16" s="238"/>
      <c r="F16" s="236">
        <v>-120000000</v>
      </c>
      <c r="G16" s="237">
        <v>-50000000</v>
      </c>
      <c r="H16" s="238">
        <v>-50000000</v>
      </c>
      <c r="I16" s="236">
        <v>-119999999.996667</v>
      </c>
      <c r="J16" s="237">
        <v>-119999999.996667</v>
      </c>
      <c r="K16" s="238">
        <v>-119999999.996667</v>
      </c>
    </row>
    <row r="17" spans="1:16" ht="12.75" customHeight="1" x14ac:dyDescent="0.2">
      <c r="A17" s="241" t="s">
        <v>763</v>
      </c>
      <c r="B17" s="116"/>
      <c r="C17" s="236"/>
      <c r="D17" s="237"/>
      <c r="E17" s="238"/>
      <c r="F17" s="236"/>
      <c r="G17" s="237"/>
      <c r="H17" s="238"/>
      <c r="I17" s="236"/>
      <c r="J17" s="237"/>
      <c r="K17" s="238"/>
    </row>
    <row r="18" spans="1:16" ht="12.75" customHeight="1" x14ac:dyDescent="0.2">
      <c r="A18" s="135" t="s">
        <v>329</v>
      </c>
      <c r="B18" s="134"/>
      <c r="C18" s="76">
        <f>SUM(C6:C12)+SUM(C14:C17)</f>
        <v>123087076</v>
      </c>
      <c r="D18" s="74">
        <f t="shared" ref="D18:K18" si="0">SUM(D6:D12)+SUM(D14:D17)</f>
        <v>153684938.25099945</v>
      </c>
      <c r="E18" s="75">
        <f t="shared" si="0"/>
        <v>191519139.41299915</v>
      </c>
      <c r="F18" s="76">
        <f t="shared" si="0"/>
        <v>216024554.42720985</v>
      </c>
      <c r="G18" s="74">
        <f t="shared" si="0"/>
        <v>261647876.2997818</v>
      </c>
      <c r="H18" s="75">
        <f t="shared" si="0"/>
        <v>261647876.2997818</v>
      </c>
      <c r="I18" s="76">
        <f t="shared" si="0"/>
        <v>115540246.67516994</v>
      </c>
      <c r="J18" s="74">
        <f t="shared" si="0"/>
        <v>142936008.67492819</v>
      </c>
      <c r="K18" s="75">
        <f t="shared" si="0"/>
        <v>126636812.77072239</v>
      </c>
      <c r="L18" s="77"/>
      <c r="M18" s="77"/>
      <c r="N18" s="77"/>
      <c r="O18" s="77"/>
      <c r="P18" s="77"/>
    </row>
    <row r="19" spans="1:16" ht="5.0999999999999996" customHeight="1" x14ac:dyDescent="0.2">
      <c r="A19" s="78"/>
      <c r="B19" s="116"/>
      <c r="C19" s="68"/>
      <c r="D19" s="66"/>
      <c r="E19" s="67"/>
      <c r="F19" s="68"/>
      <c r="G19" s="66"/>
      <c r="H19" s="67"/>
      <c r="I19" s="68"/>
      <c r="J19" s="66"/>
      <c r="K19" s="67"/>
    </row>
    <row r="20" spans="1:16" ht="12.75" customHeight="1" x14ac:dyDescent="0.2">
      <c r="A20" s="79" t="s">
        <v>230</v>
      </c>
      <c r="B20" s="116"/>
      <c r="C20" s="68"/>
      <c r="D20" s="66"/>
      <c r="E20" s="67"/>
      <c r="F20" s="68"/>
      <c r="G20" s="66"/>
      <c r="H20" s="67"/>
      <c r="I20" s="68"/>
      <c r="J20" s="66"/>
      <c r="K20" s="67"/>
    </row>
    <row r="21" spans="1:16" ht="12.75" customHeight="1" x14ac:dyDescent="0.2">
      <c r="A21" s="79" t="s">
        <v>335</v>
      </c>
      <c r="B21" s="116"/>
      <c r="C21" s="68"/>
      <c r="D21" s="66"/>
      <c r="E21" s="67"/>
      <c r="F21" s="68"/>
      <c r="G21" s="66"/>
      <c r="H21" s="67"/>
      <c r="I21" s="68"/>
      <c r="J21" s="66"/>
      <c r="K21" s="67"/>
    </row>
    <row r="22" spans="1:16" ht="12.75" customHeight="1" x14ac:dyDescent="0.2">
      <c r="A22" s="70" t="s">
        <v>354</v>
      </c>
      <c r="B22" s="116"/>
      <c r="C22" s="236">
        <v>711984</v>
      </c>
      <c r="D22" s="237"/>
      <c r="E22" s="238"/>
      <c r="F22" s="236">
        <v>349394.54320000001</v>
      </c>
      <c r="G22" s="237">
        <v>326197.8</v>
      </c>
      <c r="H22" s="238">
        <v>326197.8</v>
      </c>
      <c r="I22" s="236">
        <v>121815.738</v>
      </c>
      <c r="J22" s="237">
        <v>127175.630472</v>
      </c>
      <c r="K22" s="238">
        <v>132898.53384324</v>
      </c>
      <c r="L22" s="530"/>
    </row>
    <row r="23" spans="1:16" ht="12.75" hidden="1" customHeight="1" x14ac:dyDescent="0.2">
      <c r="A23" s="70"/>
      <c r="B23" s="116"/>
      <c r="C23" s="157">
        <v>711984</v>
      </c>
      <c r="D23" s="155"/>
      <c r="E23" s="158"/>
      <c r="F23" s="157">
        <v>349394.54320000001</v>
      </c>
      <c r="G23" s="155">
        <v>326197.8</v>
      </c>
      <c r="H23" s="158">
        <v>326197.8</v>
      </c>
      <c r="I23" s="157">
        <v>121815.738</v>
      </c>
      <c r="J23" s="155">
        <v>127175.630472</v>
      </c>
      <c r="K23" s="158">
        <v>132898.53384324</v>
      </c>
    </row>
    <row r="24" spans="1:16" ht="12.75" customHeight="1" x14ac:dyDescent="0.2">
      <c r="A24" s="241" t="s">
        <v>1163</v>
      </c>
      <c r="B24" s="312"/>
      <c r="C24" s="236">
        <v>-9931052</v>
      </c>
      <c r="D24" s="237"/>
      <c r="E24" s="238"/>
      <c r="F24" s="236"/>
      <c r="G24" s="237"/>
      <c r="H24" s="238"/>
      <c r="I24" s="236"/>
      <c r="J24" s="237"/>
      <c r="K24" s="238"/>
    </row>
    <row r="25" spans="1:16" ht="12.75" customHeight="1" x14ac:dyDescent="0.2">
      <c r="A25" s="70" t="s">
        <v>328</v>
      </c>
      <c r="B25" s="116"/>
      <c r="C25" s="236">
        <v>109456423</v>
      </c>
      <c r="D25" s="237"/>
      <c r="E25" s="238"/>
      <c r="F25" s="236"/>
      <c r="G25" s="237"/>
      <c r="H25" s="238"/>
      <c r="I25" s="236"/>
      <c r="J25" s="237"/>
      <c r="K25" s="238"/>
    </row>
    <row r="26" spans="1:16" ht="12.75" customHeight="1" x14ac:dyDescent="0.2">
      <c r="A26" s="79" t="s">
        <v>336</v>
      </c>
      <c r="B26" s="116"/>
      <c r="C26" s="68">
        <v>109456423</v>
      </c>
      <c r="D26" s="66"/>
      <c r="E26" s="67"/>
      <c r="F26" s="68"/>
      <c r="G26" s="66"/>
      <c r="H26" s="67"/>
      <c r="I26" s="68"/>
      <c r="J26" s="66"/>
      <c r="K26" s="67"/>
    </row>
    <row r="27" spans="1:16" ht="12.75" customHeight="1" x14ac:dyDescent="0.2">
      <c r="A27" s="70" t="s">
        <v>205</v>
      </c>
      <c r="B27" s="116"/>
      <c r="C27" s="236">
        <v>-113337523</v>
      </c>
      <c r="D27" s="237">
        <v>-157213237.16999999</v>
      </c>
      <c r="E27" s="238">
        <v>-95947853.310000002</v>
      </c>
      <c r="F27" s="236">
        <v>-164633249.44516</v>
      </c>
      <c r="G27" s="237">
        <v>-172385561.44516</v>
      </c>
      <c r="H27" s="238">
        <v>-172385561.44516</v>
      </c>
      <c r="I27" s="236">
        <v>-211219271.18438837</v>
      </c>
      <c r="J27" s="237">
        <v>-139158150.48008078</v>
      </c>
      <c r="K27" s="238">
        <v>-122600200.18833461</v>
      </c>
    </row>
    <row r="28" spans="1:16" ht="12.75" customHeight="1" x14ac:dyDescent="0.2">
      <c r="A28" s="135" t="s">
        <v>330</v>
      </c>
      <c r="B28" s="134"/>
      <c r="C28" s="76">
        <f>+C22+C24+C25+C27</f>
        <v>-13100168</v>
      </c>
      <c r="D28" s="74">
        <f t="shared" ref="D28:K28" si="1">+D22+D24+D25+D27</f>
        <v>-157213237.16999999</v>
      </c>
      <c r="E28" s="75">
        <f t="shared" si="1"/>
        <v>-95947853.310000002</v>
      </c>
      <c r="F28" s="76">
        <f t="shared" si="1"/>
        <v>-164283854.90196002</v>
      </c>
      <c r="G28" s="74">
        <f t="shared" si="1"/>
        <v>-172059363.64515999</v>
      </c>
      <c r="H28" s="75">
        <f t="shared" si="1"/>
        <v>-172059363.64515999</v>
      </c>
      <c r="I28" s="76">
        <f t="shared" si="1"/>
        <v>-211097455.44638836</v>
      </c>
      <c r="J28" s="74">
        <f t="shared" si="1"/>
        <v>-139030974.84960878</v>
      </c>
      <c r="K28" s="75">
        <f t="shared" si="1"/>
        <v>-122467301.65449138</v>
      </c>
      <c r="L28" s="77"/>
      <c r="M28" s="77"/>
      <c r="N28" s="77"/>
      <c r="O28" s="77"/>
      <c r="P28" s="77"/>
    </row>
    <row r="29" spans="1:16" ht="5.0999999999999996" customHeight="1" x14ac:dyDescent="0.2">
      <c r="A29" s="78"/>
      <c r="B29" s="116"/>
      <c r="C29" s="68"/>
      <c r="D29" s="66"/>
      <c r="E29" s="67"/>
      <c r="F29" s="68"/>
      <c r="G29" s="66"/>
      <c r="H29" s="67"/>
      <c r="I29" s="68"/>
      <c r="J29" s="66"/>
      <c r="K29" s="67"/>
    </row>
    <row r="30" spans="1:16" ht="12.75" customHeight="1" x14ac:dyDescent="0.2">
      <c r="A30" s="79" t="s">
        <v>239</v>
      </c>
      <c r="B30" s="116"/>
      <c r="C30" s="68"/>
      <c r="D30" s="66"/>
      <c r="E30" s="67"/>
      <c r="F30" s="68"/>
      <c r="G30" s="66"/>
      <c r="H30" s="67"/>
      <c r="I30" s="68"/>
      <c r="J30" s="66"/>
      <c r="K30" s="67"/>
    </row>
    <row r="31" spans="1:16" ht="12.75" customHeight="1" x14ac:dyDescent="0.2">
      <c r="A31" s="79" t="s">
        <v>335</v>
      </c>
      <c r="B31" s="116"/>
      <c r="C31" s="68"/>
      <c r="D31" s="66"/>
      <c r="E31" s="67"/>
      <c r="F31" s="68"/>
      <c r="G31" s="66"/>
      <c r="H31" s="67"/>
      <c r="I31" s="68"/>
      <c r="J31" s="66"/>
      <c r="K31" s="67"/>
    </row>
    <row r="32" spans="1:16" ht="12.75" customHeight="1" x14ac:dyDescent="0.2">
      <c r="A32" s="70" t="s">
        <v>338</v>
      </c>
      <c r="B32" s="116"/>
      <c r="C32" s="236"/>
      <c r="D32" s="237"/>
      <c r="E32" s="238"/>
      <c r="F32" s="236"/>
      <c r="G32" s="237"/>
      <c r="H32" s="238"/>
      <c r="I32" s="236"/>
      <c r="J32" s="237"/>
      <c r="K32" s="238"/>
    </row>
    <row r="33" spans="1:16" ht="12.75" customHeight="1" x14ac:dyDescent="0.2">
      <c r="A33" s="70" t="s">
        <v>382</v>
      </c>
      <c r="B33" s="116"/>
      <c r="C33" s="236"/>
      <c r="D33" s="237"/>
      <c r="E33" s="238"/>
      <c r="F33" s="236"/>
      <c r="G33" s="237"/>
      <c r="H33" s="238"/>
      <c r="I33" s="236"/>
      <c r="J33" s="237"/>
      <c r="K33" s="238"/>
    </row>
    <row r="34" spans="1:16" ht="12.75" customHeight="1" x14ac:dyDescent="0.2">
      <c r="A34" s="70" t="s">
        <v>764</v>
      </c>
      <c r="B34" s="116"/>
      <c r="C34" s="236">
        <v>-73666460</v>
      </c>
      <c r="D34" s="237"/>
      <c r="E34" s="238"/>
      <c r="F34" s="236">
        <v>-4333211.27999999</v>
      </c>
      <c r="G34" s="237">
        <v>-4333211.27999999</v>
      </c>
      <c r="H34" s="238">
        <v>-4333211.27999999</v>
      </c>
      <c r="I34" s="236"/>
      <c r="J34" s="237"/>
      <c r="K34" s="238"/>
    </row>
    <row r="35" spans="1:16" ht="12.75" customHeight="1" x14ac:dyDescent="0.2">
      <c r="A35" s="79" t="s">
        <v>336</v>
      </c>
      <c r="B35" s="116"/>
      <c r="C35" s="68"/>
      <c r="D35" s="66"/>
      <c r="E35" s="67"/>
      <c r="F35" s="68"/>
      <c r="G35" s="66"/>
      <c r="H35" s="67"/>
      <c r="I35" s="68"/>
      <c r="J35" s="66"/>
      <c r="K35" s="67"/>
    </row>
    <row r="36" spans="1:16" ht="12.75" customHeight="1" x14ac:dyDescent="0.2">
      <c r="A36" s="70" t="s">
        <v>337</v>
      </c>
      <c r="B36" s="116"/>
      <c r="C36" s="236"/>
      <c r="D36" s="237">
        <v>-112276876.52</v>
      </c>
      <c r="E36" s="238">
        <v>-70000000</v>
      </c>
      <c r="F36" s="236"/>
      <c r="G36" s="237"/>
      <c r="H36" s="238"/>
      <c r="I36" s="236"/>
      <c r="J36" s="237"/>
      <c r="K36" s="238"/>
    </row>
    <row r="37" spans="1:16" ht="12.75" customHeight="1" x14ac:dyDescent="0.2">
      <c r="A37" s="135" t="s">
        <v>331</v>
      </c>
      <c r="B37" s="134"/>
      <c r="C37" s="76">
        <f>SUM(C31:C34)+C36</f>
        <v>-73666460</v>
      </c>
      <c r="D37" s="74">
        <f>SUM(D31:D34)+D36</f>
        <v>-112276876.52</v>
      </c>
      <c r="E37" s="75">
        <f>SUM(E31:E34)+E36</f>
        <v>-70000000</v>
      </c>
      <c r="F37" s="76">
        <f>SUM(F31:F34)+F36</f>
        <v>-4333211.27999999</v>
      </c>
      <c r="G37" s="74">
        <f>SUM(G31:G34)+G36</f>
        <v>-4333211.27999999</v>
      </c>
      <c r="H37" s="75">
        <f>SUM(H31:H34)+H36</f>
        <v>-4333211.27999999</v>
      </c>
      <c r="I37" s="76">
        <f>SUM(I31:I34)+I36</f>
        <v>0</v>
      </c>
      <c r="J37" s="74">
        <f>SUM(J31:J34)+J36</f>
        <v>0</v>
      </c>
      <c r="K37" s="75">
        <f>SUM(K31:K34)+K36</f>
        <v>0</v>
      </c>
      <c r="L37" s="77"/>
      <c r="M37" s="77"/>
      <c r="N37" s="77"/>
      <c r="O37" s="77"/>
      <c r="P37" s="77"/>
    </row>
    <row r="38" spans="1:16" s="86" customFormat="1" ht="5.0999999999999996" customHeight="1" x14ac:dyDescent="0.2">
      <c r="A38" s="78"/>
      <c r="B38" s="116"/>
      <c r="C38" s="68"/>
      <c r="D38" s="66"/>
      <c r="E38" s="67"/>
      <c r="F38" s="68"/>
      <c r="G38" s="66"/>
      <c r="H38" s="67"/>
      <c r="I38" s="68"/>
      <c r="J38" s="66"/>
      <c r="K38" s="67"/>
    </row>
    <row r="39" spans="1:16" ht="12.75" customHeight="1" x14ac:dyDescent="0.2">
      <c r="A39" s="315" t="s">
        <v>339</v>
      </c>
      <c r="B39" s="254">
        <v>1</v>
      </c>
      <c r="C39" s="316">
        <f t="shared" ref="C39:K39" si="2">C18+C28+C37</f>
        <v>36320448</v>
      </c>
      <c r="D39" s="317">
        <f t="shared" si="2"/>
        <v>-115805175.43900053</v>
      </c>
      <c r="E39" s="318">
        <f t="shared" si="2"/>
        <v>25571286.102999151</v>
      </c>
      <c r="F39" s="316">
        <f t="shared" si="2"/>
        <v>47407488.245249853</v>
      </c>
      <c r="G39" s="317">
        <f t="shared" si="2"/>
        <v>85255301.374621823</v>
      </c>
      <c r="H39" s="318">
        <f t="shared" si="2"/>
        <v>85255301.374621823</v>
      </c>
      <c r="I39" s="316">
        <f t="shared" si="2"/>
        <v>-95557208.771218419</v>
      </c>
      <c r="J39" s="317">
        <f t="shared" si="2"/>
        <v>3905033.8253194094</v>
      </c>
      <c r="K39" s="318">
        <f t="shared" si="2"/>
        <v>4169511.1162310094</v>
      </c>
      <c r="L39" s="77"/>
      <c r="M39" s="77"/>
      <c r="N39" s="77"/>
      <c r="O39" s="77"/>
      <c r="P39" s="77"/>
    </row>
    <row r="40" spans="1:16" ht="12.75" customHeight="1" x14ac:dyDescent="0.2">
      <c r="A40" s="70" t="s">
        <v>310</v>
      </c>
      <c r="B40" s="116">
        <v>2</v>
      </c>
      <c r="C40" s="324">
        <v>152966117.49000025</v>
      </c>
      <c r="D40" s="145">
        <f>C41</f>
        <v>189286565.49000025</v>
      </c>
      <c r="E40" s="146">
        <f>D41</f>
        <v>73481390.050999716</v>
      </c>
      <c r="F40" s="324"/>
      <c r="G40" s="145">
        <f>$E$41</f>
        <v>99052676.153998867</v>
      </c>
      <c r="H40" s="146">
        <f>$E$41</f>
        <v>99052676.153998867</v>
      </c>
      <c r="I40" s="147">
        <f>H41</f>
        <v>184307977.52862069</v>
      </c>
      <c r="J40" s="145">
        <f>I41</f>
        <v>88750768.757402271</v>
      </c>
      <c r="K40" s="146">
        <f>J41</f>
        <v>92655802.58272168</v>
      </c>
    </row>
    <row r="41" spans="1:16" ht="12.75" customHeight="1" x14ac:dyDescent="0.2">
      <c r="A41" s="325" t="s">
        <v>268</v>
      </c>
      <c r="B41" s="326">
        <v>2</v>
      </c>
      <c r="C41" s="327">
        <f>C39+C40</f>
        <v>189286565.49000025</v>
      </c>
      <c r="D41" s="328">
        <f>D39+D40</f>
        <v>73481390.050999716</v>
      </c>
      <c r="E41" s="329">
        <f>E39+E40</f>
        <v>99052676.153998867</v>
      </c>
      <c r="F41" s="327">
        <f t="shared" ref="F41:K41" si="3">F39+F40</f>
        <v>47407488.245249853</v>
      </c>
      <c r="G41" s="328">
        <f t="shared" si="3"/>
        <v>184307977.52862069</v>
      </c>
      <c r="H41" s="329">
        <f t="shared" si="3"/>
        <v>184307977.52862069</v>
      </c>
      <c r="I41" s="327">
        <f t="shared" si="3"/>
        <v>88750768.757402271</v>
      </c>
      <c r="J41" s="328">
        <f t="shared" si="3"/>
        <v>92655802.58272168</v>
      </c>
      <c r="K41" s="329">
        <f t="shared" si="3"/>
        <v>96825313.69895269</v>
      </c>
    </row>
    <row r="42" spans="1:16" ht="12.75" customHeight="1" x14ac:dyDescent="0.2">
      <c r="A42" s="189" t="s">
        <v>162</v>
      </c>
      <c r="B42" s="305"/>
      <c r="C42" s="286"/>
      <c r="D42" s="286"/>
      <c r="E42" s="77"/>
      <c r="F42" s="77"/>
      <c r="G42" s="77"/>
      <c r="H42" s="77"/>
      <c r="I42" s="77"/>
      <c r="J42" s="77"/>
      <c r="K42" s="77"/>
    </row>
    <row r="43" spans="1:16" ht="12.75" customHeight="1" x14ac:dyDescent="0.2">
      <c r="A43" s="136" t="s">
        <v>534</v>
      </c>
      <c r="B43" s="305"/>
      <c r="C43" s="286"/>
      <c r="D43" s="286"/>
      <c r="E43" s="77"/>
      <c r="F43" s="77"/>
      <c r="G43" s="77"/>
      <c r="H43" s="77"/>
      <c r="I43" s="77"/>
      <c r="J43" s="77"/>
      <c r="K43" s="77"/>
    </row>
    <row r="44" spans="1:16" ht="12.75" customHeight="1" x14ac:dyDescent="0.2">
      <c r="A44" s="136" t="s">
        <v>533</v>
      </c>
      <c r="B44" s="305"/>
      <c r="C44" s="286"/>
      <c r="D44" s="286"/>
      <c r="E44" s="77"/>
      <c r="F44" s="77"/>
      <c r="G44" s="77"/>
      <c r="H44" s="77"/>
      <c r="I44" s="77"/>
      <c r="J44" s="77"/>
      <c r="K44" s="77"/>
    </row>
    <row r="45" spans="1:16" ht="12.75" customHeight="1" x14ac:dyDescent="0.2">
      <c r="A45" s="86"/>
      <c r="B45" s="305"/>
      <c r="C45" s="286"/>
      <c r="D45" s="286"/>
      <c r="E45" s="77"/>
      <c r="F45" s="77"/>
      <c r="G45" s="77"/>
      <c r="H45" s="77"/>
      <c r="I45" s="77"/>
      <c r="J45" s="77"/>
      <c r="K45" s="77"/>
    </row>
    <row r="46" spans="1:16" ht="12.75" customHeight="1" x14ac:dyDescent="0.2">
      <c r="A46" s="307"/>
      <c r="B46" s="307" t="s">
        <v>124</v>
      </c>
      <c r="C46" s="270"/>
      <c r="D46" s="270"/>
      <c r="E46" s="270"/>
      <c r="F46" s="270"/>
      <c r="G46" s="270"/>
      <c r="H46" s="270"/>
      <c r="I46" s="270"/>
      <c r="J46" s="270"/>
      <c r="K46" s="270"/>
    </row>
    <row r="47" spans="1:16" ht="11.25" customHeight="1" x14ac:dyDescent="0.2">
      <c r="A47" s="307"/>
      <c r="B47" s="308"/>
      <c r="C47" s="307"/>
    </row>
    <row r="48" spans="1:16" ht="11.25" customHeight="1" x14ac:dyDescent="0.2"/>
    <row r="49" spans="9:9" ht="11.25" customHeight="1" x14ac:dyDescent="0.2"/>
    <row r="50" spans="9:9" ht="11.25" customHeight="1" x14ac:dyDescent="0.2"/>
    <row r="51" spans="9:9" ht="11.25" customHeight="1" x14ac:dyDescent="0.2"/>
    <row r="52" spans="9:9" ht="11.25" customHeight="1" x14ac:dyDescent="0.2">
      <c r="I52" s="530"/>
    </row>
    <row r="53" spans="9:9" ht="11.25" customHeight="1" x14ac:dyDescent="0.2"/>
    <row r="54" spans="9:9" ht="11.25" customHeight="1" x14ac:dyDescent="0.2"/>
    <row r="55" spans="9:9" ht="11.25" customHeight="1" x14ac:dyDescent="0.2"/>
    <row r="56" spans="9:9" ht="11.25" customHeight="1" x14ac:dyDescent="0.2"/>
    <row r="57" spans="9:9" ht="11.25" customHeight="1" x14ac:dyDescent="0.2"/>
    <row r="58" spans="9:9" ht="11.25" customHeight="1" x14ac:dyDescent="0.2"/>
    <row r="59" spans="9:9" ht="11.25" customHeight="1" x14ac:dyDescent="0.2"/>
    <row r="60" spans="9:9" ht="11.25" customHeight="1" x14ac:dyDescent="0.2"/>
    <row r="61" spans="9:9" ht="11.25" customHeight="1" x14ac:dyDescent="0.2"/>
    <row r="62" spans="9:9" ht="11.25" customHeight="1" x14ac:dyDescent="0.2"/>
    <row r="63" spans="9:9" ht="11.25" customHeight="1" x14ac:dyDescent="0.2"/>
    <row r="64" spans="9:9"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sheetData>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1">
    <tabColor rgb="FFCCFFCC"/>
    <pageSetUpPr fitToPage="1"/>
  </sheetPr>
  <dimension ref="A1:K36"/>
  <sheetViews>
    <sheetView showGridLines="0" zoomScaleNormal="100" workbookViewId="0">
      <pane xSplit="2" ySplit="4" topLeftCell="F10" activePane="bottomRight" state="frozen"/>
      <selection activeCell="A23" sqref="A23"/>
      <selection pane="topRight" activeCell="A23" sqref="A23"/>
      <selection pane="bottomLeft" activeCell="A23" sqref="A23"/>
      <selection pane="bottomRight" activeCell="K11" sqref="K11"/>
    </sheetView>
  </sheetViews>
  <sheetFormatPr defaultColWidth="9.109375" defaultRowHeight="10.199999999999999" x14ac:dyDescent="0.2"/>
  <cols>
    <col min="1" max="1" width="30.6640625" style="59" customWidth="1"/>
    <col min="2" max="2" width="15.6640625" style="59" customWidth="1"/>
    <col min="3" max="5" width="8.6640625" style="59" customWidth="1"/>
    <col min="6" max="6" width="17.88671875" style="59" customWidth="1"/>
    <col min="7" max="7" width="18.109375" style="59" customWidth="1"/>
    <col min="8" max="8" width="16.5546875" style="59" customWidth="1"/>
    <col min="9" max="9" width="16.109375" style="59" customWidth="1"/>
    <col min="10" max="10" width="13.109375" style="59" customWidth="1"/>
    <col min="11" max="11" width="12.33203125" style="59" customWidth="1"/>
    <col min="12" max="16384" width="9.109375" style="59"/>
  </cols>
  <sheetData>
    <row r="1" spans="1:11" ht="13.8" x14ac:dyDescent="0.3">
      <c r="A1" s="57" t="str">
        <f>_MEB6</f>
        <v>Centlec (Soc) Ltd - Supporting Table SD1 Measurable performance targets</v>
      </c>
      <c r="B1" s="58"/>
    </row>
    <row r="2" spans="1:11" ht="25.5" customHeight="1" x14ac:dyDescent="0.2">
      <c r="A2" s="670" t="s">
        <v>385</v>
      </c>
      <c r="B2" s="670" t="s">
        <v>40</v>
      </c>
      <c r="C2" s="100" t="str">
        <f>head1b</f>
        <v>2017/18</v>
      </c>
      <c r="D2" s="60" t="str">
        <f>head1A</f>
        <v>2018/19</v>
      </c>
      <c r="E2" s="61" t="str">
        <f>Head1</f>
        <v>2019/20</v>
      </c>
      <c r="F2" s="654" t="str">
        <f>Head2</f>
        <v>Current Year 2020/21</v>
      </c>
      <c r="G2" s="655"/>
      <c r="H2" s="656"/>
      <c r="I2" s="654" t="str">
        <f>Head3a</f>
        <v>Medium Term Revenue and Expenditure Framework</v>
      </c>
      <c r="J2" s="655"/>
      <c r="K2" s="656"/>
    </row>
    <row r="3" spans="1:11" ht="13.5" customHeight="1" x14ac:dyDescent="0.2">
      <c r="A3" s="671"/>
      <c r="B3" s="671"/>
      <c r="C3" s="666" t="str">
        <f>Head5</f>
        <v>Audited Outcome</v>
      </c>
      <c r="D3" s="668" t="str">
        <f>Head5</f>
        <v>Audited Outcome</v>
      </c>
      <c r="E3" s="662" t="str">
        <f>Head5</f>
        <v>Audited Outcome</v>
      </c>
      <c r="F3" s="664" t="str">
        <f>Head6</f>
        <v>Original Budget</v>
      </c>
      <c r="G3" s="660" t="str">
        <f>Head7</f>
        <v>Adjusted Budget</v>
      </c>
      <c r="H3" s="662" t="str">
        <f>Head8</f>
        <v>Full Year Forecast</v>
      </c>
      <c r="I3" s="664" t="str">
        <f>Head9</f>
        <v>Budget Year 2021/22</v>
      </c>
      <c r="J3" s="660" t="str">
        <f>Head10</f>
        <v>Budget Year +1 2022/23</v>
      </c>
      <c r="K3" s="662" t="str">
        <f>Head11</f>
        <v>Budget Year +2 2023/24</v>
      </c>
    </row>
    <row r="4" spans="1:11" ht="13.5" customHeight="1" x14ac:dyDescent="0.2">
      <c r="A4" s="672"/>
      <c r="B4" s="672"/>
      <c r="C4" s="667"/>
      <c r="D4" s="669"/>
      <c r="E4" s="663"/>
      <c r="F4" s="665"/>
      <c r="G4" s="661"/>
      <c r="H4" s="663"/>
      <c r="I4" s="665"/>
      <c r="J4" s="661"/>
      <c r="K4" s="663"/>
    </row>
    <row r="5" spans="1:11" ht="66.599999999999994" customHeight="1" x14ac:dyDescent="0.3">
      <c r="A5" s="706" t="s">
        <v>1168</v>
      </c>
      <c r="B5" s="707" t="s">
        <v>1169</v>
      </c>
      <c r="C5" s="708"/>
      <c r="D5" s="709"/>
      <c r="E5" s="710"/>
      <c r="F5" s="706" t="s">
        <v>1170</v>
      </c>
      <c r="G5" s="706" t="s">
        <v>1170</v>
      </c>
      <c r="H5" s="706" t="s">
        <v>1170</v>
      </c>
      <c r="I5" s="706" t="s">
        <v>1171</v>
      </c>
      <c r="J5" s="706" t="s">
        <v>1172</v>
      </c>
      <c r="K5" s="706" t="s">
        <v>1173</v>
      </c>
    </row>
    <row r="6" spans="1:11" ht="34.799999999999997" customHeight="1" x14ac:dyDescent="0.3">
      <c r="A6" s="706" t="s">
        <v>1174</v>
      </c>
      <c r="B6" s="707" t="s">
        <v>1169</v>
      </c>
      <c r="C6" s="708"/>
      <c r="D6" s="709"/>
      <c r="E6" s="710"/>
      <c r="F6" s="706" t="s">
        <v>1175</v>
      </c>
      <c r="G6" s="706" t="s">
        <v>1175</v>
      </c>
      <c r="H6" s="706" t="s">
        <v>1175</v>
      </c>
      <c r="I6" s="706" t="s">
        <v>1176</v>
      </c>
      <c r="J6" s="706" t="s">
        <v>1177</v>
      </c>
      <c r="K6" s="706" t="s">
        <v>1178</v>
      </c>
    </row>
    <row r="7" spans="1:11" ht="65.400000000000006" customHeight="1" x14ac:dyDescent="0.3">
      <c r="A7" s="706" t="s">
        <v>1179</v>
      </c>
      <c r="B7" s="707" t="s">
        <v>1169</v>
      </c>
      <c r="C7" s="708"/>
      <c r="D7" s="709"/>
      <c r="E7" s="710"/>
      <c r="F7" s="706" t="s">
        <v>1180</v>
      </c>
      <c r="G7" s="706" t="s">
        <v>1180</v>
      </c>
      <c r="H7" s="706" t="s">
        <v>1180</v>
      </c>
      <c r="I7" s="706" t="s">
        <v>1181</v>
      </c>
      <c r="J7" s="706" t="s">
        <v>1182</v>
      </c>
      <c r="K7" s="706" t="s">
        <v>1183</v>
      </c>
    </row>
    <row r="8" spans="1:11" ht="45.6" customHeight="1" x14ac:dyDescent="0.3">
      <c r="A8" s="706" t="s">
        <v>1184</v>
      </c>
      <c r="B8" s="707" t="s">
        <v>1169</v>
      </c>
      <c r="C8" s="708"/>
      <c r="D8" s="709"/>
      <c r="E8" s="710"/>
      <c r="F8" s="706" t="s">
        <v>1185</v>
      </c>
      <c r="G8" s="706" t="s">
        <v>1185</v>
      </c>
      <c r="H8" s="706" t="s">
        <v>1185</v>
      </c>
      <c r="I8" s="706" t="s">
        <v>1186</v>
      </c>
      <c r="J8" s="706" t="s">
        <v>1187</v>
      </c>
      <c r="K8" s="706" t="s">
        <v>1188</v>
      </c>
    </row>
    <row r="9" spans="1:11" ht="88.8" customHeight="1" x14ac:dyDescent="0.3">
      <c r="A9" s="706" t="s">
        <v>1189</v>
      </c>
      <c r="B9" s="707" t="s">
        <v>1169</v>
      </c>
      <c r="C9" s="708"/>
      <c r="D9" s="709"/>
      <c r="E9" s="710"/>
      <c r="F9" s="706" t="s">
        <v>1190</v>
      </c>
      <c r="G9" s="706" t="s">
        <v>1190</v>
      </c>
      <c r="H9" s="706" t="s">
        <v>1190</v>
      </c>
      <c r="I9" s="706" t="s">
        <v>1191</v>
      </c>
      <c r="J9" s="706" t="s">
        <v>1192</v>
      </c>
      <c r="K9" s="706" t="s">
        <v>1193</v>
      </c>
    </row>
    <row r="10" spans="1:11" ht="67.2" customHeight="1" x14ac:dyDescent="0.3">
      <c r="A10" s="706" t="s">
        <v>1194</v>
      </c>
      <c r="B10" s="707" t="s">
        <v>1169</v>
      </c>
      <c r="C10" s="708"/>
      <c r="D10" s="709"/>
      <c r="E10" s="710"/>
      <c r="F10" s="706" t="s">
        <v>1195</v>
      </c>
      <c r="G10" s="706" t="s">
        <v>1195</v>
      </c>
      <c r="H10" s="706" t="s">
        <v>1195</v>
      </c>
      <c r="I10" s="706" t="s">
        <v>1195</v>
      </c>
      <c r="J10" s="706" t="s">
        <v>1196</v>
      </c>
      <c r="K10" s="706" t="s">
        <v>1197</v>
      </c>
    </row>
    <row r="11" spans="1:11" ht="70.8" customHeight="1" x14ac:dyDescent="0.3">
      <c r="A11" s="706" t="s">
        <v>1198</v>
      </c>
      <c r="B11" s="707" t="s">
        <v>1169</v>
      </c>
      <c r="C11" s="708"/>
      <c r="D11" s="709"/>
      <c r="E11" s="710"/>
      <c r="F11" s="706" t="s">
        <v>1199</v>
      </c>
      <c r="G11" s="706" t="s">
        <v>1199</v>
      </c>
      <c r="H11" s="706" t="s">
        <v>1199</v>
      </c>
      <c r="I11" s="706" t="s">
        <v>1200</v>
      </c>
      <c r="J11" s="706" t="s">
        <v>1201</v>
      </c>
      <c r="K11" s="706" t="s">
        <v>1202</v>
      </c>
    </row>
    <row r="12" spans="1:11" ht="88.8" customHeight="1" x14ac:dyDescent="0.3">
      <c r="A12" s="706" t="s">
        <v>1203</v>
      </c>
      <c r="B12" s="707" t="s">
        <v>1169</v>
      </c>
      <c r="C12" s="711"/>
      <c r="D12" s="712"/>
      <c r="E12" s="713"/>
      <c r="F12" s="706" t="s">
        <v>1203</v>
      </c>
      <c r="G12" s="706" t="s">
        <v>1203</v>
      </c>
      <c r="H12" s="706" t="s">
        <v>1203</v>
      </c>
      <c r="I12" s="706" t="s">
        <v>1203</v>
      </c>
      <c r="J12" s="706" t="s">
        <v>1203</v>
      </c>
      <c r="K12" s="706" t="s">
        <v>1203</v>
      </c>
    </row>
    <row r="13" spans="1:11" ht="12.75" customHeight="1" x14ac:dyDescent="0.2">
      <c r="A13" s="331"/>
      <c r="B13" s="332"/>
      <c r="C13" s="236"/>
      <c r="D13" s="237"/>
      <c r="E13" s="238"/>
      <c r="F13" s="236"/>
      <c r="G13" s="237"/>
      <c r="H13" s="238"/>
      <c r="I13" s="236"/>
      <c r="J13" s="237"/>
      <c r="K13" s="238"/>
    </row>
    <row r="14" spans="1:11" ht="12.75" customHeight="1" x14ac:dyDescent="0.2">
      <c r="A14" s="331"/>
      <c r="B14" s="332"/>
      <c r="C14" s="236"/>
      <c r="D14" s="237"/>
      <c r="E14" s="238"/>
      <c r="F14" s="236"/>
      <c r="G14" s="237"/>
      <c r="H14" s="238"/>
      <c r="I14" s="236"/>
      <c r="J14" s="237"/>
      <c r="K14" s="238"/>
    </row>
    <row r="15" spans="1:11" ht="12.75" customHeight="1" x14ac:dyDescent="0.2">
      <c r="A15" s="330"/>
      <c r="B15" s="332"/>
      <c r="C15" s="236"/>
      <c r="D15" s="237"/>
      <c r="E15" s="238"/>
      <c r="F15" s="236"/>
      <c r="G15" s="237"/>
      <c r="H15" s="238"/>
      <c r="I15" s="236"/>
      <c r="J15" s="237"/>
      <c r="K15" s="238"/>
    </row>
    <row r="16" spans="1:11" ht="12.75" customHeight="1" x14ac:dyDescent="0.2">
      <c r="A16" s="331"/>
      <c r="B16" s="332"/>
      <c r="C16" s="236"/>
      <c r="D16" s="237"/>
      <c r="E16" s="238"/>
      <c r="F16" s="236"/>
      <c r="G16" s="237"/>
      <c r="H16" s="238"/>
      <c r="I16" s="236"/>
      <c r="J16" s="237"/>
      <c r="K16" s="238"/>
    </row>
    <row r="17" spans="1:11" ht="12.75" customHeight="1" x14ac:dyDescent="0.2">
      <c r="A17" s="331"/>
      <c r="B17" s="332"/>
      <c r="C17" s="236"/>
      <c r="D17" s="237"/>
      <c r="E17" s="238"/>
      <c r="F17" s="236"/>
      <c r="G17" s="237"/>
      <c r="H17" s="238"/>
      <c r="I17" s="236"/>
      <c r="J17" s="237"/>
      <c r="K17" s="238"/>
    </row>
    <row r="18" spans="1:11" ht="12.75" customHeight="1" x14ac:dyDescent="0.2">
      <c r="A18" s="331"/>
      <c r="B18" s="332"/>
      <c r="C18" s="236"/>
      <c r="D18" s="237"/>
      <c r="E18" s="238"/>
      <c r="F18" s="236"/>
      <c r="G18" s="237"/>
      <c r="H18" s="238"/>
      <c r="I18" s="236"/>
      <c r="J18" s="237"/>
      <c r="K18" s="238"/>
    </row>
    <row r="19" spans="1:11" ht="12.75" customHeight="1" x14ac:dyDescent="0.2">
      <c r="A19" s="331"/>
      <c r="B19" s="332"/>
      <c r="C19" s="236"/>
      <c r="D19" s="237"/>
      <c r="E19" s="238"/>
      <c r="F19" s="236"/>
      <c r="G19" s="237"/>
      <c r="H19" s="238"/>
      <c r="I19" s="236"/>
      <c r="J19" s="237"/>
      <c r="K19" s="238"/>
    </row>
    <row r="20" spans="1:11" ht="12.75" customHeight="1" x14ac:dyDescent="0.2">
      <c r="A20" s="331"/>
      <c r="B20" s="332"/>
      <c r="C20" s="236"/>
      <c r="D20" s="237"/>
      <c r="E20" s="238"/>
      <c r="F20" s="236"/>
      <c r="G20" s="237"/>
      <c r="H20" s="238"/>
      <c r="I20" s="236"/>
      <c r="J20" s="237"/>
      <c r="K20" s="238"/>
    </row>
    <row r="21" spans="1:11" ht="12.75" customHeight="1" x14ac:dyDescent="0.2">
      <c r="A21" s="331"/>
      <c r="B21" s="332"/>
      <c r="C21" s="236"/>
      <c r="D21" s="237"/>
      <c r="E21" s="238"/>
      <c r="F21" s="236"/>
      <c r="G21" s="237"/>
      <c r="H21" s="238"/>
      <c r="I21" s="236"/>
      <c r="J21" s="237"/>
      <c r="K21" s="238"/>
    </row>
    <row r="22" spans="1:11" ht="12.75" customHeight="1" x14ac:dyDescent="0.2">
      <c r="A22" s="331"/>
      <c r="B22" s="332"/>
      <c r="C22" s="236"/>
      <c r="D22" s="237"/>
      <c r="E22" s="238"/>
      <c r="F22" s="236"/>
      <c r="G22" s="237"/>
      <c r="H22" s="238"/>
      <c r="I22" s="236"/>
      <c r="J22" s="237"/>
      <c r="K22" s="238"/>
    </row>
    <row r="23" spans="1:11" ht="12.75" customHeight="1" x14ac:dyDescent="0.2">
      <c r="A23" s="331"/>
      <c r="B23" s="332"/>
      <c r="C23" s="236"/>
      <c r="D23" s="237"/>
      <c r="E23" s="238"/>
      <c r="F23" s="236"/>
      <c r="G23" s="237"/>
      <c r="H23" s="238"/>
      <c r="I23" s="236"/>
      <c r="J23" s="237"/>
      <c r="K23" s="238"/>
    </row>
    <row r="24" spans="1:11" ht="12.75" customHeight="1" x14ac:dyDescent="0.2">
      <c r="A24" s="331"/>
      <c r="B24" s="332"/>
      <c r="C24" s="236"/>
      <c r="D24" s="237"/>
      <c r="E24" s="238"/>
      <c r="F24" s="236"/>
      <c r="G24" s="237"/>
      <c r="H24" s="238"/>
      <c r="I24" s="236"/>
      <c r="J24" s="237"/>
      <c r="K24" s="238"/>
    </row>
    <row r="25" spans="1:11" ht="12.75" customHeight="1" x14ac:dyDescent="0.2">
      <c r="A25" s="331"/>
      <c r="B25" s="332"/>
      <c r="C25" s="236"/>
      <c r="D25" s="237"/>
      <c r="E25" s="238"/>
      <c r="F25" s="236"/>
      <c r="G25" s="237"/>
      <c r="H25" s="238"/>
      <c r="I25" s="236"/>
      <c r="J25" s="237"/>
      <c r="K25" s="238"/>
    </row>
    <row r="26" spans="1:11" ht="12.75" customHeight="1" x14ac:dyDescent="0.2">
      <c r="A26" s="331"/>
      <c r="B26" s="332"/>
      <c r="C26" s="236"/>
      <c r="D26" s="237"/>
      <c r="E26" s="238"/>
      <c r="F26" s="236"/>
      <c r="G26" s="237"/>
      <c r="H26" s="238"/>
      <c r="I26" s="236"/>
      <c r="J26" s="237"/>
      <c r="K26" s="238"/>
    </row>
    <row r="27" spans="1:11" ht="12.75" customHeight="1" x14ac:dyDescent="0.2">
      <c r="A27" s="331"/>
      <c r="B27" s="332"/>
      <c r="C27" s="236"/>
      <c r="D27" s="237"/>
      <c r="E27" s="238"/>
      <c r="F27" s="236"/>
      <c r="G27" s="237"/>
      <c r="H27" s="238"/>
      <c r="I27" s="236"/>
      <c r="J27" s="237"/>
      <c r="K27" s="238"/>
    </row>
    <row r="28" spans="1:11" ht="12.75" customHeight="1" x14ac:dyDescent="0.2">
      <c r="A28" s="331"/>
      <c r="B28" s="332"/>
      <c r="C28" s="236"/>
      <c r="D28" s="237"/>
      <c r="E28" s="238"/>
      <c r="F28" s="236"/>
      <c r="G28" s="237"/>
      <c r="H28" s="238"/>
      <c r="I28" s="236"/>
      <c r="J28" s="237"/>
      <c r="K28" s="238"/>
    </row>
    <row r="29" spans="1:11" ht="12.75" customHeight="1" x14ac:dyDescent="0.2">
      <c r="A29" s="333"/>
      <c r="B29" s="334"/>
      <c r="C29" s="236"/>
      <c r="D29" s="237"/>
      <c r="E29" s="238"/>
      <c r="F29" s="236"/>
      <c r="G29" s="237"/>
      <c r="H29" s="238"/>
      <c r="I29" s="236"/>
      <c r="J29" s="237"/>
      <c r="K29" s="238"/>
    </row>
    <row r="30" spans="1:11" ht="12.75" customHeight="1" x14ac:dyDescent="0.2">
      <c r="A30" s="331"/>
      <c r="B30" s="332"/>
      <c r="C30" s="236"/>
      <c r="D30" s="237"/>
      <c r="E30" s="238"/>
      <c r="F30" s="236"/>
      <c r="G30" s="237"/>
      <c r="H30" s="238"/>
      <c r="I30" s="236"/>
      <c r="J30" s="237"/>
      <c r="K30" s="238"/>
    </row>
    <row r="31" spans="1:11" ht="12.75" customHeight="1" x14ac:dyDescent="0.2">
      <c r="A31" s="333"/>
      <c r="B31" s="335"/>
      <c r="C31" s="236"/>
      <c r="D31" s="237"/>
      <c r="E31" s="238"/>
      <c r="F31" s="236"/>
      <c r="G31" s="237"/>
      <c r="H31" s="238"/>
      <c r="I31" s="236"/>
      <c r="J31" s="237"/>
      <c r="K31" s="238"/>
    </row>
    <row r="32" spans="1:11" ht="12.75" customHeight="1" x14ac:dyDescent="0.2">
      <c r="A32" s="331"/>
      <c r="B32" s="332"/>
      <c r="C32" s="236"/>
      <c r="D32" s="237"/>
      <c r="E32" s="238"/>
      <c r="F32" s="236"/>
      <c r="G32" s="237"/>
      <c r="H32" s="238"/>
      <c r="I32" s="236"/>
      <c r="J32" s="237"/>
      <c r="K32" s="238"/>
    </row>
    <row r="33" spans="1:11" ht="12.75" customHeight="1" x14ac:dyDescent="0.2">
      <c r="A33" s="336"/>
      <c r="B33" s="337"/>
      <c r="C33" s="338"/>
      <c r="D33" s="339"/>
      <c r="E33" s="340"/>
      <c r="F33" s="338"/>
      <c r="G33" s="339"/>
      <c r="H33" s="340"/>
      <c r="I33" s="338"/>
      <c r="J33" s="339"/>
      <c r="K33" s="340"/>
    </row>
    <row r="34" spans="1:11" ht="12.75" customHeight="1" x14ac:dyDescent="0.2">
      <c r="A34" s="341" t="s">
        <v>277</v>
      </c>
      <c r="B34" s="342"/>
      <c r="C34" s="343"/>
      <c r="D34" s="343"/>
      <c r="E34" s="343"/>
      <c r="F34" s="344"/>
      <c r="G34" s="344"/>
      <c r="H34" s="344"/>
      <c r="I34" s="344"/>
      <c r="J34" s="344"/>
      <c r="K34" s="344"/>
    </row>
    <row r="35" spans="1:11" ht="12.75" customHeight="1" x14ac:dyDescent="0.2">
      <c r="A35" s="136" t="s">
        <v>85</v>
      </c>
      <c r="B35" s="345"/>
      <c r="C35" s="86"/>
      <c r="D35" s="86"/>
      <c r="E35" s="86"/>
      <c r="F35" s="86"/>
      <c r="G35" s="86"/>
      <c r="H35" s="86"/>
      <c r="I35" s="86"/>
      <c r="J35" s="86"/>
      <c r="K35" s="86"/>
    </row>
    <row r="36" spans="1:11" x14ac:dyDescent="0.2">
      <c r="A36" s="346"/>
      <c r="B36" s="346"/>
    </row>
  </sheetData>
  <mergeCells count="13">
    <mergeCell ref="C3:C4"/>
    <mergeCell ref="D3:D4"/>
    <mergeCell ref="A2:A4"/>
    <mergeCell ref="B2:B4"/>
    <mergeCell ref="E3:E4"/>
    <mergeCell ref="G3:G4"/>
    <mergeCell ref="H3:H4"/>
    <mergeCell ref="F2:H2"/>
    <mergeCell ref="I2:K2"/>
    <mergeCell ref="I3:I4"/>
    <mergeCell ref="J3:J4"/>
    <mergeCell ref="K3:K4"/>
    <mergeCell ref="F3:F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2">
    <tabColor rgb="FFCCFFCC"/>
    <pageSetUpPr fitToPage="1"/>
  </sheetPr>
  <dimension ref="A1:L106"/>
  <sheetViews>
    <sheetView showGridLines="0" zoomScaleNormal="100" workbookViewId="0">
      <selection activeCell="D7" sqref="D7:L40"/>
    </sheetView>
  </sheetViews>
  <sheetFormatPr defaultColWidth="9.109375" defaultRowHeight="12.75" customHeight="1" x14ac:dyDescent="0.2"/>
  <cols>
    <col min="1" max="2" width="25.6640625" style="59" customWidth="1"/>
    <col min="3" max="3" width="3.109375" style="59" customWidth="1"/>
    <col min="4" max="4" width="9.6640625" style="59" customWidth="1"/>
    <col min="5" max="12" width="8.6640625" style="59" customWidth="1"/>
    <col min="13" max="16384" width="9.109375" style="59"/>
  </cols>
  <sheetData>
    <row r="1" spans="1:12" ht="13.8" x14ac:dyDescent="0.3">
      <c r="A1" s="57" t="str">
        <f>_MEB7</f>
        <v>Centlec (Soc) Ltd - Supporting Table SD2 Financial and non-financial indicators</v>
      </c>
      <c r="B1" s="58"/>
      <c r="C1" s="58"/>
    </row>
    <row r="2" spans="1:12" ht="20.399999999999999" x14ac:dyDescent="0.2">
      <c r="A2" s="676" t="s">
        <v>386</v>
      </c>
      <c r="B2" s="670" t="s">
        <v>265</v>
      </c>
      <c r="C2" s="670" t="str">
        <f>head27</f>
        <v>Ref</v>
      </c>
      <c r="D2" s="100" t="str">
        <f>head1b</f>
        <v>2017/18</v>
      </c>
      <c r="E2" s="60" t="str">
        <f>head1A</f>
        <v>2018/19</v>
      </c>
      <c r="F2" s="61" t="str">
        <f>Head1</f>
        <v>2019/20</v>
      </c>
      <c r="G2" s="654" t="str">
        <f>Head2</f>
        <v>Current Year 2020/21</v>
      </c>
      <c r="H2" s="655"/>
      <c r="I2" s="656"/>
      <c r="J2" s="62" t="str">
        <f>Head3a</f>
        <v>Medium Term Revenue and Expenditure Framework</v>
      </c>
      <c r="K2" s="63"/>
      <c r="L2" s="64"/>
    </row>
    <row r="3" spans="1:12" ht="10.199999999999999" x14ac:dyDescent="0.2">
      <c r="A3" s="677"/>
      <c r="B3" s="671"/>
      <c r="C3" s="671"/>
      <c r="D3" s="666" t="str">
        <f>Head5</f>
        <v>Audited Outcome</v>
      </c>
      <c r="E3" s="668" t="str">
        <f>Head5</f>
        <v>Audited Outcome</v>
      </c>
      <c r="F3" s="662" t="str">
        <f>Head5</f>
        <v>Audited Outcome</v>
      </c>
      <c r="G3" s="664" t="str">
        <f>Head6</f>
        <v>Original Budget</v>
      </c>
      <c r="H3" s="660" t="str">
        <f>Head7</f>
        <v>Adjusted Budget</v>
      </c>
      <c r="I3" s="662" t="str">
        <f>Head8</f>
        <v>Full Year Forecast</v>
      </c>
      <c r="J3" s="664" t="str">
        <f>Head9</f>
        <v>Budget Year 2021/22</v>
      </c>
      <c r="K3" s="660" t="str">
        <f>Head10</f>
        <v>Budget Year +1 2022/23</v>
      </c>
      <c r="L3" s="662" t="str">
        <f>Head11</f>
        <v>Budget Year +2 2023/24</v>
      </c>
    </row>
    <row r="4" spans="1:12" ht="10.199999999999999" x14ac:dyDescent="0.2">
      <c r="A4" s="253"/>
      <c r="B4" s="347"/>
      <c r="C4" s="254"/>
      <c r="D4" s="667"/>
      <c r="E4" s="669"/>
      <c r="F4" s="663"/>
      <c r="G4" s="665"/>
      <c r="H4" s="661"/>
      <c r="I4" s="663"/>
      <c r="J4" s="665"/>
      <c r="K4" s="661"/>
      <c r="L4" s="663"/>
    </row>
    <row r="5" spans="1:12" ht="12.75" customHeight="1" x14ac:dyDescent="0.2">
      <c r="A5" s="348" t="s">
        <v>65</v>
      </c>
      <c r="B5" s="349"/>
      <c r="C5" s="350"/>
      <c r="D5" s="351"/>
      <c r="E5" s="352"/>
      <c r="F5" s="353"/>
      <c r="G5" s="354"/>
      <c r="H5" s="352"/>
      <c r="I5" s="353"/>
      <c r="J5" s="355"/>
      <c r="K5" s="352"/>
      <c r="L5" s="353"/>
    </row>
    <row r="6" spans="1:12" ht="10.199999999999999" x14ac:dyDescent="0.2">
      <c r="A6" s="356" t="s">
        <v>987</v>
      </c>
      <c r="B6" s="349"/>
      <c r="C6" s="357"/>
      <c r="D6" s="358"/>
      <c r="E6" s="359"/>
      <c r="F6" s="360"/>
      <c r="G6" s="358"/>
      <c r="H6" s="359"/>
      <c r="I6" s="360"/>
      <c r="J6" s="361"/>
      <c r="K6" s="362"/>
      <c r="L6" s="363"/>
    </row>
    <row r="7" spans="1:12" ht="20.399999999999999" x14ac:dyDescent="0.2">
      <c r="A7" s="364" t="s">
        <v>289</v>
      </c>
      <c r="B7" s="349" t="s">
        <v>417</v>
      </c>
      <c r="C7" s="350"/>
      <c r="D7" s="365">
        <f>IF(ISERROR((D48+D49)/D50),0,((D48+D49)/D50))</f>
        <v>1.1084492165859279E-2</v>
      </c>
      <c r="E7" s="366">
        <f t="shared" ref="E7:L7" si="0">IF(ISERROR((E48+E49)/E50),0,((E48+E49)/E50))</f>
        <v>-1.7558684649901499E-2</v>
      </c>
      <c r="F7" s="367">
        <f t="shared" si="0"/>
        <v>3.8672170974441554E-2</v>
      </c>
      <c r="G7" s="365">
        <f t="shared" si="0"/>
        <v>3.8257624470646933E-3</v>
      </c>
      <c r="H7" s="366">
        <f t="shared" si="0"/>
        <v>1.7180912208328549E-4</v>
      </c>
      <c r="I7" s="367">
        <f t="shared" si="0"/>
        <v>1.7180912210785563E-4</v>
      </c>
      <c r="J7" s="368">
        <f t="shared" si="0"/>
        <v>3.6882673158395631E-3</v>
      </c>
      <c r="K7" s="369">
        <f t="shared" si="0"/>
        <v>3.0817882007238202E-3</v>
      </c>
      <c r="L7" s="370">
        <f t="shared" si="0"/>
        <v>2.762757701862407E-3</v>
      </c>
    </row>
    <row r="8" spans="1:12" ht="20.399999999999999" x14ac:dyDescent="0.2">
      <c r="A8" s="364" t="s">
        <v>180</v>
      </c>
      <c r="B8" s="349" t="s">
        <v>762</v>
      </c>
      <c r="C8" s="350"/>
      <c r="D8" s="355">
        <f>IF(ISERROR(D51/(D52-D53-D54)),0,(D51/(D52-D53-D54)))</f>
        <v>0</v>
      </c>
      <c r="E8" s="371">
        <f t="shared" ref="E8:L8" si="1">IF(ISERROR(E51/(E52-E53-E54)),0,(E51/(E52-E53-E54)))</f>
        <v>0</v>
      </c>
      <c r="F8" s="372">
        <f t="shared" si="1"/>
        <v>0</v>
      </c>
      <c r="G8" s="355">
        <f t="shared" si="1"/>
        <v>0</v>
      </c>
      <c r="H8" s="371">
        <f t="shared" si="1"/>
        <v>0</v>
      </c>
      <c r="I8" s="372">
        <f t="shared" si="1"/>
        <v>0</v>
      </c>
      <c r="J8" s="355">
        <f t="shared" si="1"/>
        <v>0</v>
      </c>
      <c r="K8" s="371">
        <f t="shared" si="1"/>
        <v>0</v>
      </c>
      <c r="L8" s="372">
        <f t="shared" si="1"/>
        <v>0</v>
      </c>
    </row>
    <row r="9" spans="1:12" ht="12.75" customHeight="1" x14ac:dyDescent="0.2">
      <c r="A9" s="348" t="s">
        <v>233</v>
      </c>
      <c r="B9" s="349"/>
      <c r="C9" s="350"/>
      <c r="D9" s="354"/>
      <c r="E9" s="352"/>
      <c r="F9" s="353"/>
      <c r="G9" s="354"/>
      <c r="H9" s="352"/>
      <c r="I9" s="353"/>
      <c r="J9" s="351"/>
      <c r="K9" s="373"/>
      <c r="L9" s="374"/>
    </row>
    <row r="10" spans="1:12" ht="10.199999999999999" x14ac:dyDescent="0.2">
      <c r="A10" s="364" t="s">
        <v>232</v>
      </c>
      <c r="B10" s="349" t="s">
        <v>283</v>
      </c>
      <c r="C10" s="350"/>
      <c r="D10" s="365">
        <f>IF(ISERROR(D57/D56),0,(D57/D56))</f>
        <v>0</v>
      </c>
      <c r="E10" s="366">
        <f t="shared" ref="E10:L10" si="2">IF(ISERROR(E57/E56),0,(E57/E56))</f>
        <v>0</v>
      </c>
      <c r="F10" s="367">
        <f t="shared" si="2"/>
        <v>0</v>
      </c>
      <c r="G10" s="365">
        <f t="shared" si="2"/>
        <v>0</v>
      </c>
      <c r="H10" s="366">
        <f t="shared" si="2"/>
        <v>0</v>
      </c>
      <c r="I10" s="367">
        <f t="shared" si="2"/>
        <v>0</v>
      </c>
      <c r="J10" s="365">
        <f t="shared" si="2"/>
        <v>0</v>
      </c>
      <c r="K10" s="366">
        <f t="shared" si="2"/>
        <v>0</v>
      </c>
      <c r="L10" s="367">
        <f t="shared" si="2"/>
        <v>0</v>
      </c>
    </row>
    <row r="11" spans="1:12" ht="12.75" customHeight="1" x14ac:dyDescent="0.2">
      <c r="A11" s="348" t="s">
        <v>234</v>
      </c>
      <c r="B11" s="349"/>
      <c r="C11" s="350"/>
      <c r="D11" s="354"/>
      <c r="E11" s="352"/>
      <c r="F11" s="353"/>
      <c r="G11" s="354"/>
      <c r="H11" s="352"/>
      <c r="I11" s="353"/>
      <c r="J11" s="354"/>
      <c r="K11" s="352"/>
      <c r="L11" s="353"/>
    </row>
    <row r="12" spans="1:12" ht="12.75" customHeight="1" x14ac:dyDescent="0.2">
      <c r="A12" s="364" t="s">
        <v>290</v>
      </c>
      <c r="B12" s="349" t="s">
        <v>285</v>
      </c>
      <c r="C12" s="375"/>
      <c r="D12" s="376">
        <f>IF(ISERROR(D58/D59),0,(D58/D59))</f>
        <v>1.3060595807142263</v>
      </c>
      <c r="E12" s="377">
        <f t="shared" ref="E12:L12" si="3">IF(ISERROR(E58/E59),0,(E58/E59))</f>
        <v>0.91660616164178366</v>
      </c>
      <c r="F12" s="378">
        <f t="shared" si="3"/>
        <v>0.70293928751332735</v>
      </c>
      <c r="G12" s="376">
        <f t="shared" si="3"/>
        <v>1.4340266887360618</v>
      </c>
      <c r="H12" s="377">
        <f t="shared" si="3"/>
        <v>1.2663680834108577</v>
      </c>
      <c r="I12" s="378">
        <f t="shared" si="3"/>
        <v>1.2663680834108577</v>
      </c>
      <c r="J12" s="376">
        <f t="shared" si="3"/>
        <v>1.2663680834108573</v>
      </c>
      <c r="K12" s="377">
        <f t="shared" si="3"/>
        <v>1.2663680834108575</v>
      </c>
      <c r="L12" s="378">
        <f t="shared" si="3"/>
        <v>1.2663680834108573</v>
      </c>
    </row>
    <row r="13" spans="1:12" ht="20.399999999999999" x14ac:dyDescent="0.2">
      <c r="A13" s="364" t="s">
        <v>157</v>
      </c>
      <c r="B13" s="349" t="s">
        <v>156</v>
      </c>
      <c r="C13" s="350"/>
      <c r="D13" s="376">
        <f>IF(ISERROR((D58-D60)/D59),0,((D58-D60)/D59))</f>
        <v>1.3060595807142263</v>
      </c>
      <c r="E13" s="377">
        <f t="shared" ref="E13:L13" si="4">IF(ISERROR((E58-E60)/E59),0,((E58-E60)/E59))</f>
        <v>0.91660616164178366</v>
      </c>
      <c r="F13" s="378">
        <f t="shared" si="4"/>
        <v>0.70293928751332735</v>
      </c>
      <c r="G13" s="376">
        <f t="shared" si="4"/>
        <v>1.4340266887360618</v>
      </c>
      <c r="H13" s="377">
        <f t="shared" si="4"/>
        <v>1.2663680834108577</v>
      </c>
      <c r="I13" s="378">
        <f t="shared" si="4"/>
        <v>1.2663680834108577</v>
      </c>
      <c r="J13" s="376">
        <f t="shared" si="4"/>
        <v>1.2663680834108573</v>
      </c>
      <c r="K13" s="377">
        <f t="shared" si="4"/>
        <v>1.2663680834108575</v>
      </c>
      <c r="L13" s="378">
        <f t="shared" si="4"/>
        <v>1.2663680834108573</v>
      </c>
    </row>
    <row r="14" spans="1:12" ht="12.75" customHeight="1" x14ac:dyDescent="0.2">
      <c r="A14" s="364" t="s">
        <v>235</v>
      </c>
      <c r="B14" s="349" t="s">
        <v>284</v>
      </c>
      <c r="C14" s="350"/>
      <c r="D14" s="376">
        <f>IF(ISERROR(D61/D59),0,(D61/D59))</f>
        <v>0.1981126963169802</v>
      </c>
      <c r="E14" s="377">
        <f t="shared" ref="E14:L14" si="5">IF(ISERROR(E61/E59),0,(E61/E59))</f>
        <v>1.3255178337237735E-2</v>
      </c>
      <c r="F14" s="378">
        <f t="shared" si="5"/>
        <v>6.1940078575173571E-3</v>
      </c>
      <c r="G14" s="376">
        <f t="shared" si="5"/>
        <v>0.18230256889611424</v>
      </c>
      <c r="H14" s="377">
        <f t="shared" si="5"/>
        <v>9.5330011505289428E-2</v>
      </c>
      <c r="I14" s="378">
        <f t="shared" si="5"/>
        <v>9.5330011505289428E-2</v>
      </c>
      <c r="J14" s="379">
        <f t="shared" si="5"/>
        <v>9.53300115052894E-2</v>
      </c>
      <c r="K14" s="380">
        <f t="shared" si="5"/>
        <v>9.53300115052894E-2</v>
      </c>
      <c r="L14" s="381">
        <f t="shared" si="5"/>
        <v>9.53300115052894E-2</v>
      </c>
    </row>
    <row r="15" spans="1:12" ht="12.75" customHeight="1" x14ac:dyDescent="0.2">
      <c r="A15" s="348" t="s">
        <v>8</v>
      </c>
      <c r="B15" s="349"/>
      <c r="C15" s="350"/>
      <c r="D15" s="354"/>
      <c r="E15" s="352"/>
      <c r="F15" s="353"/>
      <c r="G15" s="354"/>
      <c r="H15" s="352"/>
      <c r="I15" s="353"/>
      <c r="J15" s="354"/>
      <c r="K15" s="352"/>
      <c r="L15" s="353"/>
    </row>
    <row r="16" spans="1:12" ht="20.399999999999999" x14ac:dyDescent="0.2">
      <c r="A16" s="364" t="s">
        <v>31</v>
      </c>
      <c r="B16" s="349" t="s">
        <v>286</v>
      </c>
      <c r="C16" s="350"/>
      <c r="D16" s="382"/>
      <c r="E16" s="383">
        <f>IF(ISERROR(E62/E63),0,(E62/E63))</f>
        <v>0</v>
      </c>
      <c r="F16" s="384">
        <f t="shared" ref="F16:L16" si="6">IF(ISERROR(F62/F63),0,(F62/F63))</f>
        <v>0</v>
      </c>
      <c r="G16" s="385">
        <f t="shared" si="6"/>
        <v>0</v>
      </c>
      <c r="H16" s="383">
        <f t="shared" si="6"/>
        <v>0</v>
      </c>
      <c r="I16" s="384">
        <f t="shared" si="6"/>
        <v>0</v>
      </c>
      <c r="J16" s="386">
        <f t="shared" si="6"/>
        <v>0</v>
      </c>
      <c r="K16" s="387">
        <f t="shared" si="6"/>
        <v>0</v>
      </c>
      <c r="L16" s="388">
        <f t="shared" si="6"/>
        <v>0</v>
      </c>
    </row>
    <row r="17" spans="1:12" ht="25.5" customHeight="1" x14ac:dyDescent="0.2">
      <c r="A17" s="356" t="s">
        <v>1032</v>
      </c>
      <c r="B17" s="349"/>
      <c r="C17" s="350"/>
      <c r="D17" s="389">
        <f>IF(ISERROR(('D5-CFlow'!C6+'D5-CFlow'!C7)/SUM('D2-FinPerf'!C5:C10)),0,(('D5-CFlow'!C6+'D5-CFlow'!C7)/SUM('D2-FinPerf'!C5:C10)))</f>
        <v>0.95449826469965005</v>
      </c>
      <c r="E17" s="390">
        <f>IF(ISERROR(('D5-CFlow'!D6+'D5-CFlow'!D7)/SUM('D2-FinPerf'!D5:D10)),0,(('D5-CFlow'!D6+'D5-CFlow'!D7)/SUM('D2-FinPerf'!D5:D10)))</f>
        <v>1.1242231331842407</v>
      </c>
      <c r="F17" s="391">
        <f>IF(ISERROR(('D5-CFlow'!E6+'D5-CFlow'!E7)/SUM('D2-FinPerf'!E5:E10)),0,(('D5-CFlow'!E6+'D5-CFlow'!E7)/SUM('D2-FinPerf'!E5:E10)))</f>
        <v>1.146895897911971</v>
      </c>
      <c r="G17" s="389">
        <f>IF(ISERROR(('D5-CFlow'!F6+'D5-CFlow'!F7)/SUM('D2-FinPerf'!F5:F10)),0,(('D5-CFlow'!F6+'D5-CFlow'!F7)/SUM('D2-FinPerf'!F5:F10)))</f>
        <v>0.97933212852436269</v>
      </c>
      <c r="H17" s="390">
        <f>IF(ISERROR(('D5-CFlow'!G6+'D5-CFlow'!G7)/SUM('D2-FinPerf'!G5:G10)),0,(('D5-CFlow'!G6+'D5-CFlow'!G7)/SUM('D2-FinPerf'!G5:G10)))</f>
        <v>0.81982164076810748</v>
      </c>
      <c r="I17" s="391">
        <f>IF(ISERROR(('D5-CFlow'!H6+'D5-CFlow'!H7)/SUM('D2-FinPerf'!H5:H10)),0,(('D5-CFlow'!H6+'D5-CFlow'!H7)/SUM('D2-FinPerf'!H5:H10)))</f>
        <v>0.81982164076810748</v>
      </c>
      <c r="J17" s="389">
        <f>IF(ISERROR(('D5-CFlow'!I6+'D5-CFlow'!I7)/SUM('D2-FinPerf'!I5:I10)),0,(('D5-CFlow'!I6+'D5-CFlow'!I7)/SUM('D2-FinPerf'!I5:I10)))</f>
        <v>0.9</v>
      </c>
      <c r="K17" s="390">
        <f>IF(ISERROR(('D5-CFlow'!J6+'D5-CFlow'!J7)/SUM('D2-FinPerf'!J5:J10)),0,(('D5-CFlow'!J6+'D5-CFlow'!J7)/SUM('D2-FinPerf'!J5:J10)))</f>
        <v>0.9</v>
      </c>
      <c r="L17" s="391">
        <f>IF(ISERROR(('D5-CFlow'!K6+'D5-CFlow'!K7)/SUM('D2-FinPerf'!K5:K10)),0,(('D5-CFlow'!K6+'D5-CFlow'!K7)/SUM('D2-FinPerf'!K5:K10)))</f>
        <v>0.90000000000000013</v>
      </c>
    </row>
    <row r="18" spans="1:12" ht="10.199999999999999" x14ac:dyDescent="0.2">
      <c r="A18" s="364" t="s">
        <v>32</v>
      </c>
      <c r="B18" s="349" t="s">
        <v>155</v>
      </c>
      <c r="C18" s="350"/>
      <c r="D18" s="365">
        <f>IF(ISERROR(D64/D65),0,(D64/D65))</f>
        <v>0.27955338756349457</v>
      </c>
      <c r="E18" s="366">
        <f t="shared" ref="E18:L18" si="7">IF(ISERROR(E64/E65),0,(E64/E65))</f>
        <v>0.34240444026915651</v>
      </c>
      <c r="F18" s="367">
        <f t="shared" si="7"/>
        <v>1.3556646465633995</v>
      </c>
      <c r="G18" s="365">
        <f t="shared" si="7"/>
        <v>0.28226034320176041</v>
      </c>
      <c r="H18" s="366">
        <f t="shared" si="7"/>
        <v>0.34265516714353145</v>
      </c>
      <c r="I18" s="367">
        <f t="shared" si="7"/>
        <v>0.34265516714353145</v>
      </c>
      <c r="J18" s="365">
        <f t="shared" si="7"/>
        <v>0.30942591953793441</v>
      </c>
      <c r="K18" s="366">
        <f t="shared" si="7"/>
        <v>0.31485838451142195</v>
      </c>
      <c r="L18" s="367">
        <f t="shared" si="7"/>
        <v>0.31460738596101623</v>
      </c>
    </row>
    <row r="19" spans="1:12" ht="20.399999999999999" x14ac:dyDescent="0.2">
      <c r="A19" s="364" t="s">
        <v>411</v>
      </c>
      <c r="B19" s="349" t="s">
        <v>287</v>
      </c>
      <c r="C19" s="350"/>
      <c r="D19" s="392"/>
      <c r="E19" s="393"/>
      <c r="F19" s="394"/>
      <c r="G19" s="392"/>
      <c r="H19" s="393"/>
      <c r="I19" s="394"/>
      <c r="J19" s="392"/>
      <c r="K19" s="393"/>
      <c r="L19" s="394"/>
    </row>
    <row r="20" spans="1:12" ht="12.75" customHeight="1" x14ac:dyDescent="0.2">
      <c r="A20" s="348" t="s">
        <v>412</v>
      </c>
      <c r="B20" s="349"/>
      <c r="C20" s="350"/>
      <c r="D20" s="354"/>
      <c r="E20" s="352"/>
      <c r="F20" s="353"/>
      <c r="G20" s="354"/>
      <c r="H20" s="352"/>
      <c r="I20" s="353"/>
      <c r="J20" s="354"/>
      <c r="K20" s="352"/>
      <c r="L20" s="353"/>
    </row>
    <row r="21" spans="1:12" ht="20.399999999999999" x14ac:dyDescent="0.2">
      <c r="A21" s="364" t="s">
        <v>413</v>
      </c>
      <c r="B21" s="349" t="s">
        <v>281</v>
      </c>
      <c r="C21" s="350"/>
      <c r="D21" s="392"/>
      <c r="E21" s="393"/>
      <c r="F21" s="394"/>
      <c r="G21" s="392"/>
      <c r="H21" s="393"/>
      <c r="I21" s="394"/>
      <c r="J21" s="392"/>
      <c r="K21" s="393"/>
      <c r="L21" s="394"/>
    </row>
    <row r="22" spans="1:12" ht="10.199999999999999" x14ac:dyDescent="0.2">
      <c r="A22" s="356" t="s">
        <v>1033</v>
      </c>
      <c r="B22" s="349"/>
      <c r="C22" s="350"/>
      <c r="D22" s="389">
        <f>IF(ISERROR(D75/'D5-CFlow'!C41), 0, (D75/'D5-CFlow'!C41))</f>
        <v>0</v>
      </c>
      <c r="E22" s="390">
        <f>IF(ISERROR(E75/'D5-CFlow'!D41), 0, (E75/'D5-CFlow'!D41))</f>
        <v>0</v>
      </c>
      <c r="F22" s="395">
        <f>IF(ISERROR(F75/'D5-CFlow'!E41), 0, (F75/'D5-CFlow'!E41))</f>
        <v>0</v>
      </c>
      <c r="G22" s="396">
        <f>IF(ISERROR(G75/'D5-CFlow'!F41), 0, (G75/'D5-CFlow'!F41))</f>
        <v>0</v>
      </c>
      <c r="H22" s="390">
        <f>IF(ISERROR(H75/'D5-CFlow'!G41), 0, (H75/'D5-CFlow'!G41))</f>
        <v>0</v>
      </c>
      <c r="I22" s="395">
        <f>IF(ISERROR(I75/'D5-CFlow'!H41), 0, (I75/'D5-CFlow'!H41))</f>
        <v>0</v>
      </c>
      <c r="J22" s="389">
        <f>IF(ISERROR(J75/'D5-CFlow'!I41), 0, (J75/'D5-CFlow'!I41))</f>
        <v>0</v>
      </c>
      <c r="K22" s="390">
        <f>IF(ISERROR(K75/'D5-CFlow'!J41), 0, (K75/'D5-CFlow'!J41))</f>
        <v>0</v>
      </c>
      <c r="L22" s="395">
        <f>IF(ISERROR(L75/'D5-CFlow'!K41), 0, (L75/'D5-CFlow'!K41))</f>
        <v>0</v>
      </c>
    </row>
    <row r="23" spans="1:12" ht="10.199999999999999" x14ac:dyDescent="0.2">
      <c r="A23" s="364"/>
      <c r="B23" s="349"/>
      <c r="C23" s="350"/>
      <c r="D23" s="397"/>
      <c r="E23" s="398"/>
      <c r="F23" s="399"/>
      <c r="G23" s="397"/>
      <c r="H23" s="398"/>
      <c r="I23" s="399"/>
      <c r="J23" s="397"/>
      <c r="K23" s="398"/>
      <c r="L23" s="399"/>
    </row>
    <row r="24" spans="1:12" ht="12.75" customHeight="1" x14ac:dyDescent="0.2">
      <c r="A24" s="348" t="s">
        <v>61</v>
      </c>
      <c r="B24" s="349"/>
      <c r="C24" s="350"/>
      <c r="D24" s="354"/>
      <c r="E24" s="352"/>
      <c r="F24" s="353"/>
      <c r="G24" s="354"/>
      <c r="H24" s="352"/>
      <c r="I24" s="353"/>
      <c r="J24" s="354"/>
      <c r="K24" s="352"/>
      <c r="L24" s="353"/>
    </row>
    <row r="25" spans="1:12" ht="10.199999999999999" x14ac:dyDescent="0.2">
      <c r="A25" s="364" t="s">
        <v>62</v>
      </c>
      <c r="B25" s="349" t="s">
        <v>63</v>
      </c>
      <c r="C25" s="350"/>
      <c r="D25" s="392"/>
      <c r="E25" s="393"/>
      <c r="F25" s="394"/>
      <c r="G25" s="392"/>
      <c r="H25" s="393"/>
      <c r="I25" s="394"/>
      <c r="J25" s="392"/>
      <c r="K25" s="393"/>
      <c r="L25" s="394"/>
    </row>
    <row r="26" spans="1:12" ht="12.75" customHeight="1" x14ac:dyDescent="0.2">
      <c r="A26" s="348" t="s">
        <v>64</v>
      </c>
      <c r="B26" s="349"/>
      <c r="C26" s="350"/>
      <c r="D26" s="354"/>
      <c r="E26" s="352"/>
      <c r="F26" s="353"/>
      <c r="G26" s="354"/>
      <c r="H26" s="352"/>
      <c r="I26" s="353"/>
      <c r="J26" s="354"/>
      <c r="K26" s="352"/>
      <c r="L26" s="353"/>
    </row>
    <row r="27" spans="1:12" ht="10.199999999999999" x14ac:dyDescent="0.2">
      <c r="A27" s="673" t="s">
        <v>1034</v>
      </c>
      <c r="B27" s="400" t="s">
        <v>1035</v>
      </c>
      <c r="C27" s="375">
        <v>1</v>
      </c>
      <c r="D27" s="718">
        <v>155706800.46749994</v>
      </c>
      <c r="E27" s="719">
        <v>144172798.32749999</v>
      </c>
      <c r="F27" s="720">
        <v>127757457.08750001</v>
      </c>
      <c r="G27" s="718"/>
      <c r="H27" s="719"/>
      <c r="I27" s="720"/>
      <c r="J27" s="718">
        <v>121296610.54390956</v>
      </c>
      <c r="K27" s="719">
        <v>115485080.71810026</v>
      </c>
      <c r="L27" s="720">
        <v>110054367.46586244</v>
      </c>
    </row>
    <row r="28" spans="1:12" ht="10.199999999999999" x14ac:dyDescent="0.2">
      <c r="A28" s="673"/>
      <c r="B28" s="400" t="s">
        <v>1036</v>
      </c>
      <c r="C28" s="375"/>
      <c r="D28" s="718">
        <v>137789865.33670145</v>
      </c>
      <c r="E28" s="719">
        <v>138097199.69635081</v>
      </c>
      <c r="F28" s="720">
        <v>138776832.76178849</v>
      </c>
      <c r="G28" s="718"/>
      <c r="H28" s="719"/>
      <c r="I28" s="720"/>
      <c r="J28" s="718">
        <v>137320194.16661984</v>
      </c>
      <c r="K28" s="719">
        <v>136270426.52348468</v>
      </c>
      <c r="L28" s="720">
        <v>135358213.39893907</v>
      </c>
    </row>
    <row r="29" spans="1:12" ht="20.399999999999999" x14ac:dyDescent="0.2">
      <c r="A29" s="674"/>
      <c r="B29" s="401" t="s">
        <v>1037</v>
      </c>
      <c r="C29" s="375"/>
      <c r="D29" s="392">
        <v>9.2998987012048312E-2</v>
      </c>
      <c r="E29" s="393">
        <v>8.667541038134921E-2</v>
      </c>
      <c r="F29" s="394">
        <v>8.0360359026727418E-2</v>
      </c>
      <c r="G29" s="392"/>
      <c r="H29" s="393"/>
      <c r="I29" s="394"/>
      <c r="J29" s="392">
        <v>7.3291489049208958E-2</v>
      </c>
      <c r="K29" s="393">
        <v>6.6839049228292577E-2</v>
      </c>
      <c r="L29" s="394">
        <v>6.0953040305987652E-2</v>
      </c>
    </row>
    <row r="30" spans="1:12" ht="10.199999999999999" x14ac:dyDescent="0.2">
      <c r="A30" s="675" t="s">
        <v>1038</v>
      </c>
      <c r="B30" s="402" t="s">
        <v>1039</v>
      </c>
      <c r="C30" s="375"/>
      <c r="D30" s="392"/>
      <c r="E30" s="393"/>
      <c r="F30" s="394"/>
      <c r="G30" s="392"/>
      <c r="H30" s="393"/>
      <c r="I30" s="394"/>
      <c r="J30" s="392"/>
      <c r="K30" s="393"/>
      <c r="L30" s="394"/>
    </row>
    <row r="31" spans="1:12" ht="10.199999999999999" x14ac:dyDescent="0.2">
      <c r="A31" s="673"/>
      <c r="B31" s="400" t="s">
        <v>1036</v>
      </c>
      <c r="C31" s="375"/>
      <c r="D31" s="392"/>
      <c r="E31" s="393"/>
      <c r="F31" s="394"/>
      <c r="G31" s="392"/>
      <c r="H31" s="393"/>
      <c r="I31" s="394"/>
      <c r="J31" s="392"/>
      <c r="K31" s="393"/>
      <c r="L31" s="394"/>
    </row>
    <row r="32" spans="1:12" ht="20.399999999999999" x14ac:dyDescent="0.2">
      <c r="A32" s="674"/>
      <c r="B32" s="401" t="s">
        <v>1037</v>
      </c>
      <c r="C32" s="375"/>
      <c r="D32" s="392"/>
      <c r="E32" s="393"/>
      <c r="F32" s="394"/>
      <c r="G32" s="392"/>
      <c r="H32" s="393"/>
      <c r="I32" s="394"/>
      <c r="J32" s="392"/>
      <c r="K32" s="393"/>
      <c r="L32" s="394"/>
    </row>
    <row r="33" spans="1:12" ht="20.399999999999999" x14ac:dyDescent="0.2">
      <c r="A33" s="364" t="s">
        <v>35</v>
      </c>
      <c r="B33" s="349" t="s">
        <v>254</v>
      </c>
      <c r="C33" s="350"/>
      <c r="D33" s="389">
        <f>IF(ISERROR(D66/D65),0,(D66/D65))</f>
        <v>0.12843597809939467</v>
      </c>
      <c r="E33" s="390">
        <f t="shared" ref="E33:L33" si="8">IF(ISERROR(E66/E65),0,(E66/E65))</f>
        <v>0.14158423620918076</v>
      </c>
      <c r="F33" s="403">
        <f t="shared" si="8"/>
        <v>0.14209309866021042</v>
      </c>
      <c r="G33" s="386">
        <f t="shared" si="8"/>
        <v>0.13355481548536324</v>
      </c>
      <c r="H33" s="398">
        <f t="shared" si="8"/>
        <v>0.12747867811027352</v>
      </c>
      <c r="I33" s="399">
        <f t="shared" si="8"/>
        <v>0.12747867811027352</v>
      </c>
      <c r="J33" s="386">
        <f t="shared" si="8"/>
        <v>0.11855230360670516</v>
      </c>
      <c r="K33" s="387">
        <f t="shared" si="8"/>
        <v>0.11878488616517388</v>
      </c>
      <c r="L33" s="388">
        <f t="shared" si="8"/>
        <v>0.11675934809451297</v>
      </c>
    </row>
    <row r="34" spans="1:12" ht="20.399999999999999" x14ac:dyDescent="0.2">
      <c r="A34" s="356" t="s">
        <v>187</v>
      </c>
      <c r="B34" s="400" t="s">
        <v>1040</v>
      </c>
      <c r="C34" s="350"/>
      <c r="D34" s="389">
        <f>IF(ISERROR('SD4'!C56/'D2-FinPerf'!C21),0,('SD4'!C56/'D2-FinPerf'!C21))</f>
        <v>9.8009910030919273E-2</v>
      </c>
      <c r="E34" s="390">
        <f>IF(ISERROR('SD4'!D56/'D2-FinPerf'!D21),0,('SD4'!D56/'D2-FinPerf'!D21))</f>
        <v>0.14174968452337561</v>
      </c>
      <c r="F34" s="395">
        <f>IF(ISERROR('SD4'!E56/'D2-FinPerf'!E21),0,('SD4'!E56/'D2-FinPerf'!E21))</f>
        <v>0.1423220227288772</v>
      </c>
      <c r="G34" s="396">
        <f>IF(ISERROR('SD4'!F56/'D2-FinPerf'!F21),0,('SD4'!F56/'D2-FinPerf'!F21))</f>
        <v>0.13421712888167969</v>
      </c>
      <c r="H34" s="390">
        <f>IF(ISERROR('SD4'!G56/'D2-FinPerf'!G21),0,('SD4'!G56/'D2-FinPerf'!G21))</f>
        <v>0.12796334602505124</v>
      </c>
      <c r="I34" s="395">
        <f>IF(ISERROR('SD4'!H56/'D2-FinPerf'!H21),0,('SD4'!H56/'D2-FinPerf'!H21))</f>
        <v>0.12796334602505124</v>
      </c>
      <c r="J34" s="389">
        <f>IF(ISERROR('SD4'!I56/'D2-FinPerf'!I21),0,('SD4'!I56/'D2-FinPerf'!I21))</f>
        <v>0.11885904550549528</v>
      </c>
      <c r="K34" s="390">
        <f>IF(ISERROR('SD4'!J56/'D2-FinPerf'!J21),0,('SD4'!J56/'D2-FinPerf'!J21))</f>
        <v>0.11633451757064413</v>
      </c>
      <c r="L34" s="395">
        <f>IF(ISERROR('SD4'!K56/'D2-FinPerf'!K21),0,('SD4'!K56/'D2-FinPerf'!K21))</f>
        <v>0.11171467199559781</v>
      </c>
    </row>
    <row r="35" spans="1:12" ht="25.5" customHeight="1" x14ac:dyDescent="0.2">
      <c r="A35" s="364" t="s">
        <v>253</v>
      </c>
      <c r="B35" s="349" t="s">
        <v>255</v>
      </c>
      <c r="C35" s="350"/>
      <c r="D35" s="389">
        <f>IF(ISERROR(D67/D65),0,(D67/D65))</f>
        <v>0</v>
      </c>
      <c r="E35" s="390">
        <f t="shared" ref="E35:L35" si="9">IF(ISERROR(E67/E65),0,(E67/E65))</f>
        <v>0</v>
      </c>
      <c r="F35" s="403">
        <f t="shared" si="9"/>
        <v>0</v>
      </c>
      <c r="G35" s="386">
        <f t="shared" si="9"/>
        <v>0</v>
      </c>
      <c r="H35" s="398">
        <f t="shared" si="9"/>
        <v>0</v>
      </c>
      <c r="I35" s="399">
        <f t="shared" si="9"/>
        <v>0</v>
      </c>
      <c r="J35" s="386">
        <f t="shared" si="9"/>
        <v>0</v>
      </c>
      <c r="K35" s="387">
        <f t="shared" si="9"/>
        <v>0</v>
      </c>
      <c r="L35" s="388">
        <f t="shared" si="9"/>
        <v>0</v>
      </c>
    </row>
    <row r="36" spans="1:12" ht="23.25" customHeight="1" x14ac:dyDescent="0.2">
      <c r="A36" s="356" t="s">
        <v>985</v>
      </c>
      <c r="B36" s="404" t="s">
        <v>986</v>
      </c>
      <c r="C36" s="350"/>
      <c r="D36" s="389">
        <f>IF(ISERROR((D48+D49)/D65),0,((D48+D49)/D65))</f>
        <v>1.0336330040152433E-2</v>
      </c>
      <c r="E36" s="390">
        <f t="shared" ref="E36:L36" si="10">IF(ISERROR((E48+E49)/E65),0,((E48+E49)/E65))</f>
        <v>-1.7466146763217408E-2</v>
      </c>
      <c r="F36" s="403">
        <f t="shared" si="10"/>
        <v>4.009127541104146E-2</v>
      </c>
      <c r="G36" s="386">
        <f t="shared" si="10"/>
        <v>3.3823536722685935E-3</v>
      </c>
      <c r="H36" s="398">
        <f t="shared" si="10"/>
        <v>1.5134626670566142E-4</v>
      </c>
      <c r="I36" s="399">
        <f t="shared" si="10"/>
        <v>1.5134626670566142E-4</v>
      </c>
      <c r="J36" s="386">
        <f t="shared" si="10"/>
        <v>3.2524954156983991E-3</v>
      </c>
      <c r="K36" s="387">
        <f t="shared" si="10"/>
        <v>2.7773977266798526E-3</v>
      </c>
      <c r="L36" s="388">
        <f t="shared" si="10"/>
        <v>2.5098512743643312E-3</v>
      </c>
    </row>
    <row r="37" spans="1:12" ht="25.5" customHeight="1" x14ac:dyDescent="0.2">
      <c r="A37" s="348" t="s">
        <v>292</v>
      </c>
      <c r="B37" s="405"/>
      <c r="C37" s="348"/>
      <c r="D37" s="406"/>
      <c r="E37" s="407"/>
      <c r="F37" s="403"/>
      <c r="G37" s="386"/>
      <c r="H37" s="398"/>
      <c r="I37" s="399"/>
      <c r="J37" s="386"/>
      <c r="K37" s="387"/>
      <c r="L37" s="388"/>
    </row>
    <row r="38" spans="1:12" ht="30.6" x14ac:dyDescent="0.2">
      <c r="A38" s="364" t="s">
        <v>167</v>
      </c>
      <c r="B38" s="349" t="s">
        <v>276</v>
      </c>
      <c r="C38" s="350"/>
      <c r="D38" s="408">
        <f>IF(ISERROR(D68/D69),0,(D68/D69))</f>
        <v>20.973837935191611</v>
      </c>
      <c r="E38" s="409">
        <f t="shared" ref="E38:L38" si="11">IF(ISERROR(E68/E69),0,(E68/E69))</f>
        <v>34.532262115866018</v>
      </c>
      <c r="F38" s="410">
        <f t="shared" si="11"/>
        <v>46083.8529051109</v>
      </c>
      <c r="G38" s="408">
        <f t="shared" si="11"/>
        <v>48861.983537729946</v>
      </c>
      <c r="H38" s="411">
        <f t="shared" si="11"/>
        <v>49086.541908276689</v>
      </c>
      <c r="I38" s="412">
        <f t="shared" si="11"/>
        <v>47198.840235758253</v>
      </c>
      <c r="J38" s="413">
        <f t="shared" si="11"/>
        <v>52217.362628818308</v>
      </c>
      <c r="K38" s="411">
        <f t="shared" si="11"/>
        <v>51316.421102585409</v>
      </c>
      <c r="L38" s="412">
        <f t="shared" si="11"/>
        <v>0</v>
      </c>
    </row>
    <row r="39" spans="1:12" ht="20.399999999999999" x14ac:dyDescent="0.2">
      <c r="A39" s="364" t="s">
        <v>282</v>
      </c>
      <c r="B39" s="349" t="s">
        <v>49</v>
      </c>
      <c r="C39" s="350"/>
      <c r="D39" s="385">
        <f>IF(ISERROR(D70/D71),0,(D70/D71))</f>
        <v>0.30001754403012587</v>
      </c>
      <c r="E39" s="407">
        <f t="shared" ref="E39:L39" si="12">IF(ISERROR(E70/E71),0,(E70/E71))</f>
        <v>0.35125979969382387</v>
      </c>
      <c r="F39" s="403">
        <f t="shared" si="12"/>
        <v>0.33725007263400475</v>
      </c>
      <c r="G39" s="386">
        <f t="shared" si="12"/>
        <v>0.28653367466459584</v>
      </c>
      <c r="H39" s="398">
        <f t="shared" si="12"/>
        <v>0.32644582323272925</v>
      </c>
      <c r="I39" s="399">
        <f t="shared" si="12"/>
        <v>0.32644582323272925</v>
      </c>
      <c r="J39" s="386">
        <f t="shared" si="12"/>
        <v>0.29272922897165754</v>
      </c>
      <c r="K39" s="387">
        <f t="shared" si="12"/>
        <v>0.29800999983611143</v>
      </c>
      <c r="L39" s="388">
        <f t="shared" si="12"/>
        <v>0.29829545002729585</v>
      </c>
    </row>
    <row r="40" spans="1:12" ht="20.399999999999999" x14ac:dyDescent="0.2">
      <c r="A40" s="414" t="s">
        <v>168</v>
      </c>
      <c r="B40" s="415" t="s">
        <v>18</v>
      </c>
      <c r="C40" s="416"/>
      <c r="D40" s="417">
        <f>IF(ISERROR(D72/D73),0,(D72/D73))</f>
        <v>0.10344371917412175</v>
      </c>
      <c r="E40" s="418">
        <f t="shared" ref="E40:L40" si="13">IF(ISERROR(E72/E73),0,(E72/E73))</f>
        <v>9.0793690835944008E-3</v>
      </c>
      <c r="F40" s="419">
        <f t="shared" si="13"/>
        <v>2.0723554337628139E-2</v>
      </c>
      <c r="G40" s="420">
        <f t="shared" si="13"/>
        <v>8.7139755906238445E-2</v>
      </c>
      <c r="H40" s="421">
        <f t="shared" si="13"/>
        <v>5.8066784570561206E-2</v>
      </c>
      <c r="I40" s="422">
        <f t="shared" si="13"/>
        <v>5.8066784578866465E-2</v>
      </c>
      <c r="J40" s="420">
        <f t="shared" si="13"/>
        <v>5.2566278546091381E-2</v>
      </c>
      <c r="K40" s="421">
        <f t="shared" si="13"/>
        <v>5.2307079884281571E-2</v>
      </c>
      <c r="L40" s="422">
        <f t="shared" si="13"/>
        <v>5.1832860880265313E-2</v>
      </c>
    </row>
    <row r="41" spans="1:12" ht="12.75" customHeight="1" x14ac:dyDescent="0.2">
      <c r="A41" s="189" t="s">
        <v>162</v>
      </c>
      <c r="B41" s="86"/>
      <c r="C41" s="86"/>
      <c r="D41" s="86"/>
      <c r="E41" s="86"/>
      <c r="F41" s="86"/>
      <c r="G41" s="86"/>
      <c r="H41" s="86"/>
      <c r="I41" s="86"/>
      <c r="J41" s="86"/>
      <c r="K41" s="86"/>
      <c r="L41" s="86"/>
    </row>
    <row r="42" spans="1:12" ht="12.75" customHeight="1" x14ac:dyDescent="0.2">
      <c r="A42" s="136" t="s">
        <v>291</v>
      </c>
      <c r="B42" s="86"/>
      <c r="C42" s="86"/>
      <c r="D42" s="86"/>
      <c r="E42" s="86"/>
      <c r="F42" s="86"/>
      <c r="G42" s="86"/>
      <c r="H42" s="86"/>
      <c r="I42" s="86"/>
      <c r="J42" s="86"/>
      <c r="K42" s="86"/>
      <c r="L42" s="86"/>
    </row>
    <row r="43" spans="1:12" ht="12.75" customHeight="1" x14ac:dyDescent="0.2">
      <c r="A43" s="136" t="s">
        <v>293</v>
      </c>
      <c r="B43" s="86"/>
      <c r="C43" s="86"/>
      <c r="D43" s="86"/>
      <c r="E43" s="86"/>
      <c r="F43" s="86"/>
      <c r="G43" s="86"/>
      <c r="H43" s="86"/>
      <c r="I43" s="86"/>
      <c r="J43" s="86"/>
      <c r="K43" s="86"/>
      <c r="L43" s="86"/>
    </row>
    <row r="44" spans="1:12" ht="12.75" customHeight="1" x14ac:dyDescent="0.2">
      <c r="A44" s="86"/>
      <c r="B44" s="86"/>
      <c r="C44" s="86"/>
      <c r="D44" s="86"/>
      <c r="E44" s="86"/>
      <c r="F44" s="86"/>
      <c r="G44" s="86"/>
      <c r="H44" s="86"/>
      <c r="I44" s="86"/>
      <c r="J44" s="86"/>
      <c r="K44" s="86"/>
      <c r="L44" s="86"/>
    </row>
    <row r="45" spans="1:12" ht="12.75" customHeight="1" x14ac:dyDescent="0.2">
      <c r="A45" s="345" t="s">
        <v>416</v>
      </c>
      <c r="B45" s="86"/>
      <c r="C45" s="86"/>
      <c r="D45" s="72"/>
      <c r="E45" s="72"/>
      <c r="F45" s="72"/>
      <c r="G45" s="72"/>
      <c r="H45" s="72"/>
      <c r="I45" s="72"/>
      <c r="J45" s="72"/>
      <c r="K45" s="72"/>
      <c r="L45" s="72"/>
    </row>
    <row r="46" spans="1:12" ht="12.75" customHeight="1" x14ac:dyDescent="0.2">
      <c r="A46" s="86" t="str">
        <f>'D4-FinPos'!A37</f>
        <v>Borrowing</v>
      </c>
      <c r="B46" s="86"/>
      <c r="C46" s="86"/>
      <c r="D46" s="343">
        <f>'D4-FinPos'!C37</f>
        <v>0</v>
      </c>
      <c r="E46" s="343">
        <f>'D4-FinPos'!D37</f>
        <v>0</v>
      </c>
      <c r="F46" s="343">
        <f>'D4-FinPos'!E37</f>
        <v>0</v>
      </c>
      <c r="G46" s="343">
        <f>'D4-FinPos'!F37</f>
        <v>0</v>
      </c>
      <c r="H46" s="344">
        <f>'D4-FinPos'!G37</f>
        <v>0</v>
      </c>
      <c r="I46" s="344">
        <f>'D4-FinPos'!H37</f>
        <v>0</v>
      </c>
      <c r="J46" s="344">
        <f>'D4-FinPos'!I37</f>
        <v>0</v>
      </c>
      <c r="K46" s="344">
        <f>'D4-FinPos'!J37</f>
        <v>0</v>
      </c>
      <c r="L46" s="344">
        <f>'D4-FinPos'!K37</f>
        <v>0</v>
      </c>
    </row>
    <row r="47" spans="1:12" ht="12.75" customHeight="1" x14ac:dyDescent="0.2">
      <c r="A47" s="86" t="str">
        <f>'D4-FinPos'!A25</f>
        <v>TOTAL ASSETS</v>
      </c>
      <c r="B47" s="86"/>
      <c r="C47" s="86"/>
      <c r="D47" s="343">
        <f>'D4-FinPos'!C25</f>
        <v>5103799797</v>
      </c>
      <c r="E47" s="343">
        <f>'D4-FinPos'!D25</f>
        <v>5344344602</v>
      </c>
      <c r="F47" s="343">
        <f>'D4-FinPos'!E25</f>
        <v>11740041967</v>
      </c>
      <c r="G47" s="343">
        <f>'D4-FinPos'!F25</f>
        <v>5432869942</v>
      </c>
      <c r="H47" s="344">
        <f>'D4-FinPos'!G25</f>
        <v>9284076833.0283127</v>
      </c>
      <c r="I47" s="344">
        <f>'D4-FinPos'!H25</f>
        <v>9284076833.0283127</v>
      </c>
      <c r="J47" s="344">
        <f>'D4-FinPos'!I25</f>
        <v>9563289343.1810036</v>
      </c>
      <c r="K47" s="344">
        <f>'D4-FinPos'!J25</f>
        <v>9826769421.645153</v>
      </c>
      <c r="L47" s="344">
        <f>'D4-FinPos'!K25</f>
        <v>10104819652.652441</v>
      </c>
    </row>
    <row r="48" spans="1:12" ht="12.75" customHeight="1" x14ac:dyDescent="0.2">
      <c r="A48" s="86" t="str">
        <f>'D2-FinPerf'!A28</f>
        <v>Finance charges</v>
      </c>
      <c r="B48" s="86"/>
      <c r="C48" s="86"/>
      <c r="D48" s="343">
        <f>'D2-FinPerf'!C28</f>
        <v>117459</v>
      </c>
      <c r="E48" s="343">
        <f>'D2-FinPerf'!D28</f>
        <v>9340427.5199999996</v>
      </c>
      <c r="F48" s="343">
        <f>'D2-FinPerf'!E28</f>
        <v>17443292.77</v>
      </c>
      <c r="G48" s="343">
        <f>'D2-FinPerf'!F28</f>
        <v>56654</v>
      </c>
      <c r="H48" s="344">
        <f>'D2-FinPerf'!G28</f>
        <v>56654</v>
      </c>
      <c r="I48" s="344">
        <f>'D2-FinPerf'!H28</f>
        <v>56654</v>
      </c>
      <c r="J48" s="344">
        <f>'D2-FinPerf'!I28</f>
        <v>58864.046280000002</v>
      </c>
      <c r="K48" s="344">
        <f>'D2-FinPerf'!J28</f>
        <v>61336.336223760001</v>
      </c>
      <c r="L48" s="344">
        <f>'D2-FinPerf'!K28</f>
        <v>64035.13501760544</v>
      </c>
    </row>
    <row r="49" spans="1:12" ht="12.75" customHeight="1" x14ac:dyDescent="0.2">
      <c r="A49" s="86" t="str">
        <f>'D2-FinPerf'!A27</f>
        <v>Depreciation &amp; asset impairment</v>
      </c>
      <c r="B49" s="86"/>
      <c r="C49" s="86"/>
      <c r="D49" s="343">
        <f>'D2-FinPerf'!C26</f>
        <v>24223327</v>
      </c>
      <c r="E49" s="343">
        <f>'D2-FinPerf'!D26</f>
        <v>-52208035.170000002</v>
      </c>
      <c r="F49" s="343">
        <f>'D2-FinPerf'!E26</f>
        <v>87129247</v>
      </c>
      <c r="G49" s="343">
        <f>'D2-FinPerf'!F26</f>
        <v>9297599</v>
      </c>
      <c r="H49" s="344">
        <f>'D2-FinPerf'!G26</f>
        <v>363833.56</v>
      </c>
      <c r="I49" s="344">
        <f>'D2-FinPerf'!H26</f>
        <v>363833.56</v>
      </c>
      <c r="J49" s="344">
        <f>'D2-FinPerf'!I26</f>
        <v>10358298.885784</v>
      </c>
      <c r="K49" s="344">
        <f>'D2-FinPerf'!J26</f>
        <v>9065342.4451530743</v>
      </c>
      <c r="L49" s="344">
        <f>'D2-FinPerf'!K26</f>
        <v>8561485.4560206402</v>
      </c>
    </row>
    <row r="50" spans="1:12" ht="12.75" customHeight="1" x14ac:dyDescent="0.2">
      <c r="A50" s="86" t="str">
        <f>'D2-FinPerf'!A35</f>
        <v>Total Expenditure</v>
      </c>
      <c r="B50" s="86"/>
      <c r="C50" s="86"/>
      <c r="D50" s="343">
        <f>'D2-FinPerf'!C35</f>
        <v>2195931544.3400002</v>
      </c>
      <c r="E50" s="343">
        <f>'D2-FinPerf'!D35</f>
        <v>2441390599.8499999</v>
      </c>
      <c r="F50" s="343">
        <f>'D2-FinPerf'!E35</f>
        <v>2704077302.4900002</v>
      </c>
      <c r="G50" s="343">
        <f>'D2-FinPerf'!F35</f>
        <v>2445068958</v>
      </c>
      <c r="H50" s="344">
        <f>'D2-FinPerf'!G35</f>
        <v>2447411143.8400002</v>
      </c>
      <c r="I50" s="344">
        <f>'D2-FinPerf'!H35</f>
        <v>2447411143.4900002</v>
      </c>
      <c r="J50" s="344">
        <f>'D2-FinPerf'!I35</f>
        <v>2824405619.2257676</v>
      </c>
      <c r="K50" s="344">
        <f>'D2-FinPerf'!J35</f>
        <v>2961488002.074007</v>
      </c>
      <c r="L50" s="344">
        <f>'D2-FinPerf'!K35</f>
        <v>3122069150.4085512</v>
      </c>
    </row>
    <row r="51" spans="1:12" ht="12.75" customHeight="1" x14ac:dyDescent="0.2">
      <c r="A51" s="86" t="str">
        <f>'D5-CFlow'!A33</f>
        <v>Borrowing long term/refinancing</v>
      </c>
      <c r="B51" s="86"/>
      <c r="C51" s="86"/>
      <c r="D51" s="343">
        <f>'D5-CFlow'!C33</f>
        <v>0</v>
      </c>
      <c r="E51" s="343">
        <f>'D5-CFlow'!D33</f>
        <v>0</v>
      </c>
      <c r="F51" s="343">
        <f>'D5-CFlow'!E33</f>
        <v>0</v>
      </c>
      <c r="G51" s="343">
        <f>'D5-CFlow'!F33</f>
        <v>0</v>
      </c>
      <c r="H51" s="344">
        <f>'D5-CFlow'!G33</f>
        <v>0</v>
      </c>
      <c r="I51" s="344">
        <f>'D5-CFlow'!H33</f>
        <v>0</v>
      </c>
      <c r="J51" s="344">
        <f>'D5-CFlow'!I33</f>
        <v>0</v>
      </c>
      <c r="K51" s="344">
        <f>'D5-CFlow'!J33</f>
        <v>0</v>
      </c>
      <c r="L51" s="344">
        <f>'D5-CFlow'!K33</f>
        <v>0</v>
      </c>
    </row>
    <row r="52" spans="1:12" ht="12.75" customHeight="1" x14ac:dyDescent="0.2">
      <c r="A52" s="86" t="s">
        <v>830</v>
      </c>
      <c r="B52" s="86"/>
      <c r="C52" s="86"/>
      <c r="D52" s="343">
        <f>'D3-Capex'!C167</f>
        <v>117385197.39999999</v>
      </c>
      <c r="E52" s="343">
        <f>'D3-Capex'!D167</f>
        <v>178299145.59999996</v>
      </c>
      <c r="F52" s="343">
        <f>'D3-Capex'!E167</f>
        <v>110238627.13</v>
      </c>
      <c r="G52" s="343">
        <f>'D3-Capex'!F167</f>
        <v>169725001</v>
      </c>
      <c r="H52" s="344">
        <f>'D3-Capex'!G167</f>
        <v>179285774</v>
      </c>
      <c r="I52" s="344">
        <f>'D3-Capex'!H167</f>
        <v>179285774</v>
      </c>
      <c r="J52" s="344">
        <f>'D3-Capex'!I167</f>
        <v>217751825.96328667</v>
      </c>
      <c r="K52" s="344">
        <f>'D3-Capex'!J167</f>
        <v>143462010.80420658</v>
      </c>
      <c r="L52" s="344">
        <f>'D3-Capex'!K167</f>
        <v>126391958.95704556</v>
      </c>
    </row>
    <row r="53" spans="1:12" ht="12.75" customHeight="1" x14ac:dyDescent="0.2">
      <c r="A53" s="86" t="s">
        <v>388</v>
      </c>
      <c r="B53" s="86"/>
      <c r="C53" s="86"/>
      <c r="D53" s="343">
        <f>'D3-Capex'!C174</f>
        <v>0</v>
      </c>
      <c r="E53" s="343">
        <f>'D3-Capex'!D174</f>
        <v>0</v>
      </c>
      <c r="F53" s="343">
        <f>'D3-Capex'!E174</f>
        <v>0</v>
      </c>
      <c r="G53" s="343">
        <f>'D3-Capex'!F174</f>
        <v>0</v>
      </c>
      <c r="H53" s="344">
        <f>'D3-Capex'!G174</f>
        <v>0</v>
      </c>
      <c r="I53" s="344">
        <f>'D3-Capex'!H174</f>
        <v>0</v>
      </c>
      <c r="J53" s="344">
        <f>'D3-Capex'!I174</f>
        <v>0</v>
      </c>
      <c r="K53" s="344">
        <f>'D3-Capex'!J174</f>
        <v>0</v>
      </c>
      <c r="L53" s="344">
        <f>'D3-Capex'!K174</f>
        <v>0</v>
      </c>
    </row>
    <row r="54" spans="1:12" ht="12.75" customHeight="1" x14ac:dyDescent="0.2">
      <c r="A54" s="86" t="s">
        <v>37</v>
      </c>
      <c r="B54" s="86"/>
      <c r="C54" s="86"/>
      <c r="D54" s="343">
        <f>'D3-Capex'!C175</f>
        <v>0</v>
      </c>
      <c r="E54" s="343">
        <f>'D3-Capex'!D175</f>
        <v>0</v>
      </c>
      <c r="F54" s="343">
        <f>'D3-Capex'!E175</f>
        <v>0</v>
      </c>
      <c r="G54" s="343">
        <f>'D3-Capex'!F175</f>
        <v>0</v>
      </c>
      <c r="H54" s="344">
        <f>'D3-Capex'!G175</f>
        <v>0</v>
      </c>
      <c r="I54" s="344">
        <f>'D3-Capex'!H175</f>
        <v>0</v>
      </c>
      <c r="J54" s="344">
        <f>'D3-Capex'!I175</f>
        <v>0</v>
      </c>
      <c r="K54" s="344">
        <f>'D3-Capex'!J175</f>
        <v>0</v>
      </c>
      <c r="L54" s="344">
        <f>'D3-Capex'!K175</f>
        <v>0</v>
      </c>
    </row>
    <row r="55" spans="1:12" ht="12.75" customHeight="1" x14ac:dyDescent="0.2">
      <c r="A55" s="86" t="s">
        <v>418</v>
      </c>
      <c r="B55" s="86"/>
      <c r="C55" s="86"/>
      <c r="D55" s="343">
        <f>'D4-FinPos'!C37+'D4-FinPos'!C32+'D4-FinPos'!C29+'D4-FinPos'!C30</f>
        <v>565612500</v>
      </c>
      <c r="E55" s="343">
        <f>'D4-FinPos'!D37+'D4-FinPos'!D32+'D4-FinPos'!D29+'D4-FinPos'!D30</f>
        <v>876260393</v>
      </c>
      <c r="F55" s="343">
        <f>'D4-FinPos'!E37+'D4-FinPos'!E32+'D4-FinPos'!E29+'D4-FinPos'!E30</f>
        <v>5066052204.7200003</v>
      </c>
      <c r="G55" s="343">
        <f>'D4-FinPos'!F37+'D4-FinPos'!F32+'D4-FinPos'!F29+'D4-FinPos'!F30</f>
        <v>563081897</v>
      </c>
      <c r="H55" s="344">
        <f>'D4-FinPos'!G37+'D4-FinPos'!G32+'D4-FinPos'!G29+'D4-FinPos'!G30</f>
        <v>739174644.83516073</v>
      </c>
      <c r="I55" s="344">
        <f>'D4-FinPos'!H37+'D4-FinPos'!H32+'D4-FinPos'!H29+'D4-FinPos'!H30</f>
        <v>739174644.83516073</v>
      </c>
      <c r="J55" s="344">
        <f>'D4-FinPos'!I37+'D4-FinPos'!I32+'D4-FinPos'!I29+'D4-FinPos'!I30</f>
        <v>769480805.27340233</v>
      </c>
      <c r="K55" s="344">
        <f>'D4-FinPos'!J37+'D4-FinPos'!J32+'D4-FinPos'!J29+'D4-FinPos'!J30</f>
        <v>803337960.70543206</v>
      </c>
      <c r="L55" s="344">
        <f>'D4-FinPos'!K37+'D4-FinPos'!K32+'D4-FinPos'!K29+'D4-FinPos'!K30</f>
        <v>839488168.93717659</v>
      </c>
    </row>
    <row r="56" spans="1:12" ht="12.75" customHeight="1" x14ac:dyDescent="0.2">
      <c r="A56" s="86" t="str">
        <f>'D4-FinPos'!A48</f>
        <v>TOTAL COMMUNITY WEALTH/EQUITY</v>
      </c>
      <c r="B56" s="86"/>
      <c r="C56" s="86"/>
      <c r="D56" s="343">
        <f>'D4-FinPos'!C48</f>
        <v>3829471342</v>
      </c>
      <c r="E56" s="343">
        <f>'D4-FinPos'!D48</f>
        <v>3633703301.1900001</v>
      </c>
      <c r="F56" s="343">
        <f>'D4-FinPos'!E48</f>
        <v>5006208983.1400003</v>
      </c>
      <c r="G56" s="343">
        <f>'D4-FinPos'!F48</f>
        <v>4079956882</v>
      </c>
      <c r="H56" s="344">
        <f>'D4-FinPos'!G48</f>
        <v>6825217107.9931526</v>
      </c>
      <c r="I56" s="344">
        <f>'D4-FinPos'!H48</f>
        <v>6825217107.9931526</v>
      </c>
      <c r="J56" s="344">
        <f>'D4-FinPos'!I48</f>
        <v>7003616369.4194012</v>
      </c>
      <c r="K56" s="344">
        <f>'D4-FinPos'!J48</f>
        <v>7154470837.0380402</v>
      </c>
      <c r="L56" s="344">
        <f>'D4-FinPos'!K48</f>
        <v>7312267631.7380085</v>
      </c>
    </row>
    <row r="57" spans="1:12" ht="12.75" customHeight="1" x14ac:dyDescent="0.2">
      <c r="A57" s="86" t="str">
        <f>'D4-FinPos'!A37</f>
        <v>Borrowing</v>
      </c>
      <c r="B57" s="86"/>
      <c r="C57" s="86"/>
      <c r="D57" s="343">
        <f>'D4-FinPos'!C37</f>
        <v>0</v>
      </c>
      <c r="E57" s="343">
        <f>'D4-FinPos'!D37</f>
        <v>0</v>
      </c>
      <c r="F57" s="343">
        <f>'D4-FinPos'!E37</f>
        <v>0</v>
      </c>
      <c r="G57" s="343">
        <f>'D4-FinPos'!F37</f>
        <v>0</v>
      </c>
      <c r="H57" s="343">
        <f>'D4-FinPos'!G37</f>
        <v>0</v>
      </c>
      <c r="I57" s="343">
        <f>'D4-FinPos'!H37</f>
        <v>0</v>
      </c>
      <c r="J57" s="343">
        <f>'D4-FinPos'!I37</f>
        <v>0</v>
      </c>
      <c r="K57" s="343">
        <f>'D4-FinPos'!J37</f>
        <v>0</v>
      </c>
      <c r="L57" s="343">
        <f>'D4-FinPos'!K37</f>
        <v>0</v>
      </c>
    </row>
    <row r="58" spans="1:12" ht="12.75" customHeight="1" x14ac:dyDescent="0.2">
      <c r="A58" s="86" t="str">
        <f>'D4-FinPos'!A12</f>
        <v>Total current assets</v>
      </c>
      <c r="B58" s="86"/>
      <c r="C58" s="86"/>
      <c r="D58" s="343">
        <f>'D4-FinPos'!C12</f>
        <v>888229644</v>
      </c>
      <c r="E58" s="343">
        <f>'D4-FinPos'!D12</f>
        <v>937401927</v>
      </c>
      <c r="F58" s="343">
        <f>'D4-FinPos'!E12</f>
        <v>3676232967</v>
      </c>
      <c r="G58" s="343">
        <f>'D4-FinPos'!F12</f>
        <v>1001771229</v>
      </c>
      <c r="H58" s="343">
        <f>'D4-FinPos'!G12</f>
        <v>1132535189.3883131</v>
      </c>
      <c r="I58" s="343">
        <f>'D4-FinPos'!H12</f>
        <v>1132535189.3883131</v>
      </c>
      <c r="J58" s="343">
        <f>'D4-FinPos'!I12</f>
        <v>1178969132.1532335</v>
      </c>
      <c r="K58" s="343">
        <f>'D4-FinPos'!J12</f>
        <v>1230843773.9679761</v>
      </c>
      <c r="L58" s="343">
        <f>'D4-FinPos'!K12</f>
        <v>1286231743.7965348</v>
      </c>
    </row>
    <row r="59" spans="1:12" ht="12.75" customHeight="1" x14ac:dyDescent="0.2">
      <c r="A59" s="86" t="str">
        <f>'D4-FinPos'!A34</f>
        <v>Total current liabilities</v>
      </c>
      <c r="B59" s="86"/>
      <c r="C59" s="86"/>
      <c r="D59" s="343">
        <f>'D4-FinPos'!C34</f>
        <v>680083556</v>
      </c>
      <c r="E59" s="343">
        <f>'D4-FinPos'!D34</f>
        <v>1022687787</v>
      </c>
      <c r="F59" s="343">
        <f>'D4-FinPos'!E34</f>
        <v>5229801538.0600004</v>
      </c>
      <c r="G59" s="343">
        <f>'D4-FinPos'!F34</f>
        <v>698572235</v>
      </c>
      <c r="H59" s="343">
        <f>'D4-FinPos'!G34</f>
        <v>894317540.23516071</v>
      </c>
      <c r="I59" s="343">
        <f>'D4-FinPos'!H34</f>
        <v>894317540.23516071</v>
      </c>
      <c r="J59" s="343">
        <f>'D4-FinPos'!I34</f>
        <v>930984559.38480234</v>
      </c>
      <c r="K59" s="343">
        <f>'D4-FinPos'!J34</f>
        <v>971947879.99773371</v>
      </c>
      <c r="L59" s="343">
        <f>'D4-FinPos'!K34</f>
        <v>1015685534.5976317</v>
      </c>
    </row>
    <row r="60" spans="1:12" ht="12.75" customHeight="1" x14ac:dyDescent="0.2">
      <c r="A60" s="86" t="s">
        <v>419</v>
      </c>
      <c r="B60" s="86"/>
      <c r="C60" s="86"/>
      <c r="D60" s="423"/>
      <c r="E60" s="423"/>
      <c r="F60" s="423"/>
      <c r="G60" s="423"/>
      <c r="H60" s="423"/>
      <c r="I60" s="423"/>
      <c r="J60" s="423"/>
      <c r="K60" s="423"/>
      <c r="L60" s="423"/>
    </row>
    <row r="61" spans="1:12" ht="12.75" customHeight="1" x14ac:dyDescent="0.2">
      <c r="A61" s="86" t="s">
        <v>420</v>
      </c>
      <c r="B61" s="86"/>
      <c r="C61" s="86"/>
      <c r="D61" s="343">
        <f>'D4-FinPos'!C6+'D4-FinPos'!C7-'D4-FinPos'!C29</f>
        <v>134733187</v>
      </c>
      <c r="E61" s="343">
        <f>'D4-FinPos'!D6+'D4-FinPos'!D7-'D4-FinPos'!D29</f>
        <v>13555909</v>
      </c>
      <c r="F61" s="343">
        <f>'D4-FinPos'!E6+'D4-FinPos'!E7-'D4-FinPos'!E29</f>
        <v>32393431.82</v>
      </c>
      <c r="G61" s="343">
        <f>'D4-FinPos'!F6+'D4-FinPos'!F7-'D4-FinPos'!F29</f>
        <v>127351513</v>
      </c>
      <c r="H61" s="344">
        <f>'D4-FinPos'!G6+'D4-FinPos'!G7-'D4-FinPos'!G29</f>
        <v>85255301.400000006</v>
      </c>
      <c r="I61" s="344">
        <f>'D4-FinPos'!H6+'D4-FinPos'!H7-'D4-FinPos'!H29</f>
        <v>85255301.400000006</v>
      </c>
      <c r="J61" s="344">
        <f>'D4-FinPos'!I6+'D4-FinPos'!I7-'D4-FinPos'!I29</f>
        <v>88750768.757399991</v>
      </c>
      <c r="K61" s="344">
        <f>'D4-FinPos'!J6+'D4-FinPos'!J7-'D4-FinPos'!J29</f>
        <v>92655802.582725599</v>
      </c>
      <c r="L61" s="344">
        <f>'D4-FinPos'!K6+'D4-FinPos'!K7-'D4-FinPos'!K29</f>
        <v>96825313.698948249</v>
      </c>
    </row>
    <row r="62" spans="1:12" ht="12.75" customHeight="1" x14ac:dyDescent="0.2">
      <c r="A62" s="86" t="s">
        <v>421</v>
      </c>
      <c r="B62" s="86"/>
      <c r="C62" s="86"/>
      <c r="D62" s="343"/>
      <c r="E62" s="343">
        <f>'D5-CFlow'!C6</f>
        <v>0</v>
      </c>
      <c r="F62" s="343">
        <f>'D5-CFlow'!D6</f>
        <v>0</v>
      </c>
      <c r="G62" s="343">
        <f>'D5-CFlow'!E6</f>
        <v>0</v>
      </c>
      <c r="H62" s="344">
        <f>'D5-CFlow'!F6</f>
        <v>0</v>
      </c>
      <c r="I62" s="344">
        <f>'D5-CFlow'!G6</f>
        <v>0</v>
      </c>
      <c r="J62" s="344">
        <f>'D5-CFlow'!H6</f>
        <v>0</v>
      </c>
      <c r="K62" s="344">
        <f>'D5-CFlow'!I6</f>
        <v>0</v>
      </c>
      <c r="L62" s="344">
        <f>'D5-CFlow'!J6</f>
        <v>0</v>
      </c>
    </row>
    <row r="63" spans="1:12" ht="12.75" customHeight="1" x14ac:dyDescent="0.2">
      <c r="A63" s="86" t="s">
        <v>422</v>
      </c>
      <c r="B63" s="86"/>
      <c r="C63" s="86"/>
      <c r="D63" s="343"/>
      <c r="E63" s="343">
        <f>SUM('D2-FinPerf'!C5:C11)+SUM('D2-FinPerf'!C15:C17)+'D2-FinPerf'!C19</f>
        <v>2328184231</v>
      </c>
      <c r="F63" s="343">
        <f>SUM('D2-FinPerf'!D5:D11)+SUM('D2-FinPerf'!D15:D17)+'D2-FinPerf'!D19</f>
        <v>2417349694.5400004</v>
      </c>
      <c r="G63" s="343">
        <f>SUM('D2-FinPerf'!E5:E11)+SUM('D2-FinPerf'!E15:E17)+'D2-FinPerf'!E19</f>
        <v>2576132425.9799995</v>
      </c>
      <c r="H63" s="344">
        <f>SUM('D2-FinPerf'!F5:F11)+SUM('D2-FinPerf'!F15:F17)+'D2-FinPerf'!F19</f>
        <v>2747630158</v>
      </c>
      <c r="I63" s="344">
        <f>SUM('D2-FinPerf'!G5:G11)+SUM('D2-FinPerf'!G15:G17)+'D2-FinPerf'!G19</f>
        <v>2747680158</v>
      </c>
      <c r="J63" s="344">
        <f>SUM('D2-FinPerf'!H5:H11)+SUM('D2-FinPerf'!H15:H17)+'D2-FinPerf'!H19</f>
        <v>2747680158</v>
      </c>
      <c r="K63" s="344">
        <f>SUM('D2-FinPerf'!I5:I11)+SUM('D2-FinPerf'!I15:I17)+'D2-FinPerf'!I19</f>
        <v>3170257620.9856</v>
      </c>
      <c r="L63" s="344">
        <f>SUM('D2-FinPerf'!J5:J11)+SUM('D2-FinPerf'!J15:J17)+'D2-FinPerf'!J19</f>
        <v>3251536018.5947356</v>
      </c>
    </row>
    <row r="64" spans="1:12" ht="12.75" customHeight="1" x14ac:dyDescent="0.2">
      <c r="A64" s="86" t="s">
        <v>423</v>
      </c>
      <c r="B64" s="86"/>
      <c r="C64" s="86"/>
      <c r="D64" s="343">
        <f>'D4-FinPos'!C8+'D4-FinPos'!C9+'D4-FinPos'!C10+'D4-FinPos'!C15</f>
        <v>658313846</v>
      </c>
      <c r="E64" s="343">
        <f>'D4-FinPos'!D8+'D4-FinPos'!D9+'D4-FinPos'!D10+'D4-FinPos'!D15</f>
        <v>840371915</v>
      </c>
      <c r="F64" s="343">
        <f>'D4-FinPos'!E8+'D4-FinPos'!E9+'D4-FinPos'!E10+'D4-FinPos'!E15</f>
        <v>3536063487.98</v>
      </c>
      <c r="G64" s="343">
        <f>'D4-FinPos'!F8+'D4-FinPos'!F9+'D4-FinPos'!F10+'D4-FinPos'!F15</f>
        <v>780620514</v>
      </c>
      <c r="H64" s="344">
        <f>'D4-FinPos'!G8+'D4-FinPos'!G9+'D4-FinPos'!G10+'D4-FinPos'!G15</f>
        <v>952003893.38831306</v>
      </c>
      <c r="I64" s="344">
        <f>'D4-FinPos'!H8+'D4-FinPos'!H9+'D4-FinPos'!H10+'D4-FinPos'!H15</f>
        <v>952003893.38831306</v>
      </c>
      <c r="J64" s="344">
        <f>'D4-FinPos'!I8+'D4-FinPos'!I9+'D4-FinPos'!I10+'D4-FinPos'!I15</f>
        <v>991036053.01723373</v>
      </c>
      <c r="K64" s="344">
        <f>'D4-FinPos'!J8+'D4-FinPos'!J9+'D4-FinPos'!J10+'D4-FinPos'!J15</f>
        <v>1034641639.349992</v>
      </c>
      <c r="L64" s="344">
        <f>'D4-FinPos'!K8+'D4-FinPos'!K9+'D4-FinPos'!K10+'D4-FinPos'!K15</f>
        <v>1081200513.1207416</v>
      </c>
    </row>
    <row r="65" spans="1:12" ht="12.75" customHeight="1" x14ac:dyDescent="0.2">
      <c r="A65" s="86" t="str">
        <f>'D2-FinPerf'!A21</f>
        <v>Total Revenue (excluding capital transfers and contributions)</v>
      </c>
      <c r="B65" s="86"/>
      <c r="C65" s="86"/>
      <c r="D65" s="343">
        <f>'D2-FinPerf'!C21</f>
        <v>2354877012</v>
      </c>
      <c r="E65" s="343">
        <f>'D2-FinPerf'!D21</f>
        <v>2454325400.5100002</v>
      </c>
      <c r="F65" s="343">
        <f>'D2-FinPerf'!E21</f>
        <v>2608361512.52</v>
      </c>
      <c r="G65" s="343">
        <f>'D2-FinPerf'!F21</f>
        <v>2765604637</v>
      </c>
      <c r="H65" s="344">
        <f>'D2-FinPerf'!G21</f>
        <v>2778314716</v>
      </c>
      <c r="I65" s="344">
        <f>'D2-FinPerf'!H21</f>
        <v>2778314716</v>
      </c>
      <c r="J65" s="344">
        <f>'D2-FinPerf'!I21</f>
        <v>3202821710.9191999</v>
      </c>
      <c r="K65" s="344">
        <f>'D2-FinPerf'!J21</f>
        <v>3286053953.9243517</v>
      </c>
      <c r="L65" s="344">
        <f>'D2-FinPerf'!K21</f>
        <v>3436666020.4688134</v>
      </c>
    </row>
    <row r="66" spans="1:12" ht="12.75" customHeight="1" x14ac:dyDescent="0.2">
      <c r="A66" s="86" t="str">
        <f>'D2-FinPerf'!A24</f>
        <v>Employee related costs</v>
      </c>
      <c r="B66" s="86"/>
      <c r="C66" s="86"/>
      <c r="D66" s="343">
        <f>'D2-FinPerf'!C24</f>
        <v>302450932.33999997</v>
      </c>
      <c r="E66" s="343">
        <f>'D2-FinPerf'!D24</f>
        <v>347493787.24000001</v>
      </c>
      <c r="F66" s="343">
        <f>'D2-FinPerf'!E24</f>
        <v>370630169.74000001</v>
      </c>
      <c r="G66" s="343">
        <f>'D2-FinPerf'!F24</f>
        <v>369359817</v>
      </c>
      <c r="H66" s="344">
        <f>'D2-FinPerf'!G24</f>
        <v>354175887.37</v>
      </c>
      <c r="I66" s="344">
        <f>'D2-FinPerf'!H24</f>
        <v>354175887.37</v>
      </c>
      <c r="J66" s="344">
        <f>'D2-FinPerf'!I24</f>
        <v>379701891.87103987</v>
      </c>
      <c r="K66" s="344">
        <f>'D2-FinPerf'!J24</f>
        <v>390333544.84952366</v>
      </c>
      <c r="L66" s="344">
        <f>'D2-FinPerf'!K24</f>
        <v>401262884.16850281</v>
      </c>
    </row>
    <row r="67" spans="1:12" ht="12.75" customHeight="1" x14ac:dyDescent="0.2">
      <c r="A67" s="86" t="s">
        <v>424</v>
      </c>
      <c r="B67" s="86"/>
      <c r="C67" s="86"/>
      <c r="D67" s="343">
        <f>'D2-FinPerf'!C47</f>
        <v>0</v>
      </c>
      <c r="E67" s="343">
        <f>'D2-FinPerf'!D47</f>
        <v>0</v>
      </c>
      <c r="F67" s="343">
        <f>'D2-FinPerf'!E47</f>
        <v>0</v>
      </c>
      <c r="G67" s="343">
        <f>'D2-FinPerf'!F47</f>
        <v>0</v>
      </c>
      <c r="H67" s="344">
        <f>'D2-FinPerf'!G47</f>
        <v>0</v>
      </c>
      <c r="I67" s="344">
        <f>'D2-FinPerf'!H47</f>
        <v>0</v>
      </c>
      <c r="J67" s="344">
        <f>'D2-FinPerf'!I47</f>
        <v>0</v>
      </c>
      <c r="K67" s="344">
        <f>'D2-FinPerf'!J47</f>
        <v>0</v>
      </c>
      <c r="L67" s="344">
        <f>'D2-FinPerf'!K47</f>
        <v>0</v>
      </c>
    </row>
    <row r="68" spans="1:12" ht="12.75" customHeight="1" x14ac:dyDescent="0.2">
      <c r="A68" s="86" t="s">
        <v>425</v>
      </c>
      <c r="B68" s="86"/>
      <c r="C68" s="86"/>
      <c r="D68" s="343">
        <f>D65-'D2-FinPerf'!C18</f>
        <v>2354877012</v>
      </c>
      <c r="E68" s="343">
        <f>E65-'D2-FinPerf'!D18</f>
        <v>2454325400.5100002</v>
      </c>
      <c r="F68" s="343">
        <f>F65-'D2-FinPerf'!E18</f>
        <v>2608361512.52</v>
      </c>
      <c r="G68" s="343">
        <f>G65-'D2-FinPerf'!F18</f>
        <v>2765604637</v>
      </c>
      <c r="H68" s="344">
        <f>H65-'D2-FinPerf'!G18</f>
        <v>2778314716</v>
      </c>
      <c r="I68" s="344">
        <f>I65-'D2-FinPerf'!H18</f>
        <v>2778314716</v>
      </c>
      <c r="J68" s="344">
        <f>J65-'D2-FinPerf'!I18</f>
        <v>3202821710.9191999</v>
      </c>
      <c r="K68" s="344">
        <f>K65-'D2-FinPerf'!J18</f>
        <v>3286053953.9243517</v>
      </c>
      <c r="L68" s="344">
        <f>L65-'D2-FinPerf'!K18</f>
        <v>3436666020.4688134</v>
      </c>
    </row>
    <row r="69" spans="1:12" ht="12.75" customHeight="1" x14ac:dyDescent="0.2">
      <c r="A69" s="86" t="s">
        <v>426</v>
      </c>
      <c r="B69" s="86"/>
      <c r="C69" s="86"/>
      <c r="D69" s="423">
        <f>-('D5-CFlow'!D15+'D5-CFlow'!D36)</f>
        <v>112276876.52</v>
      </c>
      <c r="E69" s="423">
        <f>-('D5-CFlow'!E15+'D5-CFlow'!E36)</f>
        <v>71073403.540000007</v>
      </c>
      <c r="F69" s="423">
        <f>-('D5-CFlow'!F15+'D5-CFlow'!F36)</f>
        <v>56600.334999999999</v>
      </c>
      <c r="G69" s="423">
        <f>-('D5-CFlow'!G15+'D5-CFlow'!G36)</f>
        <v>56600.334999999999</v>
      </c>
      <c r="H69" s="423">
        <f>-('D5-CFlow'!H15+'D5-CFlow'!H36)</f>
        <v>56600.334999999999</v>
      </c>
      <c r="I69" s="423">
        <f>-('D5-CFlow'!I15+'D5-CFlow'!I36)</f>
        <v>58864.046280000002</v>
      </c>
      <c r="J69" s="423">
        <f>-('D5-CFlow'!J15+'D5-CFlow'!J36)</f>
        <v>61336.336223760001</v>
      </c>
      <c r="K69" s="423">
        <f>-('D5-CFlow'!K15+'D5-CFlow'!K36)</f>
        <v>64035.135017605397</v>
      </c>
      <c r="L69" s="423" t="e">
        <f>-('D5-CFlow'!#REF!+'D5-CFlow'!#REF!)</f>
        <v>#REF!</v>
      </c>
    </row>
    <row r="70" spans="1:12" ht="12.75" customHeight="1" x14ac:dyDescent="0.2">
      <c r="A70" s="86" t="s">
        <v>427</v>
      </c>
      <c r="B70" s="86"/>
      <c r="C70" s="86"/>
      <c r="D70" s="343">
        <f>'D4-FinPos'!C8+'D4-FinPos'!C10+'D4-FinPos'!C15</f>
        <v>658038376</v>
      </c>
      <c r="E70" s="343">
        <f>'D4-FinPos'!D8+'D4-FinPos'!D10+'D4-FinPos'!D15</f>
        <v>840371915</v>
      </c>
      <c r="F70" s="343">
        <f>'D4-FinPos'!E8+'D4-FinPos'!E10+'D4-FinPos'!E15</f>
        <v>866023795.90999997</v>
      </c>
      <c r="G70" s="343">
        <f>'D4-FinPos'!F8+'D4-FinPos'!F10+'D4-FinPos'!F15</f>
        <v>780620514</v>
      </c>
      <c r="H70" s="344">
        <f>'D4-FinPos'!G8+'D4-FinPos'!G10+'D4-FinPos'!G15</f>
        <v>887921264.18831301</v>
      </c>
      <c r="I70" s="344">
        <f>'D4-FinPos'!H8+'D4-FinPos'!H10+'D4-FinPos'!H15</f>
        <v>887921264.18831301</v>
      </c>
      <c r="J70" s="344">
        <f>'D4-FinPos'!I8+'D4-FinPos'!I10+'D4-FinPos'!I15</f>
        <v>924326036.02003372</v>
      </c>
      <c r="K70" s="344">
        <f>'D4-FinPos'!J8+'D4-FinPos'!J10+'D4-FinPos'!J15</f>
        <v>964996381.60491526</v>
      </c>
      <c r="L70" s="344">
        <f>'D4-FinPos'!K8+'D4-FinPos'!K10+'D4-FinPos'!K15</f>
        <v>1008421218.7771363</v>
      </c>
    </row>
    <row r="71" spans="1:12" ht="12.75" customHeight="1" x14ac:dyDescent="0.2">
      <c r="A71" s="86" t="s">
        <v>428</v>
      </c>
      <c r="B71" s="86"/>
      <c r="C71" s="86"/>
      <c r="D71" s="343">
        <f>SUM('D2-FinPerf'!C5:C10)</f>
        <v>2193332987</v>
      </c>
      <c r="E71" s="343">
        <f>SUM('D2-FinPerf'!D5:D10)</f>
        <v>2392451159.3200002</v>
      </c>
      <c r="F71" s="343">
        <f>SUM('D2-FinPerf'!E5:E10)</f>
        <v>2567898026.3699999</v>
      </c>
      <c r="G71" s="343">
        <f>SUM('D2-FinPerf'!F5:F10)</f>
        <v>2724358716</v>
      </c>
      <c r="H71" s="344">
        <f>SUM('D2-FinPerf'!G5:G10)</f>
        <v>2719965155</v>
      </c>
      <c r="I71" s="344">
        <f>SUM('D2-FinPerf'!H5:H10)</f>
        <v>2719965155</v>
      </c>
      <c r="J71" s="344">
        <f>SUM('D2-FinPerf'!I5:I10)</f>
        <v>3157614425</v>
      </c>
      <c r="K71" s="344">
        <f>SUM('D2-FinPerf'!J5:J10)</f>
        <v>3238134230.8499999</v>
      </c>
      <c r="L71" s="344">
        <f>SUM('D2-FinPerf'!K5:K10)</f>
        <v>3380612137.0100002</v>
      </c>
    </row>
    <row r="72" spans="1:12" ht="12.75" customHeight="1" x14ac:dyDescent="0.2">
      <c r="A72" s="86" t="s">
        <v>429</v>
      </c>
      <c r="B72" s="86"/>
      <c r="C72" s="86"/>
      <c r="D72" s="343">
        <f>'D4-FinPos'!C6+'D4-FinPos'!C7-'D4-FinPos'!C29</f>
        <v>134733187</v>
      </c>
      <c r="E72" s="343">
        <f>'D4-FinPos'!D6+'D4-FinPos'!D7-'D4-FinPos'!D29</f>
        <v>13555909</v>
      </c>
      <c r="F72" s="343">
        <f>'D4-FinPos'!E6+'D4-FinPos'!E7-'D4-FinPos'!E29</f>
        <v>32393431.82</v>
      </c>
      <c r="G72" s="343">
        <f>'D4-FinPos'!F6+'D4-FinPos'!F7-'D4-FinPos'!F29</f>
        <v>127351513</v>
      </c>
      <c r="H72" s="344">
        <f>'D4-FinPos'!G6+'D4-FinPos'!G7-'D4-FinPos'!G29</f>
        <v>85255301.400000006</v>
      </c>
      <c r="I72" s="344">
        <f>'D4-FinPos'!H6+'D4-FinPos'!H7-'D4-FinPos'!H29</f>
        <v>85255301.400000006</v>
      </c>
      <c r="J72" s="344">
        <f>'D4-FinPos'!I6+'D4-FinPos'!I7-'D4-FinPos'!I29</f>
        <v>88750768.757399991</v>
      </c>
      <c r="K72" s="344">
        <f>'D4-FinPos'!J6+'D4-FinPos'!J7-'D4-FinPos'!J29</f>
        <v>92655802.582725599</v>
      </c>
      <c r="L72" s="344">
        <f>'D4-FinPos'!K6+'D4-FinPos'!K7-'D4-FinPos'!K29</f>
        <v>96825313.698948249</v>
      </c>
    </row>
    <row r="73" spans="1:12" ht="12.75" customHeight="1" x14ac:dyDescent="0.2">
      <c r="A73" s="59" t="s">
        <v>431</v>
      </c>
      <c r="D73" s="343">
        <f>('D2-FinPerf'!C24+'D2-FinPerf'!C25+'D2-FinPerf'!C27+'D2-FinPerf'!C28+'D2-FinPerf'!C29+'D2-FinPerf'!C30+'D2-FinPerf'!C31+'D2-FinPerf'!C32+'D2-FinPerf'!C33)*'SD2'!D74</f>
        <v>1302478179.204</v>
      </c>
      <c r="E73" s="343">
        <f>('D2-FinPerf'!D24+'D2-FinPerf'!D25+'D2-FinPerf'!D27+'D2-FinPerf'!D28+'D2-FinPerf'!D29+'D2-FinPerf'!D30+'D2-FinPerf'!D31+'D2-FinPerf'!D32+'D2-FinPerf'!D33)*'SD2'!E74</f>
        <v>1493045262.858</v>
      </c>
      <c r="F73" s="343">
        <f>('D2-FinPerf'!E24+'D2-FinPerf'!E25+'D2-FinPerf'!E27+'D2-FinPerf'!E28+'D2-FinPerf'!E29+'D2-FinPerf'!E30+'D2-FinPerf'!E31+'D2-FinPerf'!E32+'D2-FinPerf'!E33)*'SD2'!F74</f>
        <v>1563121426.5780001</v>
      </c>
      <c r="G73" s="343">
        <f>('D2-FinPerf'!F24+'D2-FinPerf'!F25+'D2-FinPerf'!F27+'D2-FinPerf'!F28+'D2-FinPerf'!F29+'D2-FinPerf'!F30+'D2-FinPerf'!F31+'D2-FinPerf'!F32+'D2-FinPerf'!F33)*'SD2'!G74</f>
        <v>1461462815.3999999</v>
      </c>
      <c r="H73" s="344">
        <f>('D2-FinPerf'!G24+'D2-FinPerf'!G25+'D2-FinPerf'!G27+'D2-FinPerf'!G28+'D2-FinPerf'!G29+'D2-FinPerf'!G30+'D2-FinPerf'!G31+'D2-FinPerf'!G32+'D2-FinPerf'!G33)*'SD2'!H74</f>
        <v>1468228386.168</v>
      </c>
      <c r="I73" s="344">
        <f>('D2-FinPerf'!H24+'D2-FinPerf'!H25+'D2-FinPerf'!H27+'D2-FinPerf'!H28+'D2-FinPerf'!H29+'D2-FinPerf'!H30+'D2-FinPerf'!H31+'D2-FinPerf'!H32+'D2-FinPerf'!H33)*'SD2'!I74</f>
        <v>1468228385.9580002</v>
      </c>
      <c r="J73" s="344">
        <f>('D2-FinPerf'!I24+'D2-FinPerf'!I25+'D2-FinPerf'!I27+'D2-FinPerf'!I28+'D2-FinPerf'!I29+'D2-FinPerf'!I30+'D2-FinPerf'!I31+'D2-FinPerf'!I32+'D2-FinPerf'!I33)*'SD2'!J74</f>
        <v>1688359366.729398</v>
      </c>
      <c r="K73" s="344">
        <f>('D2-FinPerf'!J24+'D2-FinPerf'!J25+'D2-FinPerf'!J27+'D2-FinPerf'!J28+'D2-FinPerf'!J29+'D2-FinPerf'!J30+'D2-FinPerf'!J31+'D2-FinPerf'!J32+'D2-FinPerf'!J33)*'SD2'!K74</f>
        <v>1771381671.2327874</v>
      </c>
      <c r="L73" s="344">
        <f>('D2-FinPerf'!K24+'D2-FinPerf'!K25+'D2-FinPerf'!K27+'D2-FinPerf'!K28+'D2-FinPerf'!K29+'D2-FinPerf'!K30+'D2-FinPerf'!K31+'D2-FinPerf'!K32+'D2-FinPerf'!K33)*'SD2'!L74</f>
        <v>1868029509.7470343</v>
      </c>
    </row>
    <row r="74" spans="1:12" ht="12.75" customHeight="1" x14ac:dyDescent="0.2">
      <c r="A74" s="59" t="s">
        <v>430</v>
      </c>
      <c r="D74" s="424">
        <v>0.6</v>
      </c>
      <c r="E74" s="424">
        <f>D74</f>
        <v>0.6</v>
      </c>
      <c r="F74" s="424">
        <f t="shared" ref="F74:L74" si="14">E74</f>
        <v>0.6</v>
      </c>
      <c r="G74" s="424">
        <f t="shared" si="14"/>
        <v>0.6</v>
      </c>
      <c r="H74" s="424">
        <f t="shared" si="14"/>
        <v>0.6</v>
      </c>
      <c r="I74" s="424">
        <f t="shared" si="14"/>
        <v>0.6</v>
      </c>
      <c r="J74" s="424">
        <f t="shared" si="14"/>
        <v>0.6</v>
      </c>
      <c r="K74" s="424">
        <f t="shared" si="14"/>
        <v>0.6</v>
      </c>
      <c r="L74" s="424">
        <f t="shared" si="14"/>
        <v>0.6</v>
      </c>
    </row>
    <row r="75" spans="1:12" ht="12.75" customHeight="1" x14ac:dyDescent="0.2">
      <c r="A75" s="86" t="s">
        <v>1041</v>
      </c>
      <c r="B75" s="86"/>
      <c r="C75" s="86"/>
      <c r="D75" s="423"/>
      <c r="E75" s="423"/>
      <c r="F75" s="423"/>
      <c r="G75" s="423"/>
      <c r="H75" s="423"/>
      <c r="I75" s="423"/>
      <c r="J75" s="423"/>
      <c r="K75" s="423"/>
      <c r="L75" s="423"/>
    </row>
    <row r="76" spans="1:12" ht="12.75" customHeight="1" x14ac:dyDescent="0.2">
      <c r="D76" s="72"/>
      <c r="E76" s="72"/>
      <c r="F76" s="72"/>
      <c r="G76" s="72"/>
      <c r="H76" s="72"/>
      <c r="I76" s="72"/>
      <c r="J76" s="72"/>
      <c r="K76" s="72"/>
      <c r="L76" s="72"/>
    </row>
    <row r="77" spans="1:12" ht="12.75" customHeight="1" x14ac:dyDescent="0.2">
      <c r="D77" s="72"/>
      <c r="E77" s="72"/>
      <c r="F77" s="72"/>
      <c r="G77" s="72"/>
      <c r="H77" s="72"/>
      <c r="I77" s="72"/>
      <c r="J77" s="72"/>
      <c r="K77" s="72"/>
      <c r="L77" s="72"/>
    </row>
    <row r="78" spans="1:12" ht="12.75" customHeight="1" x14ac:dyDescent="0.2">
      <c r="D78" s="72"/>
      <c r="E78" s="72"/>
      <c r="F78" s="72"/>
      <c r="G78" s="72"/>
      <c r="H78" s="72"/>
      <c r="I78" s="72"/>
      <c r="J78" s="72"/>
      <c r="K78" s="72"/>
      <c r="L78" s="72"/>
    </row>
    <row r="79" spans="1:12" ht="12.75" customHeight="1" x14ac:dyDescent="0.2">
      <c r="D79" s="72"/>
      <c r="E79" s="72"/>
      <c r="F79" s="72"/>
      <c r="G79" s="72"/>
      <c r="H79" s="72"/>
      <c r="I79" s="72"/>
      <c r="J79" s="72"/>
      <c r="K79" s="72"/>
      <c r="L79" s="72"/>
    </row>
    <row r="80" spans="1:12" ht="12.75" customHeight="1" x14ac:dyDescent="0.2">
      <c r="D80" s="72"/>
      <c r="E80" s="72"/>
      <c r="F80" s="72"/>
      <c r="G80" s="72"/>
      <c r="H80" s="72"/>
      <c r="I80" s="72"/>
      <c r="J80" s="72"/>
      <c r="K80" s="72"/>
      <c r="L80" s="72"/>
    </row>
    <row r="81" spans="4:12" ht="12.75" customHeight="1" x14ac:dyDescent="0.2">
      <c r="D81" s="72"/>
      <c r="E81" s="72"/>
      <c r="F81" s="72"/>
      <c r="G81" s="72"/>
      <c r="H81" s="72"/>
      <c r="I81" s="72"/>
      <c r="J81" s="72"/>
      <c r="K81" s="72"/>
      <c r="L81" s="72"/>
    </row>
    <row r="82" spans="4:12" ht="12.75" customHeight="1" x14ac:dyDescent="0.2">
      <c r="D82" s="72"/>
      <c r="E82" s="72"/>
      <c r="F82" s="72"/>
      <c r="G82" s="72"/>
      <c r="H82" s="72"/>
      <c r="I82" s="72"/>
      <c r="J82" s="72"/>
      <c r="K82" s="72"/>
      <c r="L82" s="72"/>
    </row>
    <row r="83" spans="4:12" ht="12.75" customHeight="1" x14ac:dyDescent="0.2">
      <c r="D83" s="72"/>
      <c r="E83" s="72"/>
      <c r="F83" s="72"/>
      <c r="G83" s="72"/>
      <c r="H83" s="72"/>
      <c r="I83" s="72"/>
      <c r="J83" s="72"/>
      <c r="K83" s="72"/>
      <c r="L83" s="72"/>
    </row>
    <row r="84" spans="4:12" ht="12.75" customHeight="1" x14ac:dyDescent="0.2">
      <c r="D84" s="72"/>
      <c r="E84" s="72"/>
      <c r="F84" s="72"/>
      <c r="G84" s="72"/>
      <c r="H84" s="72"/>
      <c r="I84" s="72"/>
      <c r="J84" s="72"/>
      <c r="K84" s="72"/>
      <c r="L84" s="72"/>
    </row>
    <row r="85" spans="4:12" ht="12.75" customHeight="1" x14ac:dyDescent="0.2">
      <c r="D85" s="72"/>
      <c r="E85" s="72"/>
      <c r="F85" s="72"/>
      <c r="G85" s="72"/>
      <c r="H85" s="72"/>
      <c r="I85" s="72"/>
      <c r="J85" s="72"/>
      <c r="K85" s="72"/>
      <c r="L85" s="72"/>
    </row>
    <row r="86" spans="4:12" ht="12.75" customHeight="1" x14ac:dyDescent="0.2">
      <c r="D86" s="72"/>
      <c r="E86" s="72"/>
      <c r="F86" s="72"/>
      <c r="G86" s="72"/>
      <c r="H86" s="72"/>
      <c r="I86" s="72"/>
      <c r="J86" s="72"/>
      <c r="K86" s="72"/>
      <c r="L86" s="72"/>
    </row>
    <row r="87" spans="4:12" ht="12.75" customHeight="1" x14ac:dyDescent="0.2">
      <c r="D87" s="72"/>
      <c r="E87" s="72"/>
      <c r="F87" s="72"/>
      <c r="G87" s="72"/>
      <c r="H87" s="72"/>
      <c r="I87" s="72"/>
      <c r="J87" s="72"/>
      <c r="K87" s="72"/>
      <c r="L87" s="72"/>
    </row>
    <row r="88" spans="4:12" ht="12.75" customHeight="1" x14ac:dyDescent="0.2">
      <c r="D88" s="72"/>
      <c r="E88" s="72"/>
      <c r="F88" s="72"/>
      <c r="G88" s="72"/>
      <c r="H88" s="72"/>
      <c r="I88" s="72"/>
      <c r="J88" s="72"/>
      <c r="K88" s="72"/>
      <c r="L88" s="72"/>
    </row>
    <row r="89" spans="4:12" ht="12.75" customHeight="1" x14ac:dyDescent="0.2">
      <c r="D89" s="72"/>
      <c r="E89" s="72"/>
      <c r="F89" s="72"/>
      <c r="G89" s="72"/>
      <c r="H89" s="72"/>
      <c r="I89" s="72"/>
      <c r="J89" s="72"/>
      <c r="K89" s="72"/>
      <c r="L89" s="72"/>
    </row>
    <row r="90" spans="4:12" ht="12.75" customHeight="1" x14ac:dyDescent="0.2">
      <c r="D90" s="72"/>
      <c r="E90" s="72"/>
      <c r="F90" s="72"/>
      <c r="G90" s="72"/>
      <c r="H90" s="72"/>
      <c r="I90" s="72"/>
      <c r="J90" s="72"/>
      <c r="K90" s="72"/>
      <c r="L90" s="72"/>
    </row>
    <row r="91" spans="4:12" ht="12.75" customHeight="1" x14ac:dyDescent="0.2">
      <c r="D91" s="72"/>
      <c r="E91" s="72"/>
      <c r="F91" s="72"/>
      <c r="G91" s="72"/>
      <c r="H91" s="72"/>
      <c r="I91" s="72"/>
      <c r="J91" s="72"/>
      <c r="K91" s="72"/>
      <c r="L91" s="72"/>
    </row>
    <row r="92" spans="4:12" ht="12.75" customHeight="1" x14ac:dyDescent="0.2">
      <c r="D92" s="72"/>
      <c r="E92" s="72"/>
      <c r="F92" s="72"/>
      <c r="G92" s="72"/>
      <c r="H92" s="72"/>
      <c r="I92" s="72"/>
      <c r="J92" s="72"/>
      <c r="K92" s="72"/>
      <c r="L92" s="72"/>
    </row>
    <row r="93" spans="4:12" ht="12.75" customHeight="1" x14ac:dyDescent="0.2">
      <c r="D93" s="72"/>
      <c r="E93" s="72"/>
      <c r="F93" s="72"/>
      <c r="G93" s="72"/>
      <c r="H93" s="72"/>
      <c r="I93" s="72"/>
      <c r="J93" s="72"/>
      <c r="K93" s="72"/>
      <c r="L93" s="72"/>
    </row>
    <row r="94" spans="4:12" ht="12.75" customHeight="1" x14ac:dyDescent="0.2">
      <c r="D94" s="72"/>
      <c r="E94" s="72"/>
      <c r="F94" s="72"/>
      <c r="G94" s="72"/>
      <c r="H94" s="72"/>
      <c r="I94" s="72"/>
      <c r="J94" s="72"/>
      <c r="K94" s="72"/>
      <c r="L94" s="72"/>
    </row>
    <row r="95" spans="4:12" ht="12.75" customHeight="1" x14ac:dyDescent="0.2">
      <c r="D95" s="72"/>
      <c r="E95" s="72"/>
      <c r="F95" s="72"/>
      <c r="G95" s="72"/>
      <c r="H95" s="72"/>
      <c r="I95" s="72"/>
      <c r="J95" s="72"/>
      <c r="K95" s="72"/>
      <c r="L95" s="72"/>
    </row>
    <row r="96" spans="4:12" ht="12.75" customHeight="1" x14ac:dyDescent="0.2">
      <c r="D96" s="72"/>
      <c r="E96" s="72"/>
      <c r="F96" s="72"/>
      <c r="G96" s="72"/>
      <c r="H96" s="72"/>
      <c r="I96" s="72"/>
      <c r="J96" s="72"/>
      <c r="K96" s="72"/>
      <c r="L96" s="72"/>
    </row>
    <row r="97" spans="4:12" ht="12.75" customHeight="1" x14ac:dyDescent="0.2">
      <c r="D97" s="72"/>
      <c r="E97" s="72"/>
      <c r="F97" s="72"/>
      <c r="G97" s="72"/>
      <c r="H97" s="72"/>
      <c r="I97" s="72"/>
      <c r="J97" s="72"/>
      <c r="K97" s="72"/>
      <c r="L97" s="72"/>
    </row>
    <row r="98" spans="4:12" ht="12.75" customHeight="1" x14ac:dyDescent="0.2">
      <c r="D98" s="72"/>
      <c r="E98" s="72"/>
      <c r="F98" s="72"/>
      <c r="G98" s="72"/>
      <c r="H98" s="72"/>
      <c r="I98" s="72"/>
      <c r="J98" s="72"/>
      <c r="K98" s="72"/>
      <c r="L98" s="72"/>
    </row>
    <row r="99" spans="4:12" ht="12.75" customHeight="1" x14ac:dyDescent="0.2">
      <c r="D99" s="72"/>
      <c r="E99" s="72"/>
      <c r="F99" s="72"/>
      <c r="G99" s="72"/>
      <c r="H99" s="72"/>
      <c r="I99" s="72"/>
      <c r="J99" s="72"/>
      <c r="K99" s="72"/>
      <c r="L99" s="72"/>
    </row>
    <row r="100" spans="4:12" ht="12.75" customHeight="1" x14ac:dyDescent="0.2">
      <c r="D100" s="72"/>
      <c r="E100" s="72"/>
      <c r="F100" s="72"/>
      <c r="G100" s="72"/>
      <c r="H100" s="72"/>
      <c r="I100" s="72"/>
      <c r="J100" s="72"/>
      <c r="K100" s="72"/>
      <c r="L100" s="72"/>
    </row>
    <row r="101" spans="4:12" ht="12.75" customHeight="1" x14ac:dyDescent="0.2">
      <c r="D101" s="72"/>
      <c r="E101" s="72"/>
      <c r="F101" s="72"/>
      <c r="G101" s="72"/>
      <c r="H101" s="72"/>
      <c r="I101" s="72"/>
      <c r="J101" s="72"/>
      <c r="K101" s="72"/>
      <c r="L101" s="72"/>
    </row>
    <row r="102" spans="4:12" ht="12.75" customHeight="1" x14ac:dyDescent="0.2">
      <c r="D102" s="72"/>
      <c r="E102" s="72"/>
      <c r="F102" s="72"/>
      <c r="G102" s="72"/>
      <c r="H102" s="72"/>
      <c r="I102" s="72"/>
      <c r="J102" s="72"/>
      <c r="K102" s="72"/>
      <c r="L102" s="72"/>
    </row>
    <row r="103" spans="4:12" ht="12.75" customHeight="1" x14ac:dyDescent="0.2">
      <c r="D103" s="72"/>
      <c r="E103" s="72"/>
      <c r="F103" s="72"/>
      <c r="G103" s="72"/>
      <c r="H103" s="72"/>
      <c r="I103" s="72"/>
      <c r="J103" s="72"/>
      <c r="K103" s="72"/>
      <c r="L103" s="72"/>
    </row>
    <row r="104" spans="4:12" ht="12.75" customHeight="1" x14ac:dyDescent="0.2">
      <c r="D104" s="72"/>
      <c r="E104" s="72"/>
      <c r="F104" s="72"/>
      <c r="G104" s="72"/>
      <c r="H104" s="72"/>
      <c r="I104" s="72"/>
      <c r="J104" s="72"/>
      <c r="K104" s="72"/>
      <c r="L104" s="72"/>
    </row>
    <row r="105" spans="4:12" ht="12.75" customHeight="1" x14ac:dyDescent="0.2">
      <c r="D105" s="72"/>
      <c r="E105" s="72"/>
      <c r="F105" s="72"/>
      <c r="G105" s="72"/>
      <c r="H105" s="72"/>
      <c r="I105" s="72"/>
      <c r="J105" s="72"/>
      <c r="K105" s="72"/>
      <c r="L105" s="72"/>
    </row>
    <row r="106" spans="4:12" ht="12.75" customHeight="1" x14ac:dyDescent="0.2">
      <c r="D106" s="72"/>
      <c r="E106" s="72"/>
      <c r="F106" s="72"/>
      <c r="G106" s="72"/>
      <c r="H106" s="72"/>
      <c r="I106" s="72"/>
      <c r="J106" s="72"/>
      <c r="K106" s="72"/>
      <c r="L106" s="72"/>
    </row>
  </sheetData>
  <mergeCells count="15">
    <mergeCell ref="A27:A29"/>
    <mergeCell ref="A30:A32"/>
    <mergeCell ref="L3:L4"/>
    <mergeCell ref="C2:C3"/>
    <mergeCell ref="F3:F4"/>
    <mergeCell ref="G3:G4"/>
    <mergeCell ref="H3:H4"/>
    <mergeCell ref="I3:I4"/>
    <mergeCell ref="G2:I2"/>
    <mergeCell ref="K3:K4"/>
    <mergeCell ref="A2:A3"/>
    <mergeCell ref="B2:B3"/>
    <mergeCell ref="D3:D4"/>
    <mergeCell ref="E3:E4"/>
    <mergeCell ref="J3:J4"/>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3">
    <tabColor rgb="FFCCFFCC"/>
    <pageSetUpPr fitToPage="1"/>
  </sheetPr>
  <dimension ref="A1:O59"/>
  <sheetViews>
    <sheetView showGridLines="0" zoomScaleNormal="100" workbookViewId="0">
      <pane xSplit="2" ySplit="3" topLeftCell="C4" activePane="bottomRight" state="frozen"/>
      <selection activeCell="A23" sqref="A23"/>
      <selection pane="topRight" activeCell="A23" sqref="A23"/>
      <selection pane="bottomLeft" activeCell="A23" sqref="A23"/>
      <selection pane="bottomRight" activeCell="O18" sqref="O18"/>
    </sheetView>
  </sheetViews>
  <sheetFormatPr defaultColWidth="9.109375" defaultRowHeight="10.199999999999999" x14ac:dyDescent="0.2"/>
  <cols>
    <col min="1" max="1" width="30.6640625" style="59" customWidth="1"/>
    <col min="2" max="2" width="3.109375" style="58" customWidth="1"/>
    <col min="3" max="5" width="15.6640625" style="59" customWidth="1"/>
    <col min="6" max="6" width="15.44140625" style="59" customWidth="1"/>
    <col min="7" max="7" width="12.88671875" style="59" customWidth="1"/>
    <col min="8" max="8" width="15.109375" style="59" customWidth="1"/>
    <col min="9" max="9" width="16.44140625" style="59" customWidth="1"/>
    <col min="10" max="10" width="14.109375" style="59" customWidth="1"/>
    <col min="11" max="11" width="12.44140625" style="59" customWidth="1"/>
    <col min="12" max="12" width="11.33203125" style="59" customWidth="1"/>
    <col min="13" max="13" width="13.33203125" style="59" customWidth="1"/>
    <col min="14" max="14" width="13.44140625" style="59" customWidth="1"/>
    <col min="15" max="15" width="14.109375" style="59" customWidth="1"/>
    <col min="16" max="18" width="9.44140625" style="59" customWidth="1"/>
    <col min="19" max="19" width="9.88671875" style="59" customWidth="1"/>
    <col min="20" max="22" width="9.44140625" style="59" customWidth="1"/>
    <col min="23" max="24" width="9.88671875" style="59" customWidth="1"/>
    <col min="25" max="16384" width="9.109375" style="59"/>
  </cols>
  <sheetData>
    <row r="1" spans="1:15" ht="13.8" x14ac:dyDescent="0.3">
      <c r="A1" s="57" t="str">
        <f>_MEB5</f>
        <v>Centlec (Soc) Ltd - Supporting Table SD3 Budgeted Investment Portfolio</v>
      </c>
    </row>
    <row r="2" spans="1:15" ht="43.5" customHeight="1" x14ac:dyDescent="0.2">
      <c r="A2" s="125" t="s">
        <v>1014</v>
      </c>
      <c r="B2" s="425" t="str">
        <f>head27</f>
        <v>Ref</v>
      </c>
      <c r="C2" s="60" t="s">
        <v>1015</v>
      </c>
      <c r="D2" s="426" t="s">
        <v>1016</v>
      </c>
      <c r="E2" s="426" t="s">
        <v>1017</v>
      </c>
      <c r="F2" s="426" t="s">
        <v>1018</v>
      </c>
      <c r="G2" s="426" t="s">
        <v>1027</v>
      </c>
      <c r="H2" s="426" t="s">
        <v>1019</v>
      </c>
      <c r="I2" s="426" t="s">
        <v>1020</v>
      </c>
      <c r="J2" s="678" t="s">
        <v>130</v>
      </c>
      <c r="K2" s="100" t="s">
        <v>1021</v>
      </c>
      <c r="L2" s="61" t="s">
        <v>1022</v>
      </c>
      <c r="M2" s="60" t="s">
        <v>1028</v>
      </c>
      <c r="N2" s="60" t="s">
        <v>1023</v>
      </c>
      <c r="O2" s="61" t="s">
        <v>1024</v>
      </c>
    </row>
    <row r="3" spans="1:15" ht="12.75" customHeight="1" x14ac:dyDescent="0.2">
      <c r="A3" s="427" t="s">
        <v>1025</v>
      </c>
      <c r="B3" s="428"/>
      <c r="C3" s="429" t="s">
        <v>1026</v>
      </c>
      <c r="D3" s="430"/>
      <c r="E3" s="431"/>
      <c r="F3" s="432"/>
      <c r="G3" s="432"/>
      <c r="H3" s="432"/>
      <c r="I3" s="432"/>
      <c r="J3" s="679"/>
      <c r="K3" s="680"/>
      <c r="L3" s="680"/>
      <c r="M3" s="680"/>
      <c r="N3" s="680"/>
      <c r="O3" s="681"/>
    </row>
    <row r="4" spans="1:15" ht="12.75" customHeight="1" x14ac:dyDescent="0.2">
      <c r="A4" s="433" t="s">
        <v>1204</v>
      </c>
      <c r="B4" s="311"/>
      <c r="C4" s="423" t="s">
        <v>1205</v>
      </c>
      <c r="D4" s="434" t="s">
        <v>1206</v>
      </c>
      <c r="E4" s="435" t="s">
        <v>536</v>
      </c>
      <c r="F4" s="236" t="s">
        <v>1207</v>
      </c>
      <c r="G4" s="238">
        <v>6.2E-2</v>
      </c>
      <c r="H4" s="236"/>
      <c r="I4" s="238"/>
      <c r="J4" s="436" t="s">
        <v>1208</v>
      </c>
      <c r="K4" s="437">
        <v>4506879.57</v>
      </c>
      <c r="L4" s="438"/>
      <c r="M4" s="439"/>
      <c r="N4" s="439">
        <v>980613.23</v>
      </c>
      <c r="O4" s="188">
        <v>5487492.7999999998</v>
      </c>
    </row>
    <row r="5" spans="1:15" ht="12.75" customHeight="1" x14ac:dyDescent="0.2">
      <c r="A5" s="433"/>
      <c r="B5" s="311"/>
      <c r="C5" s="423"/>
      <c r="D5" s="434"/>
      <c r="E5" s="435"/>
      <c r="F5" s="236"/>
      <c r="G5" s="238"/>
      <c r="H5" s="236"/>
      <c r="I5" s="238"/>
      <c r="J5" s="436"/>
      <c r="K5" s="437"/>
      <c r="L5" s="438"/>
      <c r="M5" s="439"/>
      <c r="N5" s="439"/>
      <c r="O5" s="188">
        <f t="shared" ref="O5:O22" si="0">SUM(K5:N5)</f>
        <v>0</v>
      </c>
    </row>
    <row r="6" spans="1:15" ht="12.75" customHeight="1" x14ac:dyDescent="0.2">
      <c r="A6" s="433"/>
      <c r="B6" s="311"/>
      <c r="C6" s="423"/>
      <c r="D6" s="434"/>
      <c r="E6" s="435"/>
      <c r="F6" s="236"/>
      <c r="G6" s="238"/>
      <c r="H6" s="236"/>
      <c r="I6" s="238"/>
      <c r="J6" s="436"/>
      <c r="K6" s="437"/>
      <c r="L6" s="438"/>
      <c r="M6" s="439"/>
      <c r="N6" s="439"/>
      <c r="O6" s="188">
        <f t="shared" si="0"/>
        <v>0</v>
      </c>
    </row>
    <row r="7" spans="1:15" ht="12.75" customHeight="1" x14ac:dyDescent="0.2">
      <c r="A7" s="433"/>
      <c r="B7" s="311"/>
      <c r="C7" s="423"/>
      <c r="D7" s="434"/>
      <c r="E7" s="435"/>
      <c r="F7" s="236"/>
      <c r="G7" s="238"/>
      <c r="H7" s="236"/>
      <c r="I7" s="238"/>
      <c r="J7" s="436"/>
      <c r="K7" s="437"/>
      <c r="L7" s="438"/>
      <c r="M7" s="439"/>
      <c r="N7" s="439"/>
      <c r="O7" s="188">
        <f t="shared" si="0"/>
        <v>0</v>
      </c>
    </row>
    <row r="8" spans="1:15" ht="12.75" customHeight="1" x14ac:dyDescent="0.2">
      <c r="A8" s="433"/>
      <c r="B8" s="311"/>
      <c r="C8" s="423"/>
      <c r="D8" s="434"/>
      <c r="E8" s="435"/>
      <c r="F8" s="236"/>
      <c r="G8" s="238"/>
      <c r="H8" s="236"/>
      <c r="I8" s="238"/>
      <c r="J8" s="436"/>
      <c r="K8" s="437"/>
      <c r="L8" s="438"/>
      <c r="M8" s="439"/>
      <c r="N8" s="439"/>
      <c r="O8" s="188">
        <f t="shared" si="0"/>
        <v>0</v>
      </c>
    </row>
    <row r="9" spans="1:15" ht="12.75" customHeight="1" x14ac:dyDescent="0.2">
      <c r="A9" s="433"/>
      <c r="B9" s="311"/>
      <c r="C9" s="423"/>
      <c r="D9" s="434"/>
      <c r="E9" s="435"/>
      <c r="F9" s="236"/>
      <c r="G9" s="238"/>
      <c r="H9" s="236"/>
      <c r="I9" s="238"/>
      <c r="J9" s="436"/>
      <c r="K9" s="437"/>
      <c r="L9" s="438"/>
      <c r="M9" s="439"/>
      <c r="N9" s="439"/>
      <c r="O9" s="188">
        <f t="shared" si="0"/>
        <v>0</v>
      </c>
    </row>
    <row r="10" spans="1:15" ht="12.75" customHeight="1" x14ac:dyDescent="0.2">
      <c r="A10" s="433"/>
      <c r="B10" s="311"/>
      <c r="C10" s="423"/>
      <c r="D10" s="434"/>
      <c r="E10" s="435"/>
      <c r="F10" s="236"/>
      <c r="G10" s="238"/>
      <c r="H10" s="236"/>
      <c r="I10" s="238"/>
      <c r="J10" s="436"/>
      <c r="K10" s="437"/>
      <c r="L10" s="438"/>
      <c r="M10" s="439"/>
      <c r="N10" s="439"/>
      <c r="O10" s="188">
        <f t="shared" si="0"/>
        <v>0</v>
      </c>
    </row>
    <row r="11" spans="1:15" ht="12.75" customHeight="1" x14ac:dyDescent="0.2">
      <c r="A11" s="433"/>
      <c r="B11" s="311"/>
      <c r="C11" s="423"/>
      <c r="D11" s="434"/>
      <c r="E11" s="435"/>
      <c r="F11" s="236"/>
      <c r="G11" s="238"/>
      <c r="H11" s="236"/>
      <c r="I11" s="238"/>
      <c r="J11" s="436"/>
      <c r="K11" s="437"/>
      <c r="L11" s="438"/>
      <c r="M11" s="439"/>
      <c r="N11" s="439"/>
      <c r="O11" s="188">
        <f t="shared" si="0"/>
        <v>0</v>
      </c>
    </row>
    <row r="12" spans="1:15" ht="12.75" customHeight="1" x14ac:dyDescent="0.2">
      <c r="A12" s="433"/>
      <c r="B12" s="311"/>
      <c r="C12" s="423"/>
      <c r="D12" s="434"/>
      <c r="E12" s="435"/>
      <c r="F12" s="236"/>
      <c r="G12" s="238"/>
      <c r="H12" s="236"/>
      <c r="I12" s="238"/>
      <c r="J12" s="436"/>
      <c r="K12" s="437"/>
      <c r="L12" s="438"/>
      <c r="M12" s="439"/>
      <c r="N12" s="439"/>
      <c r="O12" s="188">
        <f t="shared" si="0"/>
        <v>0</v>
      </c>
    </row>
    <row r="13" spans="1:15" ht="12.75" customHeight="1" x14ac:dyDescent="0.2">
      <c r="A13" s="433"/>
      <c r="B13" s="311"/>
      <c r="C13" s="423"/>
      <c r="D13" s="434"/>
      <c r="E13" s="435"/>
      <c r="F13" s="236"/>
      <c r="G13" s="238"/>
      <c r="H13" s="236"/>
      <c r="I13" s="238"/>
      <c r="J13" s="436"/>
      <c r="K13" s="437"/>
      <c r="L13" s="438"/>
      <c r="M13" s="439"/>
      <c r="N13" s="439"/>
      <c r="O13" s="188">
        <f t="shared" si="0"/>
        <v>0</v>
      </c>
    </row>
    <row r="14" spans="1:15" ht="12.75" customHeight="1" x14ac:dyDescent="0.2">
      <c r="A14" s="433"/>
      <c r="B14" s="311"/>
      <c r="C14" s="423"/>
      <c r="D14" s="434"/>
      <c r="E14" s="435"/>
      <c r="F14" s="236"/>
      <c r="G14" s="238"/>
      <c r="H14" s="236"/>
      <c r="I14" s="238"/>
      <c r="J14" s="436"/>
      <c r="K14" s="437"/>
      <c r="L14" s="438"/>
      <c r="M14" s="439"/>
      <c r="N14" s="439"/>
      <c r="O14" s="188">
        <f t="shared" si="0"/>
        <v>0</v>
      </c>
    </row>
    <row r="15" spans="1:15" ht="12.75" customHeight="1" x14ac:dyDescent="0.2">
      <c r="A15" s="433"/>
      <c r="B15" s="311"/>
      <c r="C15" s="423"/>
      <c r="D15" s="434"/>
      <c r="E15" s="435"/>
      <c r="F15" s="236"/>
      <c r="G15" s="238"/>
      <c r="H15" s="236"/>
      <c r="I15" s="238"/>
      <c r="J15" s="436"/>
      <c r="K15" s="437"/>
      <c r="L15" s="438"/>
      <c r="M15" s="439"/>
      <c r="N15" s="439"/>
      <c r="O15" s="188">
        <f t="shared" si="0"/>
        <v>0</v>
      </c>
    </row>
    <row r="16" spans="1:15" ht="12.75" customHeight="1" x14ac:dyDescent="0.2">
      <c r="A16" s="433"/>
      <c r="B16" s="311"/>
      <c r="C16" s="423"/>
      <c r="D16" s="434"/>
      <c r="E16" s="435"/>
      <c r="F16" s="236"/>
      <c r="G16" s="238"/>
      <c r="H16" s="236"/>
      <c r="I16" s="238"/>
      <c r="J16" s="436"/>
      <c r="K16" s="437"/>
      <c r="L16" s="438"/>
      <c r="M16" s="439"/>
      <c r="N16" s="439"/>
      <c r="O16" s="188">
        <f t="shared" si="0"/>
        <v>0</v>
      </c>
    </row>
    <row r="17" spans="1:15" ht="12.75" customHeight="1" x14ac:dyDescent="0.2">
      <c r="A17" s="433"/>
      <c r="B17" s="311"/>
      <c r="C17" s="423"/>
      <c r="D17" s="434"/>
      <c r="E17" s="435"/>
      <c r="F17" s="236"/>
      <c r="G17" s="238"/>
      <c r="H17" s="236"/>
      <c r="I17" s="238"/>
      <c r="J17" s="436"/>
      <c r="K17" s="437"/>
      <c r="L17" s="438"/>
      <c r="M17" s="439"/>
      <c r="N17" s="439"/>
      <c r="O17" s="188">
        <f t="shared" si="0"/>
        <v>0</v>
      </c>
    </row>
    <row r="18" spans="1:15" ht="12.75" customHeight="1" x14ac:dyDescent="0.2">
      <c r="A18" s="433"/>
      <c r="B18" s="311"/>
      <c r="C18" s="423"/>
      <c r="D18" s="434"/>
      <c r="E18" s="435"/>
      <c r="F18" s="236"/>
      <c r="G18" s="238"/>
      <c r="H18" s="236"/>
      <c r="I18" s="238"/>
      <c r="J18" s="436"/>
      <c r="K18" s="437"/>
      <c r="L18" s="438"/>
      <c r="M18" s="439"/>
      <c r="N18" s="439"/>
      <c r="O18" s="188">
        <f t="shared" si="0"/>
        <v>0</v>
      </c>
    </row>
    <row r="19" spans="1:15" ht="12.75" customHeight="1" x14ac:dyDescent="0.2">
      <c r="A19" s="433"/>
      <c r="B19" s="311"/>
      <c r="C19" s="423"/>
      <c r="D19" s="434"/>
      <c r="E19" s="435"/>
      <c r="F19" s="236"/>
      <c r="G19" s="238"/>
      <c r="H19" s="236"/>
      <c r="I19" s="238"/>
      <c r="J19" s="436"/>
      <c r="K19" s="437"/>
      <c r="L19" s="438"/>
      <c r="M19" s="439"/>
      <c r="N19" s="439"/>
      <c r="O19" s="188">
        <f t="shared" si="0"/>
        <v>0</v>
      </c>
    </row>
    <row r="20" spans="1:15" ht="12.75" customHeight="1" x14ac:dyDescent="0.2">
      <c r="A20" s="433"/>
      <c r="B20" s="311"/>
      <c r="C20" s="423"/>
      <c r="D20" s="434"/>
      <c r="E20" s="435"/>
      <c r="F20" s="236"/>
      <c r="G20" s="238"/>
      <c r="H20" s="236"/>
      <c r="I20" s="238"/>
      <c r="J20" s="436"/>
      <c r="K20" s="437"/>
      <c r="L20" s="438"/>
      <c r="M20" s="439"/>
      <c r="N20" s="439"/>
      <c r="O20" s="188">
        <f t="shared" si="0"/>
        <v>0</v>
      </c>
    </row>
    <row r="21" spans="1:15" ht="12.75" customHeight="1" x14ac:dyDescent="0.2">
      <c r="A21" s="433"/>
      <c r="B21" s="311"/>
      <c r="C21" s="423"/>
      <c r="D21" s="434"/>
      <c r="E21" s="435"/>
      <c r="F21" s="236"/>
      <c r="G21" s="238"/>
      <c r="H21" s="236"/>
      <c r="I21" s="238"/>
      <c r="J21" s="436"/>
      <c r="K21" s="437"/>
      <c r="L21" s="438"/>
      <c r="M21" s="439"/>
      <c r="N21" s="439"/>
      <c r="O21" s="188">
        <f t="shared" si="0"/>
        <v>0</v>
      </c>
    </row>
    <row r="22" spans="1:15" ht="12.75" customHeight="1" x14ac:dyDescent="0.2">
      <c r="A22" s="433"/>
      <c r="B22" s="311"/>
      <c r="C22" s="423"/>
      <c r="D22" s="434"/>
      <c r="E22" s="435"/>
      <c r="F22" s="236"/>
      <c r="G22" s="238"/>
      <c r="H22" s="236"/>
      <c r="I22" s="238"/>
      <c r="J22" s="436"/>
      <c r="K22" s="437"/>
      <c r="L22" s="438"/>
      <c r="M22" s="439"/>
      <c r="N22" s="439"/>
      <c r="O22" s="188">
        <f t="shared" si="0"/>
        <v>0</v>
      </c>
    </row>
    <row r="23" spans="1:15" ht="12.75" customHeight="1" x14ac:dyDescent="0.2">
      <c r="A23" s="248"/>
      <c r="B23" s="249">
        <v>1</v>
      </c>
      <c r="C23" s="440"/>
      <c r="D23" s="441"/>
      <c r="E23" s="442"/>
      <c r="F23" s="250">
        <f>SUM(F4:F22)</f>
        <v>0</v>
      </c>
      <c r="G23" s="304">
        <f>SUM(G4:G22)</f>
        <v>6.2E-2</v>
      </c>
      <c r="H23" s="250">
        <f>SUM(H4:H22)</f>
        <v>0</v>
      </c>
      <c r="I23" s="443"/>
      <c r="J23" s="444"/>
      <c r="K23" s="445">
        <f>SUM(K4:K22)</f>
        <v>4506879.57</v>
      </c>
      <c r="L23" s="446"/>
      <c r="M23" s="447">
        <f>SUM(M4:M22)</f>
        <v>0</v>
      </c>
      <c r="N23" s="447">
        <f>SUM(N4:N22)</f>
        <v>980613.23</v>
      </c>
      <c r="O23" s="448">
        <f>SUM(O4:O22)</f>
        <v>5487492.7999999998</v>
      </c>
    </row>
    <row r="24" spans="1:15" ht="12.75" customHeight="1" x14ac:dyDescent="0.2">
      <c r="A24" s="189" t="str">
        <f>head27a</f>
        <v>References</v>
      </c>
      <c r="B24" s="305"/>
      <c r="C24" s="77"/>
      <c r="D24" s="286"/>
      <c r="E24" s="77"/>
      <c r="F24" s="77"/>
      <c r="G24" s="77"/>
      <c r="H24" s="77"/>
      <c r="I24" s="77"/>
    </row>
    <row r="25" spans="1:15" ht="11.25" customHeight="1" x14ac:dyDescent="0.2">
      <c r="A25" s="136" t="s">
        <v>1029</v>
      </c>
    </row>
    <row r="26" spans="1:15" ht="11.25" customHeight="1" x14ac:dyDescent="0.2">
      <c r="A26" s="136" t="s">
        <v>1030</v>
      </c>
    </row>
    <row r="27" spans="1:15" ht="11.25" customHeight="1" x14ac:dyDescent="0.2">
      <c r="A27" s="136" t="s">
        <v>1031</v>
      </c>
    </row>
    <row r="29" spans="1:15" ht="11.25" customHeight="1" x14ac:dyDescent="0.2"/>
    <row r="30" spans="1:15" ht="11.25" customHeight="1" x14ac:dyDescent="0.2"/>
    <row r="31" spans="1:15" ht="11.25" customHeight="1" x14ac:dyDescent="0.2"/>
    <row r="32" spans="1:15"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sheetData>
  <mergeCells count="2">
    <mergeCell ref="J2:J3"/>
    <mergeCell ref="K3:O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4">
    <tabColor rgb="FFCCFFCC"/>
    <pageSetUpPr fitToPage="1"/>
  </sheetPr>
  <dimension ref="A1:M145"/>
  <sheetViews>
    <sheetView showGridLines="0" zoomScaleNormal="100" workbookViewId="0">
      <pane xSplit="2" ySplit="5" topLeftCell="C39" activePane="bottomRight" state="frozen"/>
      <selection activeCell="A23" sqref="A23"/>
      <selection pane="topRight" activeCell="A23" sqref="A23"/>
      <selection pane="bottomLeft" activeCell="A23" sqref="A23"/>
      <selection pane="bottomRight" activeCell="C8" sqref="C8:K56"/>
    </sheetView>
  </sheetViews>
  <sheetFormatPr defaultColWidth="9.109375" defaultRowHeight="10.199999999999999" x14ac:dyDescent="0.2"/>
  <cols>
    <col min="1" max="1" width="37.6640625" style="59" customWidth="1"/>
    <col min="2" max="2" width="3.109375" style="58" customWidth="1"/>
    <col min="3" max="11" width="8.6640625" style="59" customWidth="1"/>
    <col min="12" max="12" width="29.44140625" style="59" bestFit="1" customWidth="1"/>
    <col min="13" max="13" width="9.44140625" style="59" customWidth="1"/>
    <col min="14" max="14" width="9.88671875" style="59" customWidth="1"/>
    <col min="15" max="17" width="9.44140625" style="59" customWidth="1"/>
    <col min="18" max="19" width="9.88671875" style="59" customWidth="1"/>
    <col min="20" max="16384" width="9.109375" style="59"/>
  </cols>
  <sheetData>
    <row r="1" spans="1:11" ht="13.8" x14ac:dyDescent="0.3">
      <c r="A1" s="57" t="str">
        <f>MEB5a</f>
        <v>Centlec (Soc) Ltd - Supporting Table SD4 Board member allowances and staff benefits</v>
      </c>
    </row>
    <row r="2" spans="1:11" ht="20.399999999999999" x14ac:dyDescent="0.2">
      <c r="A2" s="682" t="s">
        <v>325</v>
      </c>
      <c r="B2" s="670"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1" x14ac:dyDescent="0.2">
      <c r="A3" s="683"/>
      <c r="B3" s="671"/>
      <c r="C3" s="666" t="str">
        <f>Head5</f>
        <v>Audited Outcome</v>
      </c>
      <c r="D3" s="668" t="str">
        <f>Head5</f>
        <v>Audited Outcome</v>
      </c>
      <c r="E3" s="662" t="str">
        <f>Head5</f>
        <v>Audited Outcome</v>
      </c>
      <c r="F3" s="664" t="str">
        <f>Head6</f>
        <v>Original Budget</v>
      </c>
      <c r="G3" s="660" t="str">
        <f>Head7</f>
        <v>Adjusted Budget</v>
      </c>
      <c r="H3" s="662" t="str">
        <f>Head8</f>
        <v>Full Year Forecast</v>
      </c>
      <c r="I3" s="664" t="str">
        <f>Head9</f>
        <v>Budget Year 2021/22</v>
      </c>
      <c r="J3" s="660" t="str">
        <f>Head10</f>
        <v>Budget Year +1 2022/23</v>
      </c>
      <c r="K3" s="662" t="str">
        <f>Head11</f>
        <v>Budget Year +2 2023/24</v>
      </c>
    </row>
    <row r="4" spans="1:11" x14ac:dyDescent="0.2">
      <c r="A4" s="683"/>
      <c r="B4" s="671"/>
      <c r="C4" s="667"/>
      <c r="D4" s="669"/>
      <c r="E4" s="663"/>
      <c r="F4" s="665"/>
      <c r="G4" s="661"/>
      <c r="H4" s="663"/>
      <c r="I4" s="684"/>
      <c r="J4" s="661"/>
      <c r="K4" s="663"/>
    </row>
    <row r="5" spans="1:11" x14ac:dyDescent="0.2">
      <c r="A5" s="253" t="s">
        <v>183</v>
      </c>
      <c r="B5" s="254"/>
      <c r="C5" s="449" t="s">
        <v>111</v>
      </c>
      <c r="D5" s="450" t="s">
        <v>73</v>
      </c>
      <c r="E5" s="451" t="s">
        <v>36</v>
      </c>
      <c r="F5" s="449" t="s">
        <v>128</v>
      </c>
      <c r="G5" s="450" t="s">
        <v>14</v>
      </c>
      <c r="H5" s="451" t="s">
        <v>15</v>
      </c>
      <c r="I5" s="449" t="s">
        <v>16</v>
      </c>
      <c r="J5" s="450" t="s">
        <v>131</v>
      </c>
      <c r="K5" s="451" t="s">
        <v>132</v>
      </c>
    </row>
    <row r="6" spans="1:11" ht="12.75" customHeight="1" x14ac:dyDescent="0.2">
      <c r="A6" s="65" t="s">
        <v>187</v>
      </c>
      <c r="B6" s="116"/>
      <c r="C6" s="68"/>
      <c r="D6" s="66"/>
      <c r="E6" s="67"/>
      <c r="F6" s="68"/>
      <c r="G6" s="66"/>
      <c r="H6" s="67"/>
      <c r="I6" s="68"/>
      <c r="J6" s="66"/>
      <c r="K6" s="67"/>
    </row>
    <row r="7" spans="1:11" ht="12.75" customHeight="1" x14ac:dyDescent="0.2">
      <c r="A7" s="79" t="s">
        <v>91</v>
      </c>
      <c r="B7" s="116"/>
      <c r="C7" s="68"/>
      <c r="D7" s="66"/>
      <c r="E7" s="67"/>
      <c r="F7" s="68"/>
      <c r="G7" s="66"/>
      <c r="H7" s="67"/>
      <c r="I7" s="68"/>
      <c r="J7" s="66"/>
      <c r="K7" s="67"/>
    </row>
    <row r="8" spans="1:11" ht="12.75" customHeight="1" x14ac:dyDescent="0.2">
      <c r="A8" s="70" t="s">
        <v>816</v>
      </c>
      <c r="B8" s="116"/>
      <c r="C8" s="236">
        <v>1050771.8400000001</v>
      </c>
      <c r="D8" s="237">
        <v>406169</v>
      </c>
      <c r="E8" s="238">
        <v>597228</v>
      </c>
      <c r="F8" s="236">
        <v>1831818</v>
      </c>
      <c r="G8" s="237">
        <v>1346560</v>
      </c>
      <c r="H8" s="238">
        <v>1346560</v>
      </c>
      <c r="I8" s="236">
        <v>982439.61066666665</v>
      </c>
      <c r="J8" s="237">
        <v>1023702.0743146666</v>
      </c>
      <c r="K8" s="238">
        <v>1068744.9655845119</v>
      </c>
    </row>
    <row r="9" spans="1:11" ht="12.75" customHeight="1" x14ac:dyDescent="0.2">
      <c r="A9" s="70" t="s">
        <v>812</v>
      </c>
      <c r="B9" s="116"/>
      <c r="C9" s="236"/>
      <c r="D9" s="237"/>
      <c r="E9" s="238"/>
      <c r="F9" s="236"/>
      <c r="G9" s="237"/>
      <c r="H9" s="238"/>
      <c r="I9" s="236"/>
      <c r="J9" s="237"/>
      <c r="K9" s="238"/>
    </row>
    <row r="10" spans="1:11" ht="12.75" customHeight="1" x14ac:dyDescent="0.2">
      <c r="A10" s="70" t="s">
        <v>0</v>
      </c>
      <c r="B10" s="116"/>
      <c r="C10" s="236"/>
      <c r="D10" s="237"/>
      <c r="E10" s="238"/>
      <c r="F10" s="236"/>
      <c r="G10" s="237"/>
      <c r="H10" s="238"/>
      <c r="I10" s="236"/>
      <c r="J10" s="237"/>
      <c r="K10" s="238"/>
    </row>
    <row r="11" spans="1:11" ht="12.75" customHeight="1" x14ac:dyDescent="0.2">
      <c r="A11" s="70" t="s">
        <v>77</v>
      </c>
      <c r="B11" s="116"/>
      <c r="C11" s="236"/>
      <c r="D11" s="237"/>
      <c r="E11" s="238"/>
      <c r="F11" s="236"/>
      <c r="G11" s="237"/>
      <c r="H11" s="238"/>
      <c r="I11" s="236"/>
      <c r="J11" s="237"/>
      <c r="K11" s="238"/>
    </row>
    <row r="12" spans="1:11" ht="12.75" customHeight="1" x14ac:dyDescent="0.2">
      <c r="A12" s="70" t="s">
        <v>1</v>
      </c>
      <c r="B12" s="116"/>
      <c r="C12" s="236"/>
      <c r="D12" s="237"/>
      <c r="E12" s="238"/>
      <c r="F12" s="236"/>
      <c r="G12" s="237"/>
      <c r="H12" s="238"/>
      <c r="I12" s="236"/>
      <c r="J12" s="237"/>
      <c r="K12" s="238"/>
    </row>
    <row r="13" spans="1:11" ht="12.75" customHeight="1" x14ac:dyDescent="0.2">
      <c r="A13" s="70" t="s">
        <v>827</v>
      </c>
      <c r="B13" s="116"/>
      <c r="C13" s="236"/>
      <c r="D13" s="237"/>
      <c r="E13" s="238"/>
      <c r="F13" s="236"/>
      <c r="G13" s="237"/>
      <c r="H13" s="238"/>
      <c r="I13" s="236"/>
      <c r="J13" s="237"/>
      <c r="K13" s="238"/>
    </row>
    <row r="14" spans="1:11" ht="12.75" customHeight="1" x14ac:dyDescent="0.2">
      <c r="A14" s="70" t="s">
        <v>828</v>
      </c>
      <c r="B14" s="116"/>
      <c r="C14" s="236"/>
      <c r="D14" s="237"/>
      <c r="E14" s="238"/>
      <c r="F14" s="236"/>
      <c r="G14" s="237"/>
      <c r="H14" s="238"/>
      <c r="I14" s="236"/>
      <c r="J14" s="237"/>
      <c r="K14" s="238"/>
    </row>
    <row r="15" spans="1:11" ht="12.75" customHeight="1" x14ac:dyDescent="0.2">
      <c r="A15" s="70" t="s">
        <v>829</v>
      </c>
      <c r="B15" s="116"/>
      <c r="C15" s="236"/>
      <c r="D15" s="237"/>
      <c r="E15" s="238"/>
      <c r="F15" s="236"/>
      <c r="G15" s="237"/>
      <c r="H15" s="238"/>
      <c r="I15" s="236"/>
      <c r="J15" s="237"/>
      <c r="K15" s="238"/>
    </row>
    <row r="16" spans="1:11" ht="12.75" customHeight="1" x14ac:dyDescent="0.2">
      <c r="A16" s="70" t="s">
        <v>523</v>
      </c>
      <c r="B16" s="116"/>
      <c r="C16" s="236"/>
      <c r="D16" s="237"/>
      <c r="E16" s="238"/>
      <c r="F16" s="236"/>
      <c r="G16" s="237"/>
      <c r="H16" s="238"/>
      <c r="I16" s="236"/>
      <c r="J16" s="237"/>
      <c r="K16" s="238"/>
    </row>
    <row r="17" spans="1:11" ht="12.75" customHeight="1" x14ac:dyDescent="0.2">
      <c r="A17" s="70" t="s">
        <v>92</v>
      </c>
      <c r="B17" s="116"/>
      <c r="C17" s="236"/>
      <c r="D17" s="237"/>
      <c r="E17" s="238"/>
      <c r="F17" s="236"/>
      <c r="G17" s="237"/>
      <c r="H17" s="238"/>
      <c r="I17" s="236"/>
      <c r="J17" s="237"/>
      <c r="K17" s="238"/>
    </row>
    <row r="18" spans="1:11" ht="12.75" customHeight="1" x14ac:dyDescent="0.2">
      <c r="A18" s="70" t="s">
        <v>813</v>
      </c>
      <c r="B18" s="116"/>
      <c r="C18" s="236"/>
      <c r="D18" s="237"/>
      <c r="E18" s="238"/>
      <c r="F18" s="236"/>
      <c r="G18" s="237"/>
      <c r="H18" s="238"/>
      <c r="I18" s="236"/>
      <c r="J18" s="237"/>
      <c r="K18" s="238"/>
    </row>
    <row r="19" spans="1:11" ht="12.75" customHeight="1" x14ac:dyDescent="0.2">
      <c r="A19" s="70" t="s">
        <v>814</v>
      </c>
      <c r="B19" s="116">
        <v>1</v>
      </c>
      <c r="C19" s="236"/>
      <c r="D19" s="237"/>
      <c r="E19" s="238"/>
      <c r="F19" s="236"/>
      <c r="G19" s="237"/>
      <c r="H19" s="238"/>
      <c r="I19" s="236"/>
      <c r="J19" s="237"/>
      <c r="K19" s="238"/>
    </row>
    <row r="20" spans="1:11" ht="12.75" customHeight="1" x14ac:dyDescent="0.2">
      <c r="A20" s="70" t="s">
        <v>815</v>
      </c>
      <c r="B20" s="116"/>
      <c r="C20" s="236"/>
      <c r="D20" s="237"/>
      <c r="E20" s="238"/>
      <c r="F20" s="236"/>
      <c r="G20" s="237"/>
      <c r="H20" s="238"/>
      <c r="I20" s="236"/>
      <c r="J20" s="237"/>
      <c r="K20" s="238"/>
    </row>
    <row r="21" spans="1:11" ht="12.75" customHeight="1" x14ac:dyDescent="0.2">
      <c r="A21" s="79" t="s">
        <v>264</v>
      </c>
      <c r="B21" s="116"/>
      <c r="C21" s="76">
        <f>SUM(C8:C20)</f>
        <v>1050771.8400000001</v>
      </c>
      <c r="D21" s="74">
        <f>SUM(D8:D20)</f>
        <v>406169</v>
      </c>
      <c r="E21" s="452">
        <f t="shared" ref="E21:K21" si="0">SUM(E8:E20)</f>
        <v>597228</v>
      </c>
      <c r="F21" s="76">
        <f t="shared" si="0"/>
        <v>1831818</v>
      </c>
      <c r="G21" s="74">
        <f t="shared" si="0"/>
        <v>1346560</v>
      </c>
      <c r="H21" s="75">
        <f t="shared" si="0"/>
        <v>1346560</v>
      </c>
      <c r="I21" s="314">
        <f t="shared" si="0"/>
        <v>982439.61066666665</v>
      </c>
      <c r="J21" s="74">
        <f t="shared" si="0"/>
        <v>1023702.0743146666</v>
      </c>
      <c r="K21" s="75">
        <f t="shared" si="0"/>
        <v>1068744.9655845119</v>
      </c>
    </row>
    <row r="22" spans="1:11" ht="12.75" customHeight="1" x14ac:dyDescent="0.2">
      <c r="A22" s="79" t="s">
        <v>231</v>
      </c>
      <c r="B22" s="116"/>
      <c r="C22" s="68"/>
      <c r="D22" s="80">
        <f>IF(D21=0,"",(D21/C21)-1)</f>
        <v>-0.61345652353987723</v>
      </c>
      <c r="E22" s="453">
        <f>IF(E21=0,"",(E21/D21)-1)</f>
        <v>0.47039286602374863</v>
      </c>
      <c r="F22" s="82">
        <f>IF(F21=0,"",(F21/E21)-1)</f>
        <v>2.0672004661536296</v>
      </c>
      <c r="G22" s="80">
        <f>IF(G21=0,"",(G21/E21)-1)</f>
        <v>1.2546833035289704</v>
      </c>
      <c r="H22" s="81">
        <f>IF(H21=0,"",(H21/E21)-1)</f>
        <v>1.2546833035289704</v>
      </c>
      <c r="I22" s="454">
        <f>IF(I21=0,"",(I21/H21)-1)</f>
        <v>-0.27040784616603297</v>
      </c>
      <c r="J22" s="453">
        <f>IF(J21=0,"",(J21/I21)-1)</f>
        <v>4.1999999999999815E-2</v>
      </c>
      <c r="K22" s="455">
        <f>IF(K21=0,"",(K21/J21)-1)</f>
        <v>4.4000000000000039E-2</v>
      </c>
    </row>
    <row r="23" spans="1:11" ht="5.0999999999999996" customHeight="1" x14ac:dyDescent="0.2">
      <c r="A23" s="78"/>
      <c r="B23" s="116"/>
      <c r="C23" s="68"/>
      <c r="D23" s="66"/>
      <c r="E23" s="67"/>
      <c r="F23" s="68"/>
      <c r="G23" s="66"/>
      <c r="H23" s="67"/>
      <c r="I23" s="68"/>
      <c r="J23" s="66"/>
      <c r="K23" s="67"/>
    </row>
    <row r="24" spans="1:11" ht="12.75" customHeight="1" x14ac:dyDescent="0.2">
      <c r="A24" s="79" t="s">
        <v>301</v>
      </c>
      <c r="B24" s="116"/>
      <c r="C24" s="68"/>
      <c r="D24" s="66"/>
      <c r="E24" s="67"/>
      <c r="F24" s="68"/>
      <c r="G24" s="66"/>
      <c r="H24" s="67"/>
      <c r="I24" s="68"/>
      <c r="J24" s="66"/>
      <c r="K24" s="67"/>
    </row>
    <row r="25" spans="1:11" ht="12.75" customHeight="1" x14ac:dyDescent="0.2">
      <c r="A25" s="235" t="s">
        <v>816</v>
      </c>
      <c r="B25" s="116"/>
      <c r="C25" s="236">
        <v>26306743.399999999</v>
      </c>
      <c r="D25" s="237">
        <v>3283846.8</v>
      </c>
      <c r="E25" s="238">
        <v>3473804.69</v>
      </c>
      <c r="F25" s="236">
        <v>12952643</v>
      </c>
      <c r="G25" s="237">
        <v>12952643</v>
      </c>
      <c r="H25" s="238">
        <v>12952643</v>
      </c>
      <c r="I25" s="236">
        <v>10815317.004000001</v>
      </c>
      <c r="J25" s="237">
        <v>11118145.880111998</v>
      </c>
      <c r="K25" s="238">
        <v>11429453.964755137</v>
      </c>
    </row>
    <row r="26" spans="1:11" ht="12.75" customHeight="1" x14ac:dyDescent="0.2">
      <c r="A26" s="235" t="s">
        <v>812</v>
      </c>
      <c r="B26" s="116"/>
      <c r="C26" s="236">
        <v>1865264.49</v>
      </c>
      <c r="D26" s="237">
        <v>3569.28</v>
      </c>
      <c r="E26" s="238">
        <v>3569.28</v>
      </c>
      <c r="F26" s="236">
        <v>455555</v>
      </c>
      <c r="G26" s="237">
        <v>455555</v>
      </c>
      <c r="H26" s="238">
        <v>455555</v>
      </c>
      <c r="I26" s="236">
        <v>468231.08245333331</v>
      </c>
      <c r="J26" s="237">
        <v>481341.55276202667</v>
      </c>
      <c r="K26" s="238">
        <v>494819.11623936344</v>
      </c>
    </row>
    <row r="27" spans="1:11" ht="12.75" customHeight="1" x14ac:dyDescent="0.2">
      <c r="A27" s="235" t="s">
        <v>0</v>
      </c>
      <c r="B27" s="116"/>
      <c r="C27" s="236">
        <v>1309844.57</v>
      </c>
      <c r="D27" s="237">
        <v>42691.8</v>
      </c>
      <c r="E27" s="238">
        <v>42691.8</v>
      </c>
      <c r="F27" s="236">
        <v>116319</v>
      </c>
      <c r="G27" s="237">
        <v>116319</v>
      </c>
      <c r="H27" s="238">
        <v>116319</v>
      </c>
      <c r="I27" s="236">
        <v>119575.932</v>
      </c>
      <c r="J27" s="237">
        <v>122924.05809599999</v>
      </c>
      <c r="K27" s="238">
        <v>126365.93172268799</v>
      </c>
    </row>
    <row r="28" spans="1:11" ht="12.75" customHeight="1" x14ac:dyDescent="0.2">
      <c r="A28" s="235" t="s">
        <v>77</v>
      </c>
      <c r="B28" s="116"/>
      <c r="C28" s="236"/>
      <c r="D28" s="237"/>
      <c r="E28" s="238"/>
      <c r="F28" s="236"/>
      <c r="G28" s="237"/>
      <c r="H28" s="238"/>
      <c r="I28" s="236"/>
      <c r="J28" s="237"/>
      <c r="K28" s="238"/>
    </row>
    <row r="29" spans="1:11" ht="12.75" customHeight="1" x14ac:dyDescent="0.2">
      <c r="A29" s="235" t="s">
        <v>1</v>
      </c>
      <c r="B29" s="116"/>
      <c r="C29" s="236"/>
      <c r="D29" s="237"/>
      <c r="E29" s="238"/>
      <c r="F29" s="236"/>
      <c r="G29" s="237"/>
      <c r="H29" s="238"/>
      <c r="I29" s="236"/>
      <c r="J29" s="237"/>
      <c r="K29" s="238"/>
    </row>
    <row r="30" spans="1:11" ht="12.75" customHeight="1" x14ac:dyDescent="0.2">
      <c r="A30" s="235" t="s">
        <v>827</v>
      </c>
      <c r="B30" s="116"/>
      <c r="C30" s="236">
        <v>1136805.8500000001</v>
      </c>
      <c r="D30" s="237"/>
      <c r="E30" s="238"/>
      <c r="F30" s="236">
        <v>538964</v>
      </c>
      <c r="G30" s="237">
        <v>538964</v>
      </c>
      <c r="H30" s="238">
        <v>538964</v>
      </c>
      <c r="I30" s="236">
        <v>554054.99199999997</v>
      </c>
      <c r="J30" s="237">
        <v>569568.53177600005</v>
      </c>
      <c r="K30" s="238">
        <v>585516.45066572796</v>
      </c>
    </row>
    <row r="31" spans="1:11" ht="12.75" customHeight="1" x14ac:dyDescent="0.2">
      <c r="A31" s="235" t="s">
        <v>828</v>
      </c>
      <c r="B31" s="116"/>
      <c r="C31" s="236">
        <v>112400</v>
      </c>
      <c r="D31" s="237">
        <v>24000</v>
      </c>
      <c r="E31" s="238">
        <v>24000</v>
      </c>
      <c r="F31" s="236">
        <v>128786</v>
      </c>
      <c r="G31" s="237">
        <v>128786</v>
      </c>
      <c r="H31" s="238">
        <v>128786</v>
      </c>
      <c r="I31" s="236">
        <v>132392.008</v>
      </c>
      <c r="J31" s="237">
        <v>136098.98422400001</v>
      </c>
      <c r="K31" s="238">
        <v>139909.755782272</v>
      </c>
    </row>
    <row r="32" spans="1:11" ht="12.75" customHeight="1" x14ac:dyDescent="0.2">
      <c r="A32" s="235" t="s">
        <v>829</v>
      </c>
      <c r="B32" s="116"/>
      <c r="C32" s="236"/>
      <c r="D32" s="237"/>
      <c r="E32" s="238"/>
      <c r="F32" s="236"/>
      <c r="G32" s="237">
        <v>0</v>
      </c>
      <c r="H32" s="238"/>
      <c r="I32" s="236"/>
      <c r="J32" s="237"/>
      <c r="K32" s="238"/>
    </row>
    <row r="33" spans="1:11" ht="12.75" customHeight="1" x14ac:dyDescent="0.2">
      <c r="A33" s="235" t="s">
        <v>523</v>
      </c>
      <c r="B33" s="116"/>
      <c r="C33" s="236">
        <v>290842.25</v>
      </c>
      <c r="D33" s="237"/>
      <c r="E33" s="238"/>
      <c r="F33" s="236"/>
      <c r="G33" s="237">
        <v>0</v>
      </c>
      <c r="H33" s="238"/>
      <c r="I33" s="236"/>
      <c r="J33" s="237"/>
      <c r="K33" s="238"/>
    </row>
    <row r="34" spans="1:11" ht="12.75" customHeight="1" x14ac:dyDescent="0.2">
      <c r="A34" s="235" t="s">
        <v>813</v>
      </c>
      <c r="B34" s="116"/>
      <c r="C34" s="236"/>
      <c r="D34" s="237"/>
      <c r="E34" s="238"/>
      <c r="F34" s="236"/>
      <c r="G34" s="237"/>
      <c r="H34" s="238"/>
      <c r="I34" s="236"/>
      <c r="J34" s="237"/>
      <c r="K34" s="238"/>
    </row>
    <row r="35" spans="1:11" ht="12.75" customHeight="1" x14ac:dyDescent="0.2">
      <c r="A35" s="235" t="s">
        <v>814</v>
      </c>
      <c r="B35" s="116"/>
      <c r="C35" s="236"/>
      <c r="D35" s="237"/>
      <c r="E35" s="238"/>
      <c r="F35" s="236"/>
      <c r="G35" s="237"/>
      <c r="H35" s="238"/>
      <c r="I35" s="236"/>
      <c r="J35" s="236"/>
      <c r="K35" s="236"/>
    </row>
    <row r="36" spans="1:11" ht="12.75" customHeight="1" x14ac:dyDescent="0.2">
      <c r="A36" s="235" t="s">
        <v>815</v>
      </c>
      <c r="B36" s="116">
        <v>1</v>
      </c>
      <c r="C36" s="236"/>
      <c r="D36" s="237"/>
      <c r="E36" s="238"/>
      <c r="F36" s="236"/>
      <c r="G36" s="237"/>
      <c r="H36" s="238"/>
      <c r="I36" s="236"/>
      <c r="J36" s="237"/>
      <c r="K36" s="238"/>
    </row>
    <row r="37" spans="1:11" ht="12.75" customHeight="1" x14ac:dyDescent="0.2">
      <c r="A37" s="79" t="s">
        <v>302</v>
      </c>
      <c r="B37" s="116"/>
      <c r="C37" s="76">
        <f>SUM(C25:C36)</f>
        <v>31021900.559999999</v>
      </c>
      <c r="D37" s="74">
        <f t="shared" ref="D37:K37" si="1">SUM(D25:D36)</f>
        <v>3354107.8799999994</v>
      </c>
      <c r="E37" s="452">
        <f t="shared" si="1"/>
        <v>3544065.7699999996</v>
      </c>
      <c r="F37" s="76">
        <f t="shared" si="1"/>
        <v>14192267</v>
      </c>
      <c r="G37" s="74">
        <f t="shared" si="1"/>
        <v>14192267</v>
      </c>
      <c r="H37" s="75">
        <f t="shared" si="1"/>
        <v>14192267</v>
      </c>
      <c r="I37" s="314">
        <f t="shared" si="1"/>
        <v>12089571.018453334</v>
      </c>
      <c r="J37" s="74">
        <f t="shared" si="1"/>
        <v>12428079.006970022</v>
      </c>
      <c r="K37" s="75">
        <f t="shared" si="1"/>
        <v>12776065.219165187</v>
      </c>
    </row>
    <row r="38" spans="1:11" ht="12.75" customHeight="1" x14ac:dyDescent="0.2">
      <c r="A38" s="79" t="s">
        <v>231</v>
      </c>
      <c r="B38" s="116"/>
      <c r="C38" s="68"/>
      <c r="D38" s="80">
        <f>IF(D37=0,"",(D37/C37)-1)</f>
        <v>-0.89187935556969633</v>
      </c>
      <c r="E38" s="453">
        <f>IF(E37=0,"",(E37/D37)-1)</f>
        <v>5.6634400799296936E-2</v>
      </c>
      <c r="F38" s="82">
        <f>IF(F37=0,"",(F37/E37)-1)</f>
        <v>3.0045156949782008</v>
      </c>
      <c r="G38" s="80">
        <f>IF(G37=0,"",(G37/E37)-1)</f>
        <v>3.0045156949782008</v>
      </c>
      <c r="H38" s="81">
        <f>IF(H37=0,"",(H37/E37)-1)</f>
        <v>3.0045156949782008</v>
      </c>
      <c r="I38" s="454">
        <f>IF(I37=0,"",(I37/H37)-1)</f>
        <v>-0.14815786523369845</v>
      </c>
      <c r="J38" s="453">
        <f>IF(J37=0,"",(J37/I37)-1)</f>
        <v>2.7999999999999581E-2</v>
      </c>
      <c r="K38" s="455">
        <f>IF(K37=0,"",(K37/J37)-1)</f>
        <v>2.8000000000000469E-2</v>
      </c>
    </row>
    <row r="39" spans="1:11" ht="5.0999999999999996" customHeight="1" x14ac:dyDescent="0.2">
      <c r="A39" s="86"/>
      <c r="B39" s="116"/>
      <c r="C39" s="68"/>
      <c r="D39" s="66"/>
      <c r="E39" s="67"/>
      <c r="F39" s="68"/>
      <c r="G39" s="66"/>
      <c r="H39" s="67"/>
      <c r="I39" s="68"/>
      <c r="J39" s="66"/>
      <c r="K39" s="67"/>
    </row>
    <row r="40" spans="1:11" ht="12.75" customHeight="1" x14ac:dyDescent="0.2">
      <c r="A40" s="79" t="s">
        <v>227</v>
      </c>
      <c r="B40" s="116"/>
      <c r="C40" s="68"/>
      <c r="D40" s="66"/>
      <c r="E40" s="67"/>
      <c r="F40" s="68"/>
      <c r="G40" s="66"/>
      <c r="H40" s="67"/>
      <c r="I40" s="68"/>
      <c r="J40" s="66"/>
      <c r="K40" s="67"/>
    </row>
    <row r="41" spans="1:11" ht="12.75" customHeight="1" x14ac:dyDescent="0.2">
      <c r="A41" s="235" t="s">
        <v>816</v>
      </c>
      <c r="B41" s="116"/>
      <c r="C41" s="236">
        <v>166840954.37</v>
      </c>
      <c r="D41" s="237">
        <v>196588324.66999999</v>
      </c>
      <c r="E41" s="238">
        <v>217253814.36000001</v>
      </c>
      <c r="F41" s="236">
        <v>211224196</v>
      </c>
      <c r="G41" s="237">
        <v>167141077.37</v>
      </c>
      <c r="H41" s="238">
        <v>167141077.37</v>
      </c>
      <c r="I41" s="236">
        <v>212769072.11210668</v>
      </c>
      <c r="J41" s="237">
        <v>212769072.11210668</v>
      </c>
      <c r="K41" s="238">
        <v>212769072.11210668</v>
      </c>
    </row>
    <row r="42" spans="1:11" ht="12.75" customHeight="1" x14ac:dyDescent="0.2">
      <c r="A42" s="235" t="s">
        <v>812</v>
      </c>
      <c r="B42" s="116"/>
      <c r="C42" s="236">
        <v>9363508.9900000002</v>
      </c>
      <c r="D42" s="237">
        <v>34345070.450000003</v>
      </c>
      <c r="E42" s="238">
        <v>37158087.140000001</v>
      </c>
      <c r="F42" s="236">
        <v>33999836</v>
      </c>
      <c r="G42" s="237">
        <v>37501830</v>
      </c>
      <c r="H42" s="238">
        <v>37501830</v>
      </c>
      <c r="I42" s="236">
        <v>39859759.560986698</v>
      </c>
      <c r="J42" s="237">
        <v>39859759.56098666</v>
      </c>
      <c r="K42" s="238">
        <v>39859759.56098666</v>
      </c>
    </row>
    <row r="43" spans="1:11" ht="12.75" customHeight="1" x14ac:dyDescent="0.2">
      <c r="A43" s="235" t="s">
        <v>0</v>
      </c>
      <c r="B43" s="116"/>
      <c r="C43" s="236">
        <v>4994363.03</v>
      </c>
      <c r="D43" s="237">
        <v>18515444.52</v>
      </c>
      <c r="E43" s="238">
        <v>21143657.239999998</v>
      </c>
      <c r="F43" s="236">
        <v>31453176</v>
      </c>
      <c r="G43" s="237">
        <v>21785393</v>
      </c>
      <c r="H43" s="238">
        <v>21785393</v>
      </c>
      <c r="I43" s="236">
        <v>22311825.599946667</v>
      </c>
      <c r="J43" s="237">
        <v>22936556.716745172</v>
      </c>
      <c r="K43" s="238">
        <v>23578780.304814044</v>
      </c>
    </row>
    <row r="44" spans="1:11" ht="12.75" customHeight="1" x14ac:dyDescent="0.2">
      <c r="A44" s="235" t="s">
        <v>77</v>
      </c>
      <c r="B44" s="116"/>
      <c r="C44" s="236">
        <v>7737276.6900000004</v>
      </c>
      <c r="D44" s="237">
        <v>20452345.920000002</v>
      </c>
      <c r="E44" s="238">
        <v>22013894.66</v>
      </c>
      <c r="F44" s="236">
        <v>18328051</v>
      </c>
      <c r="G44" s="237">
        <v>22107754</v>
      </c>
      <c r="H44" s="238">
        <v>22107754</v>
      </c>
      <c r="I44" s="236">
        <v>46839213.774240002</v>
      </c>
      <c r="J44" s="237">
        <v>46839213.774239995</v>
      </c>
      <c r="K44" s="238">
        <v>46839213.774239995</v>
      </c>
    </row>
    <row r="45" spans="1:11" ht="12.75" customHeight="1" x14ac:dyDescent="0.2">
      <c r="A45" s="235" t="s">
        <v>1</v>
      </c>
      <c r="B45" s="116"/>
      <c r="C45" s="236"/>
      <c r="D45" s="237">
        <v>815328.72</v>
      </c>
      <c r="E45" s="238">
        <v>816643.07</v>
      </c>
      <c r="F45" s="236">
        <v>875971</v>
      </c>
      <c r="G45" s="237">
        <v>798438</v>
      </c>
      <c r="H45" s="238">
        <v>798438</v>
      </c>
      <c r="I45" s="236">
        <v>18781763.256160002</v>
      </c>
      <c r="J45" s="237">
        <v>19307652.627332479</v>
      </c>
      <c r="K45" s="238">
        <v>19848266.900897793</v>
      </c>
    </row>
    <row r="46" spans="1:11" ht="12.75" customHeight="1" x14ac:dyDescent="0.2">
      <c r="A46" s="235" t="s">
        <v>827</v>
      </c>
      <c r="B46" s="116"/>
      <c r="C46" s="236">
        <v>8185090.5700000003</v>
      </c>
      <c r="D46" s="237">
        <v>1129334.49</v>
      </c>
      <c r="E46" s="238">
        <v>1345315.14</v>
      </c>
      <c r="F46" s="236">
        <v>1357219</v>
      </c>
      <c r="G46" s="237">
        <v>29501350</v>
      </c>
      <c r="H46" s="238">
        <v>29501350</v>
      </c>
      <c r="I46" s="236">
        <v>22613225.685386665</v>
      </c>
      <c r="J46" s="237">
        <v>22613225.685386665</v>
      </c>
      <c r="K46" s="238">
        <v>22613225.685386665</v>
      </c>
    </row>
    <row r="47" spans="1:11" ht="12.75" customHeight="1" x14ac:dyDescent="0.2">
      <c r="A47" s="235" t="s">
        <v>828</v>
      </c>
      <c r="B47" s="116"/>
      <c r="C47" s="236">
        <v>327020</v>
      </c>
      <c r="D47" s="237">
        <v>29218914.890000001</v>
      </c>
      <c r="E47" s="238">
        <v>1673997.09</v>
      </c>
      <c r="F47" s="236">
        <v>1757617</v>
      </c>
      <c r="G47" s="237">
        <v>1466475</v>
      </c>
      <c r="H47" s="238">
        <v>1466475</v>
      </c>
      <c r="I47" s="236">
        <v>865674.55093333323</v>
      </c>
      <c r="J47" s="237">
        <v>889913.43835946673</v>
      </c>
      <c r="K47" s="238">
        <v>914831.01463353168</v>
      </c>
    </row>
    <row r="48" spans="1:11" ht="12.75" customHeight="1" x14ac:dyDescent="0.2">
      <c r="A48" s="235" t="s">
        <v>829</v>
      </c>
      <c r="B48" s="116"/>
      <c r="C48" s="236">
        <v>336537</v>
      </c>
      <c r="D48" s="237">
        <v>15490899.27</v>
      </c>
      <c r="E48" s="238">
        <v>16480993.99</v>
      </c>
      <c r="F48" s="236">
        <v>15665880</v>
      </c>
      <c r="G48" s="237">
        <v>15665880</v>
      </c>
      <c r="H48" s="238">
        <v>15665880</v>
      </c>
      <c r="I48" s="236">
        <v>1519290.32864</v>
      </c>
      <c r="J48" s="237">
        <v>1561830.4578419195</v>
      </c>
      <c r="K48" s="238">
        <v>1605561.7106614935</v>
      </c>
    </row>
    <row r="49" spans="1:11" ht="12.75" customHeight="1" x14ac:dyDescent="0.2">
      <c r="A49" s="235" t="s">
        <v>523</v>
      </c>
      <c r="B49" s="116"/>
      <c r="C49" s="236">
        <v>943861.03</v>
      </c>
      <c r="D49" s="237">
        <v>27583911.43</v>
      </c>
      <c r="E49" s="238">
        <v>49199590.009999998</v>
      </c>
      <c r="F49" s="236">
        <v>40505483</v>
      </c>
      <c r="G49" s="237">
        <v>44015423</v>
      </c>
      <c r="H49" s="238">
        <v>44015423</v>
      </c>
      <c r="I49" s="236">
        <v>2052495.9866133332</v>
      </c>
      <c r="J49" s="236">
        <v>2052495.9866133332</v>
      </c>
      <c r="K49" s="236">
        <v>2052495.9866133332</v>
      </c>
    </row>
    <row r="50" spans="1:11" ht="12.75" customHeight="1" x14ac:dyDescent="0.2">
      <c r="A50" s="235" t="s">
        <v>813</v>
      </c>
      <c r="B50" s="116"/>
      <c r="C50" s="236"/>
      <c r="D50" s="237"/>
      <c r="E50" s="238"/>
      <c r="F50" s="236"/>
      <c r="G50" s="237"/>
      <c r="H50" s="238"/>
      <c r="I50" s="236"/>
      <c r="J50" s="237"/>
      <c r="K50" s="238"/>
    </row>
    <row r="51" spans="1:11" ht="12.75" customHeight="1" x14ac:dyDescent="0.2">
      <c r="A51" s="235" t="s">
        <v>814</v>
      </c>
      <c r="B51" s="116"/>
      <c r="C51" s="236"/>
      <c r="D51" s="237"/>
      <c r="E51" s="238"/>
      <c r="F51" s="236"/>
      <c r="G51" s="237"/>
      <c r="H51" s="238"/>
      <c r="I51" s="236"/>
      <c r="J51" s="237"/>
      <c r="K51" s="238"/>
    </row>
    <row r="52" spans="1:11" ht="12.75" customHeight="1" x14ac:dyDescent="0.2">
      <c r="A52" s="235" t="s">
        <v>815</v>
      </c>
      <c r="B52" s="116">
        <v>1</v>
      </c>
      <c r="C52" s="236"/>
      <c r="D52" s="237"/>
      <c r="E52" s="238"/>
      <c r="F52" s="236"/>
      <c r="G52" s="237"/>
      <c r="H52" s="238"/>
      <c r="I52" s="236"/>
      <c r="J52" s="237"/>
      <c r="K52" s="238"/>
    </row>
    <row r="53" spans="1:11" ht="12.75" customHeight="1" x14ac:dyDescent="0.2">
      <c r="A53" s="79" t="s">
        <v>60</v>
      </c>
      <c r="B53" s="116"/>
      <c r="C53" s="76">
        <f>SUM(C41:C52)</f>
        <v>198728611.68000001</v>
      </c>
      <c r="D53" s="74">
        <f t="shared" ref="D53:K53" si="2">SUM(D41:D52)</f>
        <v>344139574.36000001</v>
      </c>
      <c r="E53" s="452">
        <f t="shared" si="2"/>
        <v>367085992.69999999</v>
      </c>
      <c r="F53" s="76">
        <f t="shared" si="2"/>
        <v>355167429</v>
      </c>
      <c r="G53" s="74">
        <f t="shared" si="2"/>
        <v>339983620.37</v>
      </c>
      <c r="H53" s="75">
        <f t="shared" si="2"/>
        <v>339983620.37</v>
      </c>
      <c r="I53" s="314">
        <f t="shared" si="2"/>
        <v>367612320.85501343</v>
      </c>
      <c r="J53" s="74">
        <f t="shared" si="2"/>
        <v>368829720.35961241</v>
      </c>
      <c r="K53" s="75">
        <f t="shared" si="2"/>
        <v>370081207.05034024</v>
      </c>
    </row>
    <row r="54" spans="1:11" ht="12.75" customHeight="1" x14ac:dyDescent="0.2">
      <c r="A54" s="79" t="s">
        <v>231</v>
      </c>
      <c r="B54" s="116"/>
      <c r="C54" s="68"/>
      <c r="D54" s="80">
        <f>IF(D53=0,"",(D53/C53)-1)</f>
        <v>0.73170622715437661</v>
      </c>
      <c r="E54" s="453">
        <f>IF(E53=0,"",(E53/D53)-1)</f>
        <v>6.6677650725504911E-2</v>
      </c>
      <c r="F54" s="82">
        <f>IF(F53=0,"",(F53/E53)-1)</f>
        <v>-3.2468042739349112E-2</v>
      </c>
      <c r="G54" s="80">
        <f>IF(G53=0,"",(G53/E53)-1)</f>
        <v>-7.383112640898104E-2</v>
      </c>
      <c r="H54" s="81">
        <f>IF(H53=0,"",(H53/E53)-1)</f>
        <v>-7.383112640898104E-2</v>
      </c>
      <c r="I54" s="454">
        <f>IF(I53=0,"",(I53/H53)-1)</f>
        <v>8.1264798742202382E-2</v>
      </c>
      <c r="J54" s="453">
        <f>IF(J53=0,"",(J53/I53)-1)</f>
        <v>3.311639560305002E-3</v>
      </c>
      <c r="K54" s="455">
        <f>IF(K53=0,"",(K53/J53)-1)</f>
        <v>3.3931286489268242E-3</v>
      </c>
    </row>
    <row r="55" spans="1:11" ht="5.0999999999999996" customHeight="1" x14ac:dyDescent="0.2">
      <c r="A55" s="78"/>
      <c r="B55" s="116"/>
      <c r="C55" s="68"/>
      <c r="D55" s="66"/>
      <c r="E55" s="67"/>
      <c r="F55" s="68"/>
      <c r="G55" s="66"/>
      <c r="H55" s="67"/>
      <c r="I55" s="68"/>
      <c r="J55" s="66"/>
      <c r="K55" s="67"/>
    </row>
    <row r="56" spans="1:11" ht="12.75" customHeight="1" x14ac:dyDescent="0.2">
      <c r="A56" s="456" t="s">
        <v>387</v>
      </c>
      <c r="B56" s="137"/>
      <c r="C56" s="457">
        <f>C21+C37+C53</f>
        <v>230801284.08000001</v>
      </c>
      <c r="D56" s="458">
        <f t="shared" ref="D56:K56" si="3">D21+D37+D53</f>
        <v>347899851.24000001</v>
      </c>
      <c r="E56" s="459">
        <f t="shared" si="3"/>
        <v>371227286.46999997</v>
      </c>
      <c r="F56" s="457">
        <f t="shared" si="3"/>
        <v>371191514</v>
      </c>
      <c r="G56" s="458">
        <f t="shared" si="3"/>
        <v>355522447.37</v>
      </c>
      <c r="H56" s="460">
        <f t="shared" si="3"/>
        <v>355522447.37</v>
      </c>
      <c r="I56" s="461">
        <f t="shared" si="3"/>
        <v>380684331.48413342</v>
      </c>
      <c r="J56" s="458">
        <f t="shared" si="3"/>
        <v>382281501.44089711</v>
      </c>
      <c r="K56" s="460">
        <f t="shared" si="3"/>
        <v>383926017.23508996</v>
      </c>
    </row>
    <row r="57" spans="1:11" ht="5.0999999999999996" customHeight="1" x14ac:dyDescent="0.2">
      <c r="A57" s="462"/>
      <c r="B57" s="463"/>
      <c r="C57" s="464"/>
      <c r="D57" s="464"/>
      <c r="E57" s="464"/>
      <c r="F57" s="464"/>
      <c r="G57" s="464"/>
      <c r="H57" s="464"/>
      <c r="I57" s="464"/>
      <c r="J57" s="464"/>
      <c r="K57" s="464"/>
    </row>
    <row r="58" spans="1:11" ht="12.75" customHeight="1" x14ac:dyDescent="0.2">
      <c r="A58" s="189" t="str">
        <f>head27a</f>
        <v>References</v>
      </c>
      <c r="B58" s="305"/>
      <c r="C58" s="280"/>
      <c r="D58" s="280"/>
      <c r="E58" s="280"/>
      <c r="F58" s="280"/>
      <c r="G58" s="280"/>
      <c r="H58" s="280"/>
      <c r="I58" s="280"/>
      <c r="J58" s="280"/>
      <c r="K58" s="280"/>
    </row>
    <row r="59" spans="1:11" ht="12.75" customHeight="1" x14ac:dyDescent="0.2">
      <c r="A59" s="136" t="s">
        <v>112</v>
      </c>
      <c r="B59" s="305"/>
      <c r="C59" s="280"/>
      <c r="D59" s="280"/>
      <c r="E59" s="280"/>
      <c r="F59" s="280"/>
      <c r="G59" s="280"/>
      <c r="H59" s="280"/>
      <c r="I59" s="280"/>
      <c r="J59" s="280"/>
      <c r="K59" s="280"/>
    </row>
    <row r="60" spans="1:11" ht="12.75" customHeight="1" x14ac:dyDescent="0.2">
      <c r="A60" s="189" t="s">
        <v>127</v>
      </c>
      <c r="B60" s="305"/>
      <c r="C60" s="86"/>
      <c r="D60" s="86"/>
      <c r="E60" s="86"/>
      <c r="F60" s="86"/>
      <c r="G60" s="86"/>
      <c r="H60" s="86"/>
      <c r="I60" s="86"/>
      <c r="J60" s="86"/>
      <c r="K60" s="86"/>
    </row>
    <row r="61" spans="1:11" ht="12.75" customHeight="1" x14ac:dyDescent="0.2">
      <c r="A61" s="136" t="s">
        <v>389</v>
      </c>
      <c r="B61" s="305"/>
      <c r="C61" s="86"/>
      <c r="D61" s="86"/>
      <c r="E61" s="86"/>
      <c r="F61" s="86"/>
      <c r="G61" s="86"/>
      <c r="H61" s="86"/>
      <c r="I61" s="86"/>
      <c r="J61" s="86"/>
      <c r="K61" s="86"/>
    </row>
    <row r="62" spans="1:11" ht="12.75" customHeight="1" x14ac:dyDescent="0.2">
      <c r="A62" s="136" t="s">
        <v>390</v>
      </c>
      <c r="B62" s="305"/>
      <c r="C62" s="86"/>
      <c r="D62" s="86"/>
      <c r="E62" s="86"/>
      <c r="F62" s="86"/>
      <c r="G62" s="86"/>
      <c r="H62" s="86"/>
      <c r="I62" s="86"/>
      <c r="J62" s="86"/>
      <c r="K62" s="86"/>
    </row>
    <row r="63" spans="1:11" ht="12.75" customHeight="1" x14ac:dyDescent="0.2">
      <c r="A63" s="136" t="s">
        <v>391</v>
      </c>
      <c r="B63" s="305"/>
      <c r="C63" s="86"/>
      <c r="D63" s="86"/>
      <c r="E63" s="86"/>
      <c r="F63" s="86"/>
      <c r="G63" s="86"/>
      <c r="H63" s="86"/>
      <c r="I63" s="86"/>
      <c r="J63" s="86"/>
      <c r="K63" s="86"/>
    </row>
    <row r="64" spans="1:11" ht="12.75" customHeight="1" x14ac:dyDescent="0.2">
      <c r="A64" s="136" t="s">
        <v>392</v>
      </c>
      <c r="B64" s="305"/>
      <c r="C64" s="86"/>
      <c r="D64" s="86"/>
      <c r="E64" s="86"/>
      <c r="F64" s="86"/>
      <c r="G64" s="86"/>
      <c r="H64" s="86"/>
      <c r="I64" s="86"/>
      <c r="J64" s="86"/>
      <c r="K64" s="86"/>
    </row>
    <row r="65" spans="1:13" ht="12.75" customHeight="1" x14ac:dyDescent="0.2">
      <c r="A65" s="136" t="s">
        <v>395</v>
      </c>
      <c r="B65" s="305"/>
      <c r="C65" s="86"/>
      <c r="D65" s="86"/>
      <c r="E65" s="86"/>
      <c r="F65" s="86"/>
      <c r="G65" s="86"/>
      <c r="H65" s="86"/>
      <c r="I65" s="86"/>
      <c r="J65" s="86"/>
      <c r="K65" s="86"/>
    </row>
    <row r="66" spans="1:13" ht="12.75" customHeight="1" x14ac:dyDescent="0.2">
      <c r="A66" s="136" t="s">
        <v>394</v>
      </c>
      <c r="B66" s="305"/>
      <c r="C66" s="86"/>
      <c r="D66" s="86"/>
      <c r="E66" s="86"/>
      <c r="F66" s="86"/>
      <c r="G66" s="86"/>
      <c r="H66" s="86"/>
      <c r="I66" s="86"/>
      <c r="J66" s="86"/>
      <c r="K66" s="86"/>
      <c r="M66" s="87"/>
    </row>
    <row r="67" spans="1:13" ht="12.75" customHeight="1" x14ac:dyDescent="0.2">
      <c r="A67" s="136" t="s">
        <v>393</v>
      </c>
      <c r="B67" s="305"/>
      <c r="C67" s="86"/>
      <c r="D67" s="86"/>
      <c r="E67" s="86"/>
      <c r="F67" s="86"/>
      <c r="G67" s="86"/>
      <c r="H67" s="86"/>
      <c r="I67" s="86"/>
      <c r="J67" s="86"/>
      <c r="K67" s="86"/>
    </row>
    <row r="68" spans="1:13" ht="12.75" customHeight="1" x14ac:dyDescent="0.2">
      <c r="A68" s="136" t="s">
        <v>396</v>
      </c>
      <c r="B68" s="305"/>
      <c r="C68" s="86"/>
      <c r="D68" s="86"/>
      <c r="E68" s="86"/>
      <c r="F68" s="86"/>
      <c r="G68" s="86"/>
      <c r="H68" s="86"/>
      <c r="I68" s="86"/>
      <c r="J68" s="86"/>
      <c r="K68" s="86"/>
    </row>
    <row r="69" spans="1:13" ht="12.75" customHeight="1" x14ac:dyDescent="0.2">
      <c r="A69" s="136" t="s">
        <v>397</v>
      </c>
      <c r="B69" s="305"/>
      <c r="C69" s="86"/>
      <c r="D69" s="86"/>
      <c r="E69" s="86"/>
      <c r="F69" s="86"/>
      <c r="G69" s="86"/>
      <c r="H69" s="86"/>
      <c r="I69" s="86"/>
      <c r="J69" s="86"/>
      <c r="K69" s="86"/>
    </row>
    <row r="71" spans="1:13" x14ac:dyDescent="0.2">
      <c r="B71" s="59"/>
    </row>
    <row r="72" spans="1:13" x14ac:dyDescent="0.2">
      <c r="B72" s="59"/>
    </row>
    <row r="73" spans="1:13" x14ac:dyDescent="0.2">
      <c r="B73" s="59"/>
    </row>
    <row r="74" spans="1:13" x14ac:dyDescent="0.2">
      <c r="B74" s="59"/>
    </row>
    <row r="75" spans="1:13" x14ac:dyDescent="0.2">
      <c r="B75" s="59"/>
    </row>
    <row r="76" spans="1:13" x14ac:dyDescent="0.2">
      <c r="B76" s="59"/>
    </row>
    <row r="77" spans="1:13" x14ac:dyDescent="0.2">
      <c r="B77" s="59"/>
    </row>
    <row r="78" spans="1:13" x14ac:dyDescent="0.2">
      <c r="B78" s="59"/>
    </row>
    <row r="79" spans="1:13" x14ac:dyDescent="0.2">
      <c r="B79" s="59"/>
    </row>
    <row r="80" spans="1:13" x14ac:dyDescent="0.2">
      <c r="B80" s="59"/>
    </row>
    <row r="81" s="59" customFormat="1" x14ac:dyDescent="0.2"/>
    <row r="82" s="59" customFormat="1" x14ac:dyDescent="0.2"/>
    <row r="83" s="59" customFormat="1" x14ac:dyDescent="0.2"/>
    <row r="84" s="59" customFormat="1" x14ac:dyDescent="0.2"/>
    <row r="85" s="59" customFormat="1" x14ac:dyDescent="0.2"/>
    <row r="86" s="59" customFormat="1" x14ac:dyDescent="0.2"/>
    <row r="87" s="59" customFormat="1" x14ac:dyDescent="0.2"/>
    <row r="88" s="59" customFormat="1" x14ac:dyDescent="0.2"/>
    <row r="89" s="59" customFormat="1" x14ac:dyDescent="0.2"/>
    <row r="90" s="59" customFormat="1" x14ac:dyDescent="0.2"/>
    <row r="91" s="59" customFormat="1" x14ac:dyDescent="0.2"/>
    <row r="92" s="59" customFormat="1" x14ac:dyDescent="0.2"/>
    <row r="93" s="59" customFormat="1" x14ac:dyDescent="0.2"/>
    <row r="94" s="59" customFormat="1" x14ac:dyDescent="0.2"/>
    <row r="95" s="59" customFormat="1" x14ac:dyDescent="0.2"/>
    <row r="96" s="59" customFormat="1" x14ac:dyDescent="0.2"/>
    <row r="97" s="59" customFormat="1" x14ac:dyDescent="0.2"/>
    <row r="98" s="59" customFormat="1" x14ac:dyDescent="0.2"/>
    <row r="99" s="59" customFormat="1" x14ac:dyDescent="0.2"/>
    <row r="100" s="59" customFormat="1" x14ac:dyDescent="0.2"/>
    <row r="101" s="59" customFormat="1" x14ac:dyDescent="0.2"/>
    <row r="102" s="59" customFormat="1" x14ac:dyDescent="0.2"/>
    <row r="103" s="59" customFormat="1" x14ac:dyDescent="0.2"/>
    <row r="104" s="59" customFormat="1" x14ac:dyDescent="0.2"/>
    <row r="105" s="59" customFormat="1" x14ac:dyDescent="0.2"/>
    <row r="106" s="59" customFormat="1" x14ac:dyDescent="0.2"/>
    <row r="107" s="59" customFormat="1" x14ac:dyDescent="0.2"/>
    <row r="108" s="59" customFormat="1" x14ac:dyDescent="0.2"/>
    <row r="109" s="59" customFormat="1" x14ac:dyDescent="0.2"/>
    <row r="110" s="59" customFormat="1" x14ac:dyDescent="0.2"/>
    <row r="111" s="59" customFormat="1" x14ac:dyDescent="0.2"/>
    <row r="112" s="59" customFormat="1" x14ac:dyDescent="0.2"/>
    <row r="113" s="59" customFormat="1" x14ac:dyDescent="0.2"/>
    <row r="114" s="59" customFormat="1" x14ac:dyDescent="0.2"/>
    <row r="115" s="59" customFormat="1" x14ac:dyDescent="0.2"/>
    <row r="116" s="59" customFormat="1" x14ac:dyDescent="0.2"/>
    <row r="117" s="59" customFormat="1" x14ac:dyDescent="0.2"/>
    <row r="118" s="59" customFormat="1" x14ac:dyDescent="0.2"/>
    <row r="119" s="59" customFormat="1" x14ac:dyDescent="0.2"/>
    <row r="120" s="59" customFormat="1" x14ac:dyDescent="0.2"/>
    <row r="121" s="59" customFormat="1" x14ac:dyDescent="0.2"/>
    <row r="122" s="59" customFormat="1" x14ac:dyDescent="0.2"/>
    <row r="123" s="59" customFormat="1" x14ac:dyDescent="0.2"/>
    <row r="124" s="59" customFormat="1" x14ac:dyDescent="0.2"/>
    <row r="125" s="59" customFormat="1" x14ac:dyDescent="0.2"/>
    <row r="126" s="59" customFormat="1" x14ac:dyDescent="0.2"/>
    <row r="127" s="59" customFormat="1" x14ac:dyDescent="0.2"/>
    <row r="128" s="59" customFormat="1" x14ac:dyDescent="0.2"/>
    <row r="129" s="59" customFormat="1" x14ac:dyDescent="0.2"/>
    <row r="130" s="59" customFormat="1" x14ac:dyDescent="0.2"/>
    <row r="131" s="59" customFormat="1" x14ac:dyDescent="0.2"/>
    <row r="132" s="59" customFormat="1" x14ac:dyDescent="0.2"/>
    <row r="133" s="59" customFormat="1" x14ac:dyDescent="0.2"/>
    <row r="134" s="59" customFormat="1" x14ac:dyDescent="0.2"/>
    <row r="135" s="59" customFormat="1" x14ac:dyDescent="0.2"/>
    <row r="136" s="59" customFormat="1" x14ac:dyDescent="0.2"/>
    <row r="137" s="59" customFormat="1" x14ac:dyDescent="0.2"/>
    <row r="138" s="59" customFormat="1" x14ac:dyDescent="0.2"/>
    <row r="139" s="59" customFormat="1" x14ac:dyDescent="0.2"/>
    <row r="140" s="59" customFormat="1" x14ac:dyDescent="0.2"/>
    <row r="141" s="59" customFormat="1" x14ac:dyDescent="0.2"/>
    <row r="142" s="59" customFormat="1" x14ac:dyDescent="0.2"/>
    <row r="143" s="59" customFormat="1" x14ac:dyDescent="0.2"/>
    <row r="144" s="59" customFormat="1" x14ac:dyDescent="0.2"/>
    <row r="145" s="59" customFormat="1" x14ac:dyDescent="0.2"/>
  </sheetData>
  <mergeCells count="11">
    <mergeCell ref="C3:C4"/>
    <mergeCell ref="D3:D4"/>
    <mergeCell ref="A2:A4"/>
    <mergeCell ref="B2:B4"/>
    <mergeCell ref="I3:I4"/>
    <mergeCell ref="K3:K4"/>
    <mergeCell ref="E3:E4"/>
    <mergeCell ref="F3:F4"/>
    <mergeCell ref="G3:G4"/>
    <mergeCell ref="H3:H4"/>
    <mergeCell ref="J3:J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CCFFCC"/>
  </sheetPr>
  <dimension ref="A1:K50"/>
  <sheetViews>
    <sheetView showGridLines="0" zoomScaleNormal="100" workbookViewId="0">
      <pane xSplit="2" ySplit="3" topLeftCell="C4" activePane="bottomRight" state="frozen"/>
      <selection activeCell="A23" sqref="A23"/>
      <selection pane="topRight" activeCell="A23" sqref="A23"/>
      <selection pane="bottomLeft" activeCell="A23" sqref="A23"/>
      <selection pane="bottomRight" activeCell="M14" sqref="M14"/>
    </sheetView>
  </sheetViews>
  <sheetFormatPr defaultColWidth="9.109375" defaultRowHeight="10.199999999999999" x14ac:dyDescent="0.2"/>
  <cols>
    <col min="1" max="1" width="37.6640625" style="59" customWidth="1"/>
    <col min="2" max="2" width="3"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1" ht="13.5" customHeight="1" x14ac:dyDescent="0.3">
      <c r="A1" s="465" t="str">
        <f>MEB5b</f>
        <v>Centlec (Soc) Ltd - Supporting Table SD5 Summary of personnel numbers</v>
      </c>
      <c r="B1" s="465"/>
      <c r="C1" s="465"/>
      <c r="D1" s="465"/>
      <c r="E1" s="465"/>
      <c r="F1" s="465"/>
      <c r="G1" s="465"/>
      <c r="H1" s="465"/>
      <c r="I1" s="465"/>
      <c r="J1" s="465"/>
      <c r="K1" s="465"/>
    </row>
    <row r="2" spans="1:11" ht="28.5" customHeight="1" x14ac:dyDescent="0.2">
      <c r="A2" s="466" t="s">
        <v>495</v>
      </c>
      <c r="B2" s="467" t="str">
        <f>head27</f>
        <v>Ref</v>
      </c>
      <c r="C2" s="685" t="str">
        <f>Head1</f>
        <v>2019/20</v>
      </c>
      <c r="D2" s="658"/>
      <c r="E2" s="659"/>
      <c r="F2" s="686" t="str">
        <f>Head2</f>
        <v>Current Year 2020/21</v>
      </c>
      <c r="G2" s="687"/>
      <c r="H2" s="688"/>
      <c r="I2" s="654" t="str">
        <f>Head9</f>
        <v>Budget Year 2021/22</v>
      </c>
      <c r="J2" s="655"/>
      <c r="K2" s="656"/>
    </row>
    <row r="3" spans="1:11" ht="20.399999999999999" x14ac:dyDescent="0.2">
      <c r="A3" s="234" t="s">
        <v>496</v>
      </c>
      <c r="B3" s="468">
        <v>1</v>
      </c>
      <c r="C3" s="469" t="s">
        <v>497</v>
      </c>
      <c r="D3" s="470" t="s">
        <v>220</v>
      </c>
      <c r="E3" s="471" t="s">
        <v>498</v>
      </c>
      <c r="F3" s="469" t="s">
        <v>497</v>
      </c>
      <c r="G3" s="470" t="s">
        <v>220</v>
      </c>
      <c r="H3" s="471" t="s">
        <v>498</v>
      </c>
      <c r="I3" s="469" t="s">
        <v>497</v>
      </c>
      <c r="J3" s="470" t="s">
        <v>220</v>
      </c>
      <c r="K3" s="471" t="s">
        <v>498</v>
      </c>
    </row>
    <row r="4" spans="1:11" x14ac:dyDescent="0.2">
      <c r="A4" s="472" t="s">
        <v>499</v>
      </c>
      <c r="B4" s="257"/>
      <c r="C4" s="473"/>
      <c r="D4" s="473"/>
      <c r="E4" s="474"/>
      <c r="F4" s="475"/>
      <c r="G4" s="473"/>
      <c r="H4" s="476"/>
      <c r="I4" s="477"/>
      <c r="J4" s="473"/>
      <c r="K4" s="474"/>
    </row>
    <row r="5" spans="1:11" ht="11.25" customHeight="1" x14ac:dyDescent="0.2">
      <c r="A5" s="239" t="s">
        <v>500</v>
      </c>
      <c r="B5" s="257"/>
      <c r="C5" s="478"/>
      <c r="D5" s="478"/>
      <c r="E5" s="479"/>
      <c r="F5" s="480"/>
      <c r="G5" s="478"/>
      <c r="H5" s="481"/>
      <c r="I5" s="482"/>
      <c r="J5" s="478"/>
      <c r="K5" s="479"/>
    </row>
    <row r="6" spans="1:11" ht="11.25" customHeight="1" x14ac:dyDescent="0.2">
      <c r="A6" s="239" t="s">
        <v>501</v>
      </c>
      <c r="B6" s="257">
        <v>3</v>
      </c>
      <c r="C6" s="478">
        <v>8</v>
      </c>
      <c r="D6" s="478">
        <v>5</v>
      </c>
      <c r="E6" s="479"/>
      <c r="F6" s="480">
        <v>7</v>
      </c>
      <c r="G6" s="478"/>
      <c r="H6" s="481">
        <v>7</v>
      </c>
      <c r="I6" s="482">
        <v>7</v>
      </c>
      <c r="J6" s="478"/>
      <c r="K6" s="479">
        <v>7</v>
      </c>
    </row>
    <row r="7" spans="1:11" ht="11.25" customHeight="1" x14ac:dyDescent="0.2">
      <c r="A7" s="472" t="s">
        <v>778</v>
      </c>
      <c r="B7" s="257">
        <v>4</v>
      </c>
      <c r="C7" s="478"/>
      <c r="D7" s="478"/>
      <c r="E7" s="479"/>
      <c r="F7" s="480"/>
      <c r="G7" s="478"/>
      <c r="H7" s="481"/>
      <c r="I7" s="482"/>
      <c r="J7" s="478"/>
      <c r="K7" s="479"/>
    </row>
    <row r="8" spans="1:11" ht="11.25" customHeight="1" x14ac:dyDescent="0.2">
      <c r="A8" s="239" t="s">
        <v>779</v>
      </c>
      <c r="B8" s="257">
        <v>2</v>
      </c>
      <c r="C8" s="478">
        <v>7</v>
      </c>
      <c r="D8" s="478">
        <v>6</v>
      </c>
      <c r="E8" s="479"/>
      <c r="F8" s="480">
        <v>7</v>
      </c>
      <c r="G8" s="478"/>
      <c r="H8" s="481">
        <v>5</v>
      </c>
      <c r="I8" s="482">
        <v>7</v>
      </c>
      <c r="J8" s="478"/>
      <c r="K8" s="479">
        <v>5</v>
      </c>
    </row>
    <row r="9" spans="1:11" ht="11.25" customHeight="1" x14ac:dyDescent="0.2">
      <c r="A9" s="239" t="s">
        <v>133</v>
      </c>
      <c r="B9" s="257">
        <v>6</v>
      </c>
      <c r="C9" s="478"/>
      <c r="D9" s="478">
        <v>45</v>
      </c>
      <c r="E9" s="479"/>
      <c r="F9" s="480"/>
      <c r="G9" s="478">
        <v>30</v>
      </c>
      <c r="H9" s="481"/>
      <c r="I9" s="482"/>
      <c r="J9" s="478">
        <v>30</v>
      </c>
      <c r="K9" s="479"/>
    </row>
    <row r="10" spans="1:11" ht="11.25" customHeight="1" x14ac:dyDescent="0.2">
      <c r="A10" s="239" t="s">
        <v>502</v>
      </c>
      <c r="B10" s="257"/>
      <c r="C10" s="119"/>
      <c r="D10" s="119">
        <v>28</v>
      </c>
      <c r="E10" s="120"/>
      <c r="F10" s="121"/>
      <c r="G10" s="119">
        <v>39</v>
      </c>
      <c r="H10" s="122"/>
      <c r="I10" s="123">
        <v>0</v>
      </c>
      <c r="J10" s="119">
        <v>39</v>
      </c>
      <c r="K10" s="120">
        <v>0</v>
      </c>
    </row>
    <row r="11" spans="1:11" ht="11.25" customHeight="1" x14ac:dyDescent="0.2">
      <c r="A11" s="483" t="s">
        <v>221</v>
      </c>
      <c r="B11" s="257"/>
      <c r="C11" s="478"/>
      <c r="D11" s="478">
        <v>28</v>
      </c>
      <c r="E11" s="479"/>
      <c r="F11" s="480"/>
      <c r="G11" s="478">
        <v>73</v>
      </c>
      <c r="H11" s="481">
        <v>1</v>
      </c>
      <c r="I11" s="482"/>
      <c r="J11" s="478">
        <v>73</v>
      </c>
      <c r="K11" s="479"/>
    </row>
    <row r="12" spans="1:11" ht="11.25" customHeight="1" x14ac:dyDescent="0.2">
      <c r="A12" s="483" t="s">
        <v>503</v>
      </c>
      <c r="B12" s="257"/>
      <c r="C12" s="478"/>
      <c r="D12" s="478"/>
      <c r="E12" s="479"/>
      <c r="F12" s="480"/>
      <c r="G12" s="478"/>
      <c r="H12" s="481"/>
      <c r="I12" s="482"/>
      <c r="J12" s="478"/>
      <c r="K12" s="479"/>
    </row>
    <row r="13" spans="1:11" ht="11.25" customHeight="1" x14ac:dyDescent="0.2">
      <c r="A13" s="483" t="s">
        <v>252</v>
      </c>
      <c r="B13" s="257"/>
      <c r="C13" s="478"/>
      <c r="D13" s="478"/>
      <c r="E13" s="479"/>
      <c r="F13" s="480"/>
      <c r="G13" s="478">
        <v>13</v>
      </c>
      <c r="H13" s="481"/>
      <c r="I13" s="482"/>
      <c r="J13" s="478">
        <v>13</v>
      </c>
      <c r="K13" s="479"/>
    </row>
    <row r="14" spans="1:11" ht="11.25" customHeight="1" x14ac:dyDescent="0.2">
      <c r="A14" s="483" t="s">
        <v>504</v>
      </c>
      <c r="B14" s="257"/>
      <c r="C14" s="478"/>
      <c r="D14" s="478"/>
      <c r="E14" s="479"/>
      <c r="F14" s="480"/>
      <c r="G14" s="478"/>
      <c r="H14" s="481"/>
      <c r="I14" s="482"/>
      <c r="J14" s="478"/>
      <c r="K14" s="479"/>
    </row>
    <row r="15" spans="1:11" ht="11.25" customHeight="1" x14ac:dyDescent="0.2">
      <c r="A15" s="483" t="s">
        <v>142</v>
      </c>
      <c r="B15" s="257"/>
      <c r="C15" s="478"/>
      <c r="D15" s="478"/>
      <c r="E15" s="479"/>
      <c r="F15" s="480"/>
      <c r="G15" s="478">
        <v>133</v>
      </c>
      <c r="H15" s="481">
        <v>25</v>
      </c>
      <c r="I15" s="482"/>
      <c r="J15" s="478">
        <v>133</v>
      </c>
      <c r="K15" s="479">
        <v>25</v>
      </c>
    </row>
    <row r="16" spans="1:11" ht="11.25" customHeight="1" x14ac:dyDescent="0.2">
      <c r="A16" s="483" t="s">
        <v>3</v>
      </c>
      <c r="B16" s="257"/>
      <c r="C16" s="478"/>
      <c r="D16" s="478"/>
      <c r="E16" s="479"/>
      <c r="F16" s="480"/>
      <c r="G16" s="478"/>
      <c r="H16" s="481"/>
      <c r="I16" s="482"/>
      <c r="J16" s="478"/>
      <c r="K16" s="479"/>
    </row>
    <row r="17" spans="1:11" ht="11.25" customHeight="1" x14ac:dyDescent="0.2">
      <c r="A17" s="483" t="s">
        <v>4</v>
      </c>
      <c r="B17" s="257"/>
      <c r="C17" s="478"/>
      <c r="D17" s="478"/>
      <c r="E17" s="479"/>
      <c r="F17" s="480"/>
      <c r="G17" s="478"/>
      <c r="H17" s="481"/>
      <c r="I17" s="482"/>
      <c r="J17" s="478"/>
      <c r="K17" s="479"/>
    </row>
    <row r="18" spans="1:11" ht="11.25" customHeight="1" x14ac:dyDescent="0.2">
      <c r="A18" s="483" t="s">
        <v>90</v>
      </c>
      <c r="B18" s="257"/>
      <c r="C18" s="478"/>
      <c r="D18" s="478"/>
      <c r="E18" s="479"/>
      <c r="F18" s="480"/>
      <c r="G18" s="478"/>
      <c r="H18" s="481"/>
      <c r="I18" s="482"/>
      <c r="J18" s="478"/>
      <c r="K18" s="479"/>
    </row>
    <row r="19" spans="1:11" ht="11.25" customHeight="1" x14ac:dyDescent="0.2">
      <c r="A19" s="483" t="s">
        <v>228</v>
      </c>
      <c r="B19" s="257"/>
      <c r="C19" s="478"/>
      <c r="D19" s="478">
        <v>316</v>
      </c>
      <c r="E19" s="479"/>
      <c r="F19" s="480"/>
      <c r="G19" s="478">
        <v>93</v>
      </c>
      <c r="H19" s="481">
        <v>2</v>
      </c>
      <c r="I19" s="482"/>
      <c r="J19" s="478">
        <v>93</v>
      </c>
      <c r="K19" s="479">
        <v>2</v>
      </c>
    </row>
    <row r="20" spans="1:11" ht="11.25" customHeight="1" x14ac:dyDescent="0.2">
      <c r="A20" s="239" t="s">
        <v>505</v>
      </c>
      <c r="B20" s="257"/>
      <c r="C20" s="119"/>
      <c r="D20" s="119">
        <v>174</v>
      </c>
      <c r="E20" s="120"/>
      <c r="F20" s="121"/>
      <c r="G20" s="119">
        <v>58</v>
      </c>
      <c r="H20" s="122"/>
      <c r="I20" s="123">
        <v>0</v>
      </c>
      <c r="J20" s="119">
        <v>58</v>
      </c>
      <c r="K20" s="120">
        <v>0</v>
      </c>
    </row>
    <row r="21" spans="1:11" ht="11.25" customHeight="1" x14ac:dyDescent="0.2">
      <c r="A21" s="483" t="s">
        <v>221</v>
      </c>
      <c r="B21" s="257"/>
      <c r="C21" s="478"/>
      <c r="D21" s="478"/>
      <c r="E21" s="479"/>
      <c r="F21" s="480"/>
      <c r="G21" s="478"/>
      <c r="H21" s="481"/>
      <c r="I21" s="482"/>
      <c r="J21" s="478"/>
      <c r="K21" s="479"/>
    </row>
    <row r="22" spans="1:11" ht="11.25" customHeight="1" x14ac:dyDescent="0.2">
      <c r="A22" s="483" t="s">
        <v>503</v>
      </c>
      <c r="B22" s="257"/>
      <c r="C22" s="478"/>
      <c r="D22" s="478"/>
      <c r="E22" s="479"/>
      <c r="F22" s="480"/>
      <c r="G22" s="478"/>
      <c r="H22" s="481"/>
      <c r="I22" s="482"/>
      <c r="J22" s="478"/>
      <c r="K22" s="479"/>
    </row>
    <row r="23" spans="1:11" ht="11.25" customHeight="1" x14ac:dyDescent="0.2">
      <c r="A23" s="483" t="s">
        <v>252</v>
      </c>
      <c r="B23" s="257"/>
      <c r="C23" s="478"/>
      <c r="D23" s="478">
        <v>15</v>
      </c>
      <c r="E23" s="479"/>
      <c r="F23" s="480"/>
      <c r="G23" s="478"/>
      <c r="H23" s="481"/>
      <c r="I23" s="482"/>
      <c r="J23" s="478"/>
      <c r="K23" s="479"/>
    </row>
    <row r="24" spans="1:11" ht="11.25" customHeight="1" x14ac:dyDescent="0.2">
      <c r="A24" s="483" t="s">
        <v>504</v>
      </c>
      <c r="B24" s="257"/>
      <c r="C24" s="478"/>
      <c r="D24" s="478"/>
      <c r="E24" s="479"/>
      <c r="F24" s="480"/>
      <c r="G24" s="478"/>
      <c r="H24" s="481"/>
      <c r="I24" s="482"/>
      <c r="J24" s="478"/>
      <c r="K24" s="479"/>
    </row>
    <row r="25" spans="1:11" ht="11.25" customHeight="1" x14ac:dyDescent="0.2">
      <c r="A25" s="483" t="s">
        <v>142</v>
      </c>
      <c r="B25" s="257"/>
      <c r="C25" s="478"/>
      <c r="D25" s="478">
        <v>159</v>
      </c>
      <c r="E25" s="479"/>
      <c r="F25" s="480"/>
      <c r="G25" s="478"/>
      <c r="H25" s="481"/>
      <c r="I25" s="482"/>
      <c r="J25" s="478"/>
      <c r="K25" s="479"/>
    </row>
    <row r="26" spans="1:11" ht="11.25" customHeight="1" x14ac:dyDescent="0.2">
      <c r="A26" s="483" t="s">
        <v>3</v>
      </c>
      <c r="B26" s="257"/>
      <c r="C26" s="478"/>
      <c r="D26" s="478"/>
      <c r="E26" s="479"/>
      <c r="F26" s="480"/>
      <c r="G26" s="478"/>
      <c r="H26" s="481"/>
      <c r="I26" s="482"/>
      <c r="J26" s="478"/>
      <c r="K26" s="479"/>
    </row>
    <row r="27" spans="1:11" ht="11.25" customHeight="1" x14ac:dyDescent="0.2">
      <c r="A27" s="483" t="s">
        <v>4</v>
      </c>
      <c r="B27" s="257"/>
      <c r="C27" s="478"/>
      <c r="D27" s="478"/>
      <c r="E27" s="479"/>
      <c r="F27" s="480"/>
      <c r="G27" s="478"/>
      <c r="H27" s="481"/>
      <c r="I27" s="482"/>
      <c r="J27" s="478"/>
      <c r="K27" s="479"/>
    </row>
    <row r="28" spans="1:11" ht="11.25" customHeight="1" x14ac:dyDescent="0.2">
      <c r="A28" s="483" t="s">
        <v>90</v>
      </c>
      <c r="B28" s="257"/>
      <c r="C28" s="478"/>
      <c r="D28" s="478"/>
      <c r="E28" s="479"/>
      <c r="F28" s="480"/>
      <c r="G28" s="478"/>
      <c r="H28" s="481"/>
      <c r="I28" s="482"/>
      <c r="J28" s="478"/>
      <c r="K28" s="479"/>
    </row>
    <row r="29" spans="1:11" ht="11.25" customHeight="1" x14ac:dyDescent="0.2">
      <c r="A29" s="483" t="s">
        <v>228</v>
      </c>
      <c r="B29" s="257"/>
      <c r="C29" s="478"/>
      <c r="D29" s="478">
        <v>64</v>
      </c>
      <c r="E29" s="479"/>
      <c r="F29" s="480"/>
      <c r="G29" s="478">
        <v>182</v>
      </c>
      <c r="H29" s="481"/>
      <c r="I29" s="482"/>
      <c r="J29" s="478">
        <v>182</v>
      </c>
      <c r="K29" s="479"/>
    </row>
    <row r="30" spans="1:11" ht="11.25" customHeight="1" x14ac:dyDescent="0.2">
      <c r="A30" s="239" t="s">
        <v>506</v>
      </c>
      <c r="B30" s="257"/>
      <c r="C30" s="478"/>
      <c r="D30" s="478">
        <v>34</v>
      </c>
      <c r="E30" s="479"/>
      <c r="F30" s="480"/>
      <c r="G30" s="478">
        <v>34</v>
      </c>
      <c r="H30" s="481"/>
      <c r="I30" s="482"/>
      <c r="J30" s="478">
        <v>34</v>
      </c>
      <c r="K30" s="479"/>
    </row>
    <row r="31" spans="1:11" ht="11.25" customHeight="1" x14ac:dyDescent="0.2">
      <c r="A31" s="239" t="s">
        <v>507</v>
      </c>
      <c r="B31" s="257"/>
      <c r="C31" s="478"/>
      <c r="D31" s="478"/>
      <c r="E31" s="479"/>
      <c r="F31" s="480"/>
      <c r="G31" s="478"/>
      <c r="H31" s="481"/>
      <c r="I31" s="482"/>
      <c r="J31" s="478"/>
      <c r="K31" s="479"/>
    </row>
    <row r="32" spans="1:11" ht="11.25" customHeight="1" x14ac:dyDescent="0.2">
      <c r="A32" s="239" t="s">
        <v>508</v>
      </c>
      <c r="B32" s="257"/>
      <c r="C32" s="478"/>
      <c r="D32" s="478"/>
      <c r="E32" s="479"/>
      <c r="F32" s="480"/>
      <c r="G32" s="478"/>
      <c r="H32" s="481"/>
      <c r="I32" s="482"/>
      <c r="J32" s="478"/>
      <c r="K32" s="479"/>
    </row>
    <row r="33" spans="1:11" ht="11.25" customHeight="1" x14ac:dyDescent="0.2">
      <c r="A33" s="239" t="s">
        <v>509</v>
      </c>
      <c r="B33" s="257"/>
      <c r="C33" s="478"/>
      <c r="D33" s="478"/>
      <c r="E33" s="479"/>
      <c r="F33" s="480"/>
      <c r="G33" s="478"/>
      <c r="H33" s="481"/>
      <c r="I33" s="482"/>
      <c r="J33" s="478"/>
      <c r="K33" s="479"/>
    </row>
    <row r="34" spans="1:11" ht="11.25" customHeight="1" x14ac:dyDescent="0.2">
      <c r="A34" s="239" t="s">
        <v>510</v>
      </c>
      <c r="B34" s="257"/>
      <c r="C34" s="478"/>
      <c r="D34" s="478"/>
      <c r="E34" s="479"/>
      <c r="F34" s="480"/>
      <c r="G34" s="478"/>
      <c r="H34" s="481"/>
      <c r="I34" s="482"/>
      <c r="J34" s="478"/>
      <c r="K34" s="479"/>
    </row>
    <row r="35" spans="1:11" ht="11.25" customHeight="1" x14ac:dyDescent="0.2">
      <c r="A35" s="239" t="s">
        <v>511</v>
      </c>
      <c r="B35" s="257"/>
      <c r="C35" s="478"/>
      <c r="D35" s="478"/>
      <c r="E35" s="479"/>
      <c r="F35" s="480"/>
      <c r="G35" s="478"/>
      <c r="H35" s="481"/>
      <c r="I35" s="482"/>
      <c r="J35" s="478"/>
      <c r="K35" s="479"/>
    </row>
    <row r="36" spans="1:11" ht="11.25" customHeight="1" x14ac:dyDescent="0.2">
      <c r="A36" s="484" t="s">
        <v>780</v>
      </c>
      <c r="B36" s="257"/>
      <c r="C36" s="485">
        <f>SUM(C5:C9)+SUM(C11:C19)+SUM(C21:C35)</f>
        <v>15</v>
      </c>
      <c r="D36" s="485">
        <f t="shared" ref="D36:K36" si="0">SUM(D5:D9)+SUM(D11:D19)+SUM(D21:D35)</f>
        <v>672</v>
      </c>
      <c r="E36" s="486">
        <f t="shared" si="0"/>
        <v>0</v>
      </c>
      <c r="F36" s="487">
        <f t="shared" si="0"/>
        <v>14</v>
      </c>
      <c r="G36" s="485">
        <f t="shared" si="0"/>
        <v>558</v>
      </c>
      <c r="H36" s="488">
        <f t="shared" si="0"/>
        <v>40</v>
      </c>
      <c r="I36" s="489">
        <f t="shared" si="0"/>
        <v>14</v>
      </c>
      <c r="J36" s="485">
        <f t="shared" si="0"/>
        <v>558</v>
      </c>
      <c r="K36" s="488">
        <f t="shared" si="0"/>
        <v>39</v>
      </c>
    </row>
    <row r="37" spans="1:11" ht="11.25" customHeight="1" x14ac:dyDescent="0.2">
      <c r="A37" s="490" t="s">
        <v>231</v>
      </c>
      <c r="B37" s="257"/>
      <c r="C37" s="491"/>
      <c r="D37" s="492">
        <f>IF(ISERROR((D36/C36)-1),0,((D36/C36)-1))</f>
        <v>43.8</v>
      </c>
      <c r="E37" s="493">
        <f>IF(ISERROR((E36/D36)-1),0,((E36/D36)-1))</f>
        <v>-1</v>
      </c>
      <c r="F37" s="494">
        <f>IF(ISERROR((F36/E36)-1),0,((F36/E36)-1))</f>
        <v>0</v>
      </c>
      <c r="G37" s="495">
        <f>IF(ISERROR((G36/E36)-1),0,((G36/E36)-1))</f>
        <v>0</v>
      </c>
      <c r="H37" s="496">
        <f>IF(ISERROR((H36/E36)-1),0,((H36/E36)-1))</f>
        <v>0</v>
      </c>
      <c r="I37" s="497">
        <f>IF(ISERROR((I36/H36)-1),0,((I36/H36)-1))</f>
        <v>-0.65</v>
      </c>
      <c r="J37" s="495">
        <f>IF(ISERROR((J36/I36)-1),0,((J36/I36)-1))</f>
        <v>38.857142857142854</v>
      </c>
      <c r="K37" s="498">
        <f>IF(ISERROR((K36/J36)-1),0,((K36/J36)-1))</f>
        <v>-0.93010752688172049</v>
      </c>
    </row>
    <row r="38" spans="1:11" ht="3.75" customHeight="1" x14ac:dyDescent="0.2">
      <c r="A38" s="490"/>
      <c r="B38" s="257"/>
      <c r="C38" s="491"/>
      <c r="D38" s="495"/>
      <c r="E38" s="498"/>
      <c r="F38" s="494"/>
      <c r="G38" s="495"/>
      <c r="H38" s="496"/>
      <c r="I38" s="497"/>
      <c r="J38" s="495"/>
      <c r="K38" s="498"/>
    </row>
    <row r="39" spans="1:11" ht="11.25" customHeight="1" x14ac:dyDescent="0.2">
      <c r="A39" s="472" t="s">
        <v>521</v>
      </c>
      <c r="B39" s="257">
        <v>5</v>
      </c>
      <c r="C39" s="499"/>
      <c r="D39" s="500"/>
      <c r="E39" s="501"/>
      <c r="F39" s="502"/>
      <c r="G39" s="503"/>
      <c r="H39" s="504"/>
      <c r="I39" s="505"/>
      <c r="J39" s="503"/>
      <c r="K39" s="506"/>
    </row>
    <row r="40" spans="1:11" ht="11.25" customHeight="1" x14ac:dyDescent="0.2">
      <c r="A40" s="235" t="s">
        <v>512</v>
      </c>
      <c r="B40" s="257">
        <v>7</v>
      </c>
      <c r="C40" s="499"/>
      <c r="D40" s="500"/>
      <c r="E40" s="501"/>
      <c r="F40" s="502"/>
      <c r="G40" s="503"/>
      <c r="H40" s="504"/>
      <c r="I40" s="505"/>
      <c r="J40" s="503"/>
      <c r="K40" s="506"/>
    </row>
    <row r="41" spans="1:11" ht="11.25" customHeight="1" x14ac:dyDescent="0.2">
      <c r="A41" s="507" t="s">
        <v>513</v>
      </c>
      <c r="B41" s="508">
        <v>7</v>
      </c>
      <c r="C41" s="509"/>
      <c r="D41" s="510"/>
      <c r="E41" s="511"/>
      <c r="F41" s="512"/>
      <c r="G41" s="513"/>
      <c r="H41" s="514"/>
      <c r="I41" s="515"/>
      <c r="J41" s="513"/>
      <c r="K41" s="516"/>
    </row>
    <row r="42" spans="1:11" ht="11.25" customHeight="1" x14ac:dyDescent="0.2">
      <c r="A42" s="517"/>
      <c r="B42" s="305"/>
      <c r="C42" s="72"/>
      <c r="D42" s="72"/>
      <c r="E42" s="72"/>
      <c r="F42" s="72"/>
      <c r="G42" s="72"/>
      <c r="H42" s="72"/>
      <c r="I42" s="72"/>
      <c r="J42" s="72"/>
      <c r="K42" s="72"/>
    </row>
    <row r="43" spans="1:11" ht="11.25" customHeight="1" x14ac:dyDescent="0.2">
      <c r="A43" s="148" t="str">
        <f>head27a</f>
        <v>References</v>
      </c>
      <c r="B43" s="305"/>
      <c r="C43" s="72"/>
      <c r="D43" s="72"/>
      <c r="E43" s="72"/>
      <c r="F43" s="72"/>
      <c r="G43" s="72"/>
      <c r="H43" s="72"/>
      <c r="I43" s="72"/>
      <c r="J43" s="72"/>
      <c r="K43" s="72"/>
    </row>
    <row r="44" spans="1:11" ht="11.25" customHeight="1" x14ac:dyDescent="0.2">
      <c r="A44" s="149" t="s">
        <v>514</v>
      </c>
    </row>
    <row r="45" spans="1:11" ht="11.25" customHeight="1" x14ac:dyDescent="0.2">
      <c r="A45" s="149" t="s">
        <v>515</v>
      </c>
    </row>
    <row r="46" spans="1:11" ht="11.25" customHeight="1" x14ac:dyDescent="0.2">
      <c r="A46" s="149" t="s">
        <v>516</v>
      </c>
    </row>
    <row r="47" spans="1:11" ht="11.25" customHeight="1" x14ac:dyDescent="0.2">
      <c r="A47" s="149" t="s">
        <v>517</v>
      </c>
    </row>
    <row r="48" spans="1:11" ht="11.25" customHeight="1" x14ac:dyDescent="0.2">
      <c r="A48" s="149" t="s">
        <v>518</v>
      </c>
    </row>
    <row r="49" spans="1:1" ht="11.25" customHeight="1" x14ac:dyDescent="0.2">
      <c r="A49" s="149" t="s">
        <v>519</v>
      </c>
    </row>
    <row r="50" spans="1:1" ht="11.25" customHeight="1" x14ac:dyDescent="0.2">
      <c r="A50" s="149" t="s">
        <v>520</v>
      </c>
    </row>
  </sheetData>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5">
    <tabColor rgb="FFCCFFCC"/>
    <pageSetUpPr fitToPage="1"/>
  </sheetPr>
  <dimension ref="A1:Q240"/>
  <sheetViews>
    <sheetView showGridLines="0" zoomScale="110" zoomScaleNormal="110" workbookViewId="0">
      <pane xSplit="1" ySplit="4" topLeftCell="B211" activePane="bottomRight" state="frozen"/>
      <selection activeCell="A23" sqref="A23"/>
      <selection pane="topRight" activeCell="A23" sqref="A23"/>
      <selection pane="bottomLeft" activeCell="A23" sqref="A23"/>
      <selection pane="bottomRight" activeCell="J226" sqref="J226"/>
    </sheetView>
  </sheetViews>
  <sheetFormatPr defaultColWidth="8.88671875" defaultRowHeight="13.2" x14ac:dyDescent="0.25"/>
  <cols>
    <col min="1" max="1" width="41.6640625" style="59" customWidth="1"/>
    <col min="2" max="16" width="8.6640625" style="59" customWidth="1"/>
    <col min="17" max="17" width="14.109375" style="143" bestFit="1" customWidth="1"/>
    <col min="18" max="16384" width="8.88671875" style="143"/>
  </cols>
  <sheetData>
    <row r="1" spans="1:17" ht="13.8" x14ac:dyDescent="0.3">
      <c r="A1" s="57" t="str">
        <f>_MEB8</f>
        <v>Centlec (Soc) Ltd - Supporting Table SD6 Budgeted monthly cash and revenue/expenditure</v>
      </c>
      <c r="C1" s="58"/>
    </row>
    <row r="2" spans="1:17" ht="20.399999999999999" x14ac:dyDescent="0.25">
      <c r="A2" s="676" t="str">
        <f>desc</f>
        <v>Description</v>
      </c>
      <c r="B2" s="62" t="str">
        <f>Head9</f>
        <v>Budget Year 2021/22</v>
      </c>
      <c r="C2" s="63"/>
      <c r="D2" s="63"/>
      <c r="E2" s="63"/>
      <c r="F2" s="63"/>
      <c r="G2" s="63"/>
      <c r="H2" s="63"/>
      <c r="I2" s="63"/>
      <c r="J2" s="63"/>
      <c r="K2" s="63"/>
      <c r="L2" s="63"/>
      <c r="M2" s="63"/>
      <c r="N2" s="62" t="str">
        <f>Head3a</f>
        <v>Medium Term Revenue and Expenditure Framework</v>
      </c>
      <c r="O2" s="63"/>
      <c r="P2" s="64"/>
    </row>
    <row r="3" spans="1:17" x14ac:dyDescent="0.25">
      <c r="A3" s="677"/>
      <c r="B3" s="129" t="s">
        <v>270</v>
      </c>
      <c r="C3" s="130" t="s">
        <v>342</v>
      </c>
      <c r="D3" s="130" t="s">
        <v>343</v>
      </c>
      <c r="E3" s="130" t="s">
        <v>344</v>
      </c>
      <c r="F3" s="130" t="s">
        <v>345</v>
      </c>
      <c r="G3" s="518" t="s">
        <v>346</v>
      </c>
      <c r="H3" s="127" t="s">
        <v>347</v>
      </c>
      <c r="I3" s="519" t="s">
        <v>348</v>
      </c>
      <c r="J3" s="130" t="s">
        <v>349</v>
      </c>
      <c r="K3" s="130" t="s">
        <v>350</v>
      </c>
      <c r="L3" s="127" t="s">
        <v>351</v>
      </c>
      <c r="M3" s="519" t="s">
        <v>352</v>
      </c>
      <c r="N3" s="664" t="str">
        <f>Head9</f>
        <v>Budget Year 2021/22</v>
      </c>
      <c r="O3" s="660" t="str">
        <f>Head10</f>
        <v>Budget Year +1 2022/23</v>
      </c>
      <c r="P3" s="662" t="str">
        <f>Head11</f>
        <v>Budget Year +2 2023/24</v>
      </c>
    </row>
    <row r="4" spans="1:17" x14ac:dyDescent="0.25">
      <c r="A4" s="520" t="s">
        <v>183</v>
      </c>
      <c r="B4" s="521"/>
      <c r="C4" s="522"/>
      <c r="D4" s="522"/>
      <c r="E4" s="522"/>
      <c r="F4" s="522"/>
      <c r="G4" s="523"/>
      <c r="H4" s="522"/>
      <c r="I4" s="523"/>
      <c r="J4" s="522"/>
      <c r="K4" s="522"/>
      <c r="L4" s="522"/>
      <c r="M4" s="523"/>
      <c r="N4" s="665"/>
      <c r="O4" s="661"/>
      <c r="P4" s="663"/>
    </row>
    <row r="5" spans="1:17" x14ac:dyDescent="0.25">
      <c r="A5" s="65" t="s">
        <v>1010</v>
      </c>
      <c r="B5" s="715">
        <v>0.1</v>
      </c>
      <c r="C5" s="716">
        <v>0.09</v>
      </c>
      <c r="D5" s="716">
        <v>8.4410332384645084E-2</v>
      </c>
      <c r="E5" s="716">
        <v>7.761869644565067E-2</v>
      </c>
      <c r="F5" s="716">
        <v>7.1797294212226859E-2</v>
      </c>
      <c r="G5" s="717">
        <v>7.0827060506656228E-2</v>
      </c>
      <c r="H5" s="716">
        <v>7.1260792044088583E-2</v>
      </c>
      <c r="I5" s="716">
        <v>7.0828391071607114E-2</v>
      </c>
      <c r="J5" s="716">
        <v>6.9858157366036455E-2</v>
      </c>
      <c r="K5" s="716">
        <v>6.5006988838183288E-2</v>
      </c>
      <c r="L5" s="716">
        <v>0.10090563594429673</v>
      </c>
      <c r="M5" s="717">
        <v>0.11095481505217583</v>
      </c>
      <c r="N5" s="68"/>
      <c r="O5" s="66"/>
      <c r="P5" s="67"/>
    </row>
    <row r="6" spans="1:17" x14ac:dyDescent="0.25">
      <c r="A6" s="235" t="s">
        <v>357</v>
      </c>
      <c r="B6" s="236"/>
      <c r="C6" s="237"/>
      <c r="D6" s="237"/>
      <c r="E6" s="237"/>
      <c r="F6" s="237"/>
      <c r="G6" s="525"/>
      <c r="H6" s="237"/>
      <c r="I6" s="237"/>
      <c r="J6" s="237"/>
      <c r="K6" s="237"/>
      <c r="L6" s="237"/>
      <c r="M6" s="524">
        <f t="shared" ref="M6:M21" si="0">N6-SUM(B6:L6)</f>
        <v>0</v>
      </c>
      <c r="N6" s="68">
        <f>'D2-FinPerf'!I5</f>
        <v>0</v>
      </c>
      <c r="O6" s="66">
        <f>'D2-FinPerf'!J5</f>
        <v>0</v>
      </c>
      <c r="P6" s="67">
        <f>'D2-FinPerf'!K5</f>
        <v>0</v>
      </c>
    </row>
    <row r="7" spans="1:17" x14ac:dyDescent="0.25">
      <c r="A7" s="235" t="s">
        <v>306</v>
      </c>
      <c r="B7" s="236">
        <v>355489092.52262402</v>
      </c>
      <c r="C7" s="237">
        <v>335270493.87491345</v>
      </c>
      <c r="D7" s="237">
        <v>321358349.86171639</v>
      </c>
      <c r="E7" s="237">
        <v>247661757.13833243</v>
      </c>
      <c r="F7" s="237">
        <v>235343155.45349428</v>
      </c>
      <c r="G7" s="525">
        <v>238130601.49792397</v>
      </c>
      <c r="H7" s="237">
        <v>232397654.43815994</v>
      </c>
      <c r="I7" s="237">
        <v>227561802.4955039</v>
      </c>
      <c r="J7" s="237">
        <v>241239633.01608974</v>
      </c>
      <c r="K7" s="237">
        <v>236248694.85975367</v>
      </c>
      <c r="L7" s="237">
        <v>236355067.01123828</v>
      </c>
      <c r="M7" s="524">
        <v>250558122.83024952</v>
      </c>
      <c r="N7" s="68">
        <f>'D2-FinPerf'!I6</f>
        <v>3157614425</v>
      </c>
      <c r="O7" s="66">
        <f>'D2-FinPerf'!J6</f>
        <v>3238134230.8499999</v>
      </c>
      <c r="P7" s="67">
        <f>'D2-FinPerf'!K6</f>
        <v>3380612137.0100002</v>
      </c>
    </row>
    <row r="8" spans="1:17" x14ac:dyDescent="0.25">
      <c r="A8" s="235" t="s">
        <v>307</v>
      </c>
      <c r="B8" s="236"/>
      <c r="C8" s="237"/>
      <c r="D8" s="237"/>
      <c r="E8" s="237"/>
      <c r="F8" s="237"/>
      <c r="G8" s="525"/>
      <c r="H8" s="237"/>
      <c r="I8" s="237"/>
      <c r="J8" s="237"/>
      <c r="K8" s="237"/>
      <c r="L8" s="237"/>
      <c r="M8" s="524">
        <f t="shared" si="0"/>
        <v>0</v>
      </c>
      <c r="N8" s="68">
        <f>'D2-FinPerf'!I7</f>
        <v>0</v>
      </c>
      <c r="O8" s="66">
        <f>'D2-FinPerf'!J7</f>
        <v>0</v>
      </c>
      <c r="P8" s="67">
        <f>'D2-FinPerf'!K7</f>
        <v>0</v>
      </c>
    </row>
    <row r="9" spans="1:17" x14ac:dyDescent="0.25">
      <c r="A9" s="235" t="s">
        <v>308</v>
      </c>
      <c r="B9" s="236"/>
      <c r="C9" s="237"/>
      <c r="D9" s="237"/>
      <c r="E9" s="237"/>
      <c r="F9" s="237"/>
      <c r="G9" s="525"/>
      <c r="H9" s="237"/>
      <c r="I9" s="237"/>
      <c r="J9" s="237"/>
      <c r="K9" s="237"/>
      <c r="L9" s="237"/>
      <c r="M9" s="524">
        <f t="shared" si="0"/>
        <v>0</v>
      </c>
      <c r="N9" s="68">
        <f>'D2-FinPerf'!I8</f>
        <v>0</v>
      </c>
      <c r="O9" s="66">
        <f>'D2-FinPerf'!J8</f>
        <v>0</v>
      </c>
      <c r="P9" s="67">
        <f>'D2-FinPerf'!K8</f>
        <v>0</v>
      </c>
    </row>
    <row r="10" spans="1:17" x14ac:dyDescent="0.25">
      <c r="A10" s="235" t="s">
        <v>765</v>
      </c>
      <c r="B10" s="236"/>
      <c r="C10" s="237"/>
      <c r="D10" s="237"/>
      <c r="E10" s="237"/>
      <c r="F10" s="237"/>
      <c r="G10" s="525"/>
      <c r="H10" s="237"/>
      <c r="I10" s="237"/>
      <c r="J10" s="237"/>
      <c r="K10" s="237"/>
      <c r="L10" s="237"/>
      <c r="M10" s="524">
        <f>N10-SUM(B10:L10)</f>
        <v>0</v>
      </c>
      <c r="N10" s="68">
        <f>'D2-FinPerf'!I9</f>
        <v>0</v>
      </c>
      <c r="O10" s="66">
        <f>'D2-FinPerf'!J9</f>
        <v>0</v>
      </c>
      <c r="P10" s="67">
        <f>'D2-FinPerf'!K9</f>
        <v>0</v>
      </c>
    </row>
    <row r="11" spans="1:17" ht="0.9" customHeight="1" x14ac:dyDescent="0.25">
      <c r="A11" s="235"/>
      <c r="B11" s="157"/>
      <c r="C11" s="155"/>
      <c r="D11" s="155"/>
      <c r="E11" s="155"/>
      <c r="F11" s="155"/>
      <c r="G11" s="156"/>
      <c r="H11" s="155"/>
      <c r="I11" s="155"/>
      <c r="J11" s="155"/>
      <c r="K11" s="155"/>
      <c r="L11" s="155"/>
      <c r="M11" s="156"/>
      <c r="N11" s="157"/>
      <c r="O11" s="155"/>
      <c r="P11" s="158"/>
    </row>
    <row r="12" spans="1:17" x14ac:dyDescent="0.25">
      <c r="A12" s="235" t="s">
        <v>402</v>
      </c>
      <c r="B12" s="236"/>
      <c r="C12" s="237"/>
      <c r="D12" s="237"/>
      <c r="E12" s="237"/>
      <c r="F12" s="237"/>
      <c r="G12" s="525"/>
      <c r="H12" s="237"/>
      <c r="I12" s="237"/>
      <c r="J12" s="237"/>
      <c r="K12" s="237"/>
      <c r="L12" s="237"/>
      <c r="M12" s="524">
        <f t="shared" si="0"/>
        <v>0</v>
      </c>
      <c r="N12" s="68">
        <f>'D2-FinPerf'!I11</f>
        <v>0</v>
      </c>
      <c r="O12" s="66">
        <f>'D2-FinPerf'!J11</f>
        <v>0</v>
      </c>
      <c r="P12" s="67">
        <f>'D2-FinPerf'!K11</f>
        <v>0</v>
      </c>
    </row>
    <row r="13" spans="1:17" x14ac:dyDescent="0.25">
      <c r="A13" s="235" t="s">
        <v>311</v>
      </c>
      <c r="B13" s="236">
        <v>53298.732733333338</v>
      </c>
      <c r="C13" s="237">
        <v>53298.732733333338</v>
      </c>
      <c r="D13" s="237">
        <v>53298.732733333338</v>
      </c>
      <c r="E13" s="237">
        <v>53298.732733333338</v>
      </c>
      <c r="F13" s="237">
        <v>53298.732733333338</v>
      </c>
      <c r="G13" s="525">
        <v>53298.732733333338</v>
      </c>
      <c r="H13" s="237">
        <v>53298.732733333338</v>
      </c>
      <c r="I13" s="237">
        <v>53298.732733333338</v>
      </c>
      <c r="J13" s="237">
        <v>53298.732733333338</v>
      </c>
      <c r="K13" s="237">
        <v>53298.732733333338</v>
      </c>
      <c r="L13" s="237">
        <v>53298.732733333338</v>
      </c>
      <c r="M13" s="524">
        <v>53298.732733333338</v>
      </c>
      <c r="N13" s="68">
        <f>'D2-FinPerf'!I12</f>
        <v>639584.79280000005</v>
      </c>
      <c r="O13" s="66">
        <f>'D2-FinPerf'!J12</f>
        <v>677959.88036800001</v>
      </c>
      <c r="P13" s="67">
        <f>'D2-FinPerf'!K12</f>
        <v>718637.47319008003</v>
      </c>
      <c r="Q13" s="714"/>
    </row>
    <row r="14" spans="1:17" x14ac:dyDescent="0.25">
      <c r="A14" s="235" t="s">
        <v>312</v>
      </c>
      <c r="B14" s="236">
        <v>2660375.4284000001</v>
      </c>
      <c r="C14" s="237">
        <v>2660375.4284000001</v>
      </c>
      <c r="D14" s="237">
        <v>2660375.4284000001</v>
      </c>
      <c r="E14" s="237">
        <v>2660375.4284000001</v>
      </c>
      <c r="F14" s="237">
        <v>2660375.4284000001</v>
      </c>
      <c r="G14" s="525">
        <v>2660375.4284000001</v>
      </c>
      <c r="H14" s="237">
        <v>2660375.4284000001</v>
      </c>
      <c r="I14" s="237">
        <v>2660375.4284000001</v>
      </c>
      <c r="J14" s="237">
        <v>2660375.4284000001</v>
      </c>
      <c r="K14" s="237">
        <v>2660375.4284000001</v>
      </c>
      <c r="L14" s="237">
        <v>2660375.4284000001</v>
      </c>
      <c r="M14" s="524">
        <v>2660375.4284000001</v>
      </c>
      <c r="N14" s="68">
        <f>'D2-FinPerf'!I13</f>
        <v>31924505.140799999</v>
      </c>
      <c r="O14" s="66">
        <f>'D2-FinPerf'!J13</f>
        <v>33839975.449248001</v>
      </c>
      <c r="P14" s="67">
        <f>'D2-FinPerf'!K13</f>
        <v>41129350.976202898</v>
      </c>
      <c r="Q14" s="714"/>
    </row>
    <row r="15" spans="1:17" x14ac:dyDescent="0.25">
      <c r="A15" s="235" t="s">
        <v>353</v>
      </c>
      <c r="B15" s="236">
        <v>0</v>
      </c>
      <c r="C15" s="237">
        <v>0</v>
      </c>
      <c r="D15" s="237">
        <v>0</v>
      </c>
      <c r="E15" s="237">
        <v>0</v>
      </c>
      <c r="F15" s="237">
        <v>0</v>
      </c>
      <c r="G15" s="525">
        <v>0</v>
      </c>
      <c r="H15" s="237">
        <v>0</v>
      </c>
      <c r="I15" s="237">
        <v>0</v>
      </c>
      <c r="J15" s="237">
        <v>0</v>
      </c>
      <c r="K15" s="237">
        <v>0</v>
      </c>
      <c r="L15" s="237">
        <v>0</v>
      </c>
      <c r="M15" s="524">
        <v>0</v>
      </c>
      <c r="N15" s="68">
        <f>'D2-FinPerf'!I14</f>
        <v>0</v>
      </c>
      <c r="O15" s="66">
        <f>'D2-FinPerf'!J14</f>
        <v>0</v>
      </c>
      <c r="P15" s="67">
        <f>'D2-FinPerf'!K14</f>
        <v>0</v>
      </c>
      <c r="Q15" s="714"/>
    </row>
    <row r="16" spans="1:17" x14ac:dyDescent="0.25">
      <c r="A16" s="235" t="s">
        <v>844</v>
      </c>
      <c r="B16" s="236">
        <v>152493.56688888915</v>
      </c>
      <c r="C16" s="237">
        <v>152493.56688888915</v>
      </c>
      <c r="D16" s="237">
        <v>152493.56688888915</v>
      </c>
      <c r="E16" s="237">
        <v>152493.56688888915</v>
      </c>
      <c r="F16" s="237">
        <v>152493.56688888915</v>
      </c>
      <c r="G16" s="525">
        <v>152493.56688888915</v>
      </c>
      <c r="H16" s="237">
        <v>152493.56688888915</v>
      </c>
      <c r="I16" s="237">
        <v>152493.56688888915</v>
      </c>
      <c r="J16" s="237">
        <v>152493.56688888915</v>
      </c>
      <c r="K16" s="237">
        <v>152493.56688888915</v>
      </c>
      <c r="L16" s="237">
        <v>152493.56688888915</v>
      </c>
      <c r="M16" s="524">
        <v>152493.56688888915</v>
      </c>
      <c r="N16" s="68">
        <f>'D2-FinPerf'!I15</f>
        <v>1829922.8026666699</v>
      </c>
      <c r="O16" s="66">
        <f>'D2-FinPerf'!J15</f>
        <v>1939718.17082667</v>
      </c>
      <c r="P16" s="67">
        <f>'D2-FinPerf'!K15</f>
        <v>2056101.2610762699</v>
      </c>
      <c r="Q16" s="714"/>
    </row>
    <row r="17" spans="1:17" x14ac:dyDescent="0.25">
      <c r="A17" s="235" t="s">
        <v>313</v>
      </c>
      <c r="B17" s="236">
        <v>0</v>
      </c>
      <c r="C17" s="237">
        <v>0</v>
      </c>
      <c r="D17" s="237">
        <v>0</v>
      </c>
      <c r="E17" s="237">
        <v>0</v>
      </c>
      <c r="F17" s="237">
        <v>0</v>
      </c>
      <c r="G17" s="525">
        <v>0</v>
      </c>
      <c r="H17" s="237">
        <v>0</v>
      </c>
      <c r="I17" s="237">
        <v>0</v>
      </c>
      <c r="J17" s="237">
        <v>0</v>
      </c>
      <c r="K17" s="237">
        <v>0</v>
      </c>
      <c r="L17" s="237">
        <v>0</v>
      </c>
      <c r="M17" s="524">
        <v>0</v>
      </c>
      <c r="N17" s="68">
        <f>'D2-FinPerf'!I16</f>
        <v>0</v>
      </c>
      <c r="O17" s="66">
        <f>'D2-FinPerf'!J16</f>
        <v>0</v>
      </c>
      <c r="P17" s="67">
        <f>'D2-FinPerf'!K16</f>
        <v>0</v>
      </c>
      <c r="Q17" s="714"/>
    </row>
    <row r="18" spans="1:17" x14ac:dyDescent="0.25">
      <c r="A18" s="235" t="s">
        <v>113</v>
      </c>
      <c r="B18" s="236">
        <v>0</v>
      </c>
      <c r="C18" s="237">
        <v>0</v>
      </c>
      <c r="D18" s="237">
        <v>0</v>
      </c>
      <c r="E18" s="237">
        <v>0</v>
      </c>
      <c r="F18" s="237">
        <v>0</v>
      </c>
      <c r="G18" s="525">
        <v>0</v>
      </c>
      <c r="H18" s="237">
        <v>0</v>
      </c>
      <c r="I18" s="237">
        <v>0</v>
      </c>
      <c r="J18" s="237">
        <v>0</v>
      </c>
      <c r="K18" s="237">
        <v>0</v>
      </c>
      <c r="L18" s="237">
        <v>0</v>
      </c>
      <c r="M18" s="524">
        <v>0</v>
      </c>
      <c r="N18" s="68">
        <f>'D2-FinPerf'!I17</f>
        <v>0</v>
      </c>
      <c r="O18" s="66">
        <f>'D2-FinPerf'!J17</f>
        <v>0</v>
      </c>
      <c r="P18" s="67">
        <f>'D2-FinPerf'!K17</f>
        <v>0</v>
      </c>
      <c r="Q18" s="714"/>
    </row>
    <row r="19" spans="1:17" x14ac:dyDescent="0.25">
      <c r="A19" s="235" t="s">
        <v>845</v>
      </c>
      <c r="B19" s="236">
        <v>0</v>
      </c>
      <c r="C19" s="237">
        <v>0</v>
      </c>
      <c r="D19" s="237">
        <v>8366507.5299916696</v>
      </c>
      <c r="E19" s="237"/>
      <c r="F19" s="237">
        <v>0</v>
      </c>
      <c r="G19" s="525">
        <v>8366507.5299916668</v>
      </c>
      <c r="H19" s="237">
        <v>0</v>
      </c>
      <c r="I19" s="237">
        <v>0</v>
      </c>
      <c r="J19" s="237">
        <v>8366507.5299916668</v>
      </c>
      <c r="K19" s="237">
        <v>0</v>
      </c>
      <c r="L19" s="237">
        <v>0</v>
      </c>
      <c r="M19" s="524">
        <v>8366507.5299916668</v>
      </c>
      <c r="N19" s="68">
        <f>'D2-FinPerf'!I38+'D2-FinPerf'!I39</f>
        <v>33466030.119966701</v>
      </c>
      <c r="O19" s="68">
        <f>'D2-FinPerf'!J38+'D2-FinPerf'!J39</f>
        <v>26141856.059147134</v>
      </c>
      <c r="P19" s="68">
        <f>'D2-FinPerf'!K38+'D2-FinPerf'!K39</f>
        <v>32086158.706283506</v>
      </c>
      <c r="Q19" s="714"/>
    </row>
    <row r="20" spans="1:17" x14ac:dyDescent="0.25">
      <c r="A20" s="235" t="s">
        <v>20</v>
      </c>
      <c r="B20" s="236">
        <v>901106.09857777506</v>
      </c>
      <c r="C20" s="237">
        <v>901106.09857777506</v>
      </c>
      <c r="D20" s="237">
        <v>901106.09857777506</v>
      </c>
      <c r="E20" s="237">
        <v>901106.09857777506</v>
      </c>
      <c r="F20" s="237">
        <v>901106.09857777506</v>
      </c>
      <c r="G20" s="525">
        <v>901106.09857777506</v>
      </c>
      <c r="H20" s="237">
        <v>901106.09857777506</v>
      </c>
      <c r="I20" s="237">
        <v>901106.09857777506</v>
      </c>
      <c r="J20" s="237">
        <v>901106.09857777506</v>
      </c>
      <c r="K20" s="237">
        <v>901106.09857777506</v>
      </c>
      <c r="L20" s="237">
        <v>901106.09857777506</v>
      </c>
      <c r="M20" s="524">
        <v>901106.09857777506</v>
      </c>
      <c r="N20" s="68">
        <f>'D2-FinPerf'!I19</f>
        <v>10813273.182933301</v>
      </c>
      <c r="O20" s="66">
        <f>'D2-FinPerf'!J19</f>
        <v>11462069.573909299</v>
      </c>
      <c r="P20" s="67">
        <f>'D2-FinPerf'!K19</f>
        <v>12149793.7483439</v>
      </c>
      <c r="Q20" s="714"/>
    </row>
    <row r="21" spans="1:17" x14ac:dyDescent="0.25">
      <c r="A21" s="239" t="s">
        <v>1160</v>
      </c>
      <c r="B21" s="236">
        <v>0</v>
      </c>
      <c r="C21" s="237">
        <v>0</v>
      </c>
      <c r="D21" s="237">
        <v>0</v>
      </c>
      <c r="E21" s="237">
        <v>0</v>
      </c>
      <c r="F21" s="237">
        <v>0</v>
      </c>
      <c r="G21" s="525">
        <v>0</v>
      </c>
      <c r="H21" s="237">
        <v>0</v>
      </c>
      <c r="I21" s="237">
        <v>0</v>
      </c>
      <c r="J21" s="237">
        <v>0</v>
      </c>
      <c r="K21" s="237">
        <v>0</v>
      </c>
      <c r="L21" s="237">
        <v>0</v>
      </c>
      <c r="M21" s="524">
        <v>0</v>
      </c>
      <c r="N21" s="68">
        <f>'D2-FinPerf'!I20</f>
        <v>0</v>
      </c>
      <c r="O21" s="66">
        <f>'D2-FinPerf'!J20</f>
        <v>0</v>
      </c>
      <c r="P21" s="67">
        <f>'D2-FinPerf'!K20</f>
        <v>0</v>
      </c>
      <c r="Q21" s="714"/>
    </row>
    <row r="22" spans="1:17" x14ac:dyDescent="0.25">
      <c r="A22" s="135" t="s">
        <v>493</v>
      </c>
      <c r="B22" s="76">
        <f>SUM(B6:B10)+SUM(B12:B21)</f>
        <v>359256366.34922403</v>
      </c>
      <c r="C22" s="74">
        <f t="shared" ref="C22:P22" si="1">SUM(C6:C10)+SUM(C12:C21)</f>
        <v>339037767.70151347</v>
      </c>
      <c r="D22" s="74">
        <f t="shared" si="1"/>
        <v>333492131.21830803</v>
      </c>
      <c r="E22" s="74">
        <f t="shared" si="1"/>
        <v>251429030.96493241</v>
      </c>
      <c r="F22" s="74">
        <f t="shared" si="1"/>
        <v>239110429.28009427</v>
      </c>
      <c r="G22" s="452">
        <f t="shared" si="1"/>
        <v>250264382.85451564</v>
      </c>
      <c r="H22" s="74">
        <f t="shared" si="1"/>
        <v>236164928.26475993</v>
      </c>
      <c r="I22" s="74">
        <f t="shared" si="1"/>
        <v>231329076.32210389</v>
      </c>
      <c r="J22" s="74">
        <f t="shared" si="1"/>
        <v>253373414.37268141</v>
      </c>
      <c r="K22" s="74">
        <f t="shared" si="1"/>
        <v>240015968.68635365</v>
      </c>
      <c r="L22" s="74">
        <f t="shared" si="1"/>
        <v>240122340.83783826</v>
      </c>
      <c r="M22" s="452">
        <f t="shared" si="1"/>
        <v>262691904.18684119</v>
      </c>
      <c r="N22" s="76">
        <f t="shared" si="1"/>
        <v>3236287741.0391665</v>
      </c>
      <c r="O22" s="74">
        <f t="shared" si="1"/>
        <v>3312195809.9834991</v>
      </c>
      <c r="P22" s="75">
        <f t="shared" si="1"/>
        <v>3468752179.175097</v>
      </c>
    </row>
    <row r="23" spans="1:17" x14ac:dyDescent="0.25">
      <c r="A23" s="79"/>
      <c r="B23" s="68"/>
      <c r="C23" s="66"/>
      <c r="D23" s="66"/>
      <c r="E23" s="66"/>
      <c r="F23" s="66"/>
      <c r="G23" s="524"/>
      <c r="H23" s="66"/>
      <c r="I23" s="66"/>
      <c r="J23" s="66"/>
      <c r="K23" s="66"/>
      <c r="L23" s="66"/>
      <c r="M23" s="524"/>
      <c r="N23" s="68"/>
      <c r="O23" s="66"/>
      <c r="P23" s="67"/>
    </row>
    <row r="24" spans="1:17" x14ac:dyDescent="0.25">
      <c r="A24" s="65" t="s">
        <v>1011</v>
      </c>
      <c r="B24" s="68"/>
      <c r="C24" s="66"/>
      <c r="D24" s="66"/>
      <c r="E24" s="66"/>
      <c r="F24" s="66"/>
      <c r="G24" s="524"/>
      <c r="H24" s="66"/>
      <c r="I24" s="66"/>
      <c r="J24" s="66"/>
      <c r="K24" s="66"/>
      <c r="L24" s="66"/>
      <c r="M24" s="524"/>
      <c r="N24" s="68"/>
      <c r="O24" s="66"/>
      <c r="P24" s="67"/>
    </row>
    <row r="25" spans="1:17" x14ac:dyDescent="0.25">
      <c r="A25" s="70" t="s">
        <v>314</v>
      </c>
      <c r="B25" s="236">
        <v>31641824.322586656</v>
      </c>
      <c r="C25" s="237">
        <v>31641824.322586656</v>
      </c>
      <c r="D25" s="237">
        <v>31641824.322586656</v>
      </c>
      <c r="E25" s="237">
        <v>31641824.322586656</v>
      </c>
      <c r="F25" s="237">
        <v>31641824.322586656</v>
      </c>
      <c r="G25" s="525">
        <v>31641824.322586656</v>
      </c>
      <c r="H25" s="237">
        <v>31641824.322586656</v>
      </c>
      <c r="I25" s="237">
        <v>31641824.322586656</v>
      </c>
      <c r="J25" s="237">
        <v>31641824.322586656</v>
      </c>
      <c r="K25" s="237">
        <v>31641824.322586656</v>
      </c>
      <c r="L25" s="237">
        <v>31641824.322586656</v>
      </c>
      <c r="M25" s="524">
        <v>31641824.322586656</v>
      </c>
      <c r="N25" s="68">
        <v>379701891.87103987</v>
      </c>
      <c r="O25" s="66">
        <v>390333544.84952366</v>
      </c>
      <c r="P25" s="67">
        <v>401262884.16850281</v>
      </c>
      <c r="Q25" s="714"/>
    </row>
    <row r="26" spans="1:17" x14ac:dyDescent="0.25">
      <c r="A26" s="70" t="s">
        <v>2</v>
      </c>
      <c r="B26" s="236">
        <v>81869.967555555559</v>
      </c>
      <c r="C26" s="237">
        <v>81869.967555555559</v>
      </c>
      <c r="D26" s="237">
        <v>81869.967555555559</v>
      </c>
      <c r="E26" s="237">
        <v>81869.967555555559</v>
      </c>
      <c r="F26" s="237">
        <v>81869.967555555559</v>
      </c>
      <c r="G26" s="525">
        <v>81869.967555555559</v>
      </c>
      <c r="H26" s="237">
        <v>81869.967555555559</v>
      </c>
      <c r="I26" s="237">
        <v>81869.967555555559</v>
      </c>
      <c r="J26" s="237">
        <v>81869.967555555559</v>
      </c>
      <c r="K26" s="237">
        <v>81869.967555555559</v>
      </c>
      <c r="L26" s="237">
        <v>81869.967555555559</v>
      </c>
      <c r="M26" s="524">
        <v>81869.967555555559</v>
      </c>
      <c r="N26" s="68">
        <v>982439.61066666665</v>
      </c>
      <c r="O26" s="66">
        <v>1023702.0743146666</v>
      </c>
      <c r="P26" s="67">
        <v>1068744.9655845119</v>
      </c>
      <c r="Q26" s="714"/>
    </row>
    <row r="27" spans="1:17" x14ac:dyDescent="0.25">
      <c r="A27" s="70" t="s">
        <v>135</v>
      </c>
      <c r="B27" s="236">
        <v>863191.57381533331</v>
      </c>
      <c r="C27" s="237">
        <v>863191.57381533331</v>
      </c>
      <c r="D27" s="237">
        <v>863191.57381533331</v>
      </c>
      <c r="E27" s="237">
        <v>863191.57381533331</v>
      </c>
      <c r="F27" s="237">
        <v>863191.57381533331</v>
      </c>
      <c r="G27" s="525">
        <v>863191.57381533331</v>
      </c>
      <c r="H27" s="237">
        <v>863191.57381533331</v>
      </c>
      <c r="I27" s="237">
        <v>863191.57381533331</v>
      </c>
      <c r="J27" s="237">
        <v>863191.57381533331</v>
      </c>
      <c r="K27" s="237">
        <v>863191.57381533331</v>
      </c>
      <c r="L27" s="237">
        <v>863191.57381533331</v>
      </c>
      <c r="M27" s="524">
        <v>863191.57381533331</v>
      </c>
      <c r="N27" s="68">
        <v>10358298.885784</v>
      </c>
      <c r="O27" s="66">
        <v>9065342.4451530743</v>
      </c>
      <c r="P27" s="67">
        <v>8561485.4560206402</v>
      </c>
      <c r="Q27" s="714"/>
    </row>
    <row r="28" spans="1:17" x14ac:dyDescent="0.25">
      <c r="A28" s="70" t="s">
        <v>178</v>
      </c>
      <c r="B28" s="236">
        <v>6121773.0581652625</v>
      </c>
      <c r="C28" s="237">
        <v>6121773.0581652625</v>
      </c>
      <c r="D28" s="237">
        <v>6121773.0581652625</v>
      </c>
      <c r="E28" s="237">
        <v>6121773.0581652625</v>
      </c>
      <c r="F28" s="237">
        <v>6121773.0581652625</v>
      </c>
      <c r="G28" s="525">
        <v>6121773.0581652625</v>
      </c>
      <c r="H28" s="237">
        <v>6121773.0581652625</v>
      </c>
      <c r="I28" s="237">
        <v>6121773.0581652625</v>
      </c>
      <c r="J28" s="237">
        <v>6121773.0581652625</v>
      </c>
      <c r="K28" s="237">
        <v>6121773.0581652625</v>
      </c>
      <c r="L28" s="237">
        <v>6121773.0581652625</v>
      </c>
      <c r="M28" s="524">
        <v>6121773.0581652625</v>
      </c>
      <c r="N28" s="68">
        <v>73461276.697983146</v>
      </c>
      <c r="O28" s="66">
        <v>77758441.373310089</v>
      </c>
      <c r="P28" s="67">
        <v>73833238.914461792</v>
      </c>
      <c r="Q28" s="714"/>
    </row>
    <row r="29" spans="1:17" x14ac:dyDescent="0.25">
      <c r="A29" s="70" t="s">
        <v>19</v>
      </c>
      <c r="B29" s="236">
        <v>4905.3371900000002</v>
      </c>
      <c r="C29" s="237">
        <v>4905.3371900000002</v>
      </c>
      <c r="D29" s="237">
        <v>4905.3371900000002</v>
      </c>
      <c r="E29" s="237">
        <v>4905.3371900000002</v>
      </c>
      <c r="F29" s="237">
        <v>4905.3371900000002</v>
      </c>
      <c r="G29" s="525">
        <v>4905.3371900000002</v>
      </c>
      <c r="H29" s="237">
        <v>4905.3371900000002</v>
      </c>
      <c r="I29" s="237">
        <v>4905.3371900000002</v>
      </c>
      <c r="J29" s="237">
        <v>4905.3371900000002</v>
      </c>
      <c r="K29" s="237">
        <v>4905.3371900000002</v>
      </c>
      <c r="L29" s="237">
        <v>4905.3371900000002</v>
      </c>
      <c r="M29" s="524">
        <v>4905.3371900000002</v>
      </c>
      <c r="N29" s="68">
        <v>58864.046280000002</v>
      </c>
      <c r="O29" s="66">
        <v>61336.336223760001</v>
      </c>
      <c r="P29" s="67">
        <v>64035.13501760544</v>
      </c>
      <c r="Q29" s="714"/>
    </row>
    <row r="30" spans="1:17" x14ac:dyDescent="0.25">
      <c r="A30" s="241" t="s">
        <v>1165</v>
      </c>
      <c r="B30" s="236">
        <v>166846078.83333334</v>
      </c>
      <c r="C30" s="237">
        <v>166846078.83333334</v>
      </c>
      <c r="D30" s="237">
        <v>166846078.83333334</v>
      </c>
      <c r="E30" s="237">
        <v>166846078.83333334</v>
      </c>
      <c r="F30" s="237">
        <v>166846078.83333334</v>
      </c>
      <c r="G30" s="525">
        <v>166846078.83333334</v>
      </c>
      <c r="H30" s="237">
        <v>166846078.83333334</v>
      </c>
      <c r="I30" s="237">
        <v>166846078.83333334</v>
      </c>
      <c r="J30" s="237">
        <v>166846078.83333334</v>
      </c>
      <c r="K30" s="237">
        <v>166846078.83333334</v>
      </c>
      <c r="L30" s="237">
        <v>166846078.83333334</v>
      </c>
      <c r="M30" s="524">
        <v>166846078.83333334</v>
      </c>
      <c r="N30" s="68">
        <v>2002152946</v>
      </c>
      <c r="O30" s="66">
        <v>2115278758</v>
      </c>
      <c r="P30" s="67">
        <v>2265103341</v>
      </c>
      <c r="Q30" s="714"/>
    </row>
    <row r="31" spans="1:17" x14ac:dyDescent="0.25">
      <c r="A31" s="241" t="s">
        <v>1166</v>
      </c>
      <c r="B31" s="236">
        <v>3119165.8601488918</v>
      </c>
      <c r="C31" s="237">
        <v>3119165.8601488918</v>
      </c>
      <c r="D31" s="237">
        <v>3119165.8601488918</v>
      </c>
      <c r="E31" s="237">
        <v>3119165.8601488918</v>
      </c>
      <c r="F31" s="237">
        <v>3119165.8601488918</v>
      </c>
      <c r="G31" s="525">
        <v>3119165.8601488918</v>
      </c>
      <c r="H31" s="237">
        <v>3119165.8601488918</v>
      </c>
      <c r="I31" s="237">
        <v>3119165.8601488918</v>
      </c>
      <c r="J31" s="237">
        <v>3119165.8601488918</v>
      </c>
      <c r="K31" s="237">
        <v>3119165.8601488918</v>
      </c>
      <c r="L31" s="237">
        <v>3119165.8601488918</v>
      </c>
      <c r="M31" s="524">
        <v>3119165.8601488918</v>
      </c>
      <c r="N31" s="68">
        <v>37429990.321786702</v>
      </c>
      <c r="O31" s="66">
        <v>39002049.915301695</v>
      </c>
      <c r="P31" s="67">
        <v>40218140.111574993</v>
      </c>
      <c r="Q31" s="714"/>
    </row>
    <row r="32" spans="1:17" x14ac:dyDescent="0.25">
      <c r="A32" s="70" t="s">
        <v>315</v>
      </c>
      <c r="B32" s="236">
        <v>10311422.199443335</v>
      </c>
      <c r="C32" s="237">
        <v>10311422.199443335</v>
      </c>
      <c r="D32" s="237">
        <v>10311422.199443335</v>
      </c>
      <c r="E32" s="237">
        <v>10311422.199443335</v>
      </c>
      <c r="F32" s="237">
        <v>10311422.199443335</v>
      </c>
      <c r="G32" s="525">
        <v>10311422.199443335</v>
      </c>
      <c r="H32" s="237">
        <v>10311422.199443335</v>
      </c>
      <c r="I32" s="237">
        <v>10311422.199443335</v>
      </c>
      <c r="J32" s="237">
        <v>10311422.199443335</v>
      </c>
      <c r="K32" s="237">
        <v>10311422.199443335</v>
      </c>
      <c r="L32" s="237">
        <v>10311422.199443335</v>
      </c>
      <c r="M32" s="524">
        <v>10311422.199443335</v>
      </c>
      <c r="N32" s="68">
        <v>123737066.39332002</v>
      </c>
      <c r="O32" s="66">
        <v>128934022.17437945</v>
      </c>
      <c r="P32" s="67">
        <v>130747120.33705214</v>
      </c>
      <c r="Q32" s="714"/>
    </row>
    <row r="33" spans="1:17" x14ac:dyDescent="0.25">
      <c r="A33" s="235" t="s">
        <v>845</v>
      </c>
      <c r="B33" s="236">
        <v>9999999.9997222219</v>
      </c>
      <c r="C33" s="237">
        <v>9999999.9997222219</v>
      </c>
      <c r="D33" s="237">
        <v>9999999.9997222219</v>
      </c>
      <c r="E33" s="237">
        <v>9999999.9997222219</v>
      </c>
      <c r="F33" s="237">
        <v>9999999.9997222219</v>
      </c>
      <c r="G33" s="525">
        <v>9999999.9997222219</v>
      </c>
      <c r="H33" s="237">
        <v>9999999.9997222219</v>
      </c>
      <c r="I33" s="237">
        <v>9999999.9997222219</v>
      </c>
      <c r="J33" s="237">
        <v>9999999.9997222219</v>
      </c>
      <c r="K33" s="237">
        <v>9999999.9997222219</v>
      </c>
      <c r="L33" s="237">
        <v>9999999.9997222219</v>
      </c>
      <c r="M33" s="524">
        <v>9999999.9997222219</v>
      </c>
      <c r="N33" s="68">
        <v>119999999.99666667</v>
      </c>
      <c r="O33" s="66">
        <v>119999999.99666667</v>
      </c>
      <c r="P33" s="67">
        <v>119999999.99520001</v>
      </c>
      <c r="Q33" s="714"/>
    </row>
    <row r="34" spans="1:17" x14ac:dyDescent="0.25">
      <c r="A34" s="70" t="s">
        <v>6</v>
      </c>
      <c r="B34" s="236">
        <v>6367316.9120488912</v>
      </c>
      <c r="C34" s="237">
        <v>6367316.9120488912</v>
      </c>
      <c r="D34" s="237">
        <v>6367316.9120488912</v>
      </c>
      <c r="E34" s="237">
        <v>6367316.9120488912</v>
      </c>
      <c r="F34" s="237">
        <v>6367316.9120488912</v>
      </c>
      <c r="G34" s="525">
        <v>6367316.9120488912</v>
      </c>
      <c r="H34" s="237">
        <v>6367316.9120488912</v>
      </c>
      <c r="I34" s="237">
        <v>6367316.9120488912</v>
      </c>
      <c r="J34" s="237">
        <v>6367316.9120488912</v>
      </c>
      <c r="K34" s="237">
        <v>6367316.9120488912</v>
      </c>
      <c r="L34" s="237">
        <v>6367316.9120488912</v>
      </c>
      <c r="M34" s="524">
        <v>6367316.9120488912</v>
      </c>
      <c r="N34" s="68">
        <v>76407802.944586694</v>
      </c>
      <c r="O34" s="66">
        <v>79910930.668259293</v>
      </c>
      <c r="P34" s="67">
        <v>81085011.617662728</v>
      </c>
      <c r="Q34" s="714"/>
    </row>
    <row r="35" spans="1:17" x14ac:dyDescent="0.25">
      <c r="A35" s="241" t="s">
        <v>1159</v>
      </c>
      <c r="B35" s="236">
        <v>9586.8714711111097</v>
      </c>
      <c r="C35" s="237">
        <v>9586.8714711111097</v>
      </c>
      <c r="D35" s="237">
        <v>9586.8714711111097</v>
      </c>
      <c r="E35" s="237">
        <v>9586.8714711111097</v>
      </c>
      <c r="F35" s="237">
        <v>9586.8714711111097</v>
      </c>
      <c r="G35" s="525">
        <v>9586.8714711111097</v>
      </c>
      <c r="H35" s="237">
        <v>9586.8714711111097</v>
      </c>
      <c r="I35" s="237">
        <v>9586.8714711111097</v>
      </c>
      <c r="J35" s="237">
        <v>9586.8714711111097</v>
      </c>
      <c r="K35" s="237">
        <v>9586.8714711111097</v>
      </c>
      <c r="L35" s="237">
        <v>9586.8714711111097</v>
      </c>
      <c r="M35" s="524">
        <v>9586.8714711111097</v>
      </c>
      <c r="N35" s="68">
        <v>115042.45765333332</v>
      </c>
      <c r="O35" s="66">
        <v>119874.24087477331</v>
      </c>
      <c r="P35" s="67">
        <v>125148.70747326333</v>
      </c>
      <c r="Q35" s="714"/>
    </row>
    <row r="36" spans="1:17" x14ac:dyDescent="0.25">
      <c r="A36" s="135" t="s">
        <v>47</v>
      </c>
      <c r="B36" s="76">
        <f t="shared" ref="B36:P36" si="2">SUM(B25:B35)</f>
        <v>235367134.93548059</v>
      </c>
      <c r="C36" s="74">
        <f t="shared" si="2"/>
        <v>235367134.93548059</v>
      </c>
      <c r="D36" s="74">
        <f t="shared" si="2"/>
        <v>235367134.93548059</v>
      </c>
      <c r="E36" s="74">
        <f t="shared" si="2"/>
        <v>235367134.93548059</v>
      </c>
      <c r="F36" s="74">
        <f t="shared" si="2"/>
        <v>235367134.93548059</v>
      </c>
      <c r="G36" s="452">
        <f t="shared" si="2"/>
        <v>235367134.93548059</v>
      </c>
      <c r="H36" s="74">
        <f t="shared" si="2"/>
        <v>235367134.93548059</v>
      </c>
      <c r="I36" s="74">
        <f t="shared" si="2"/>
        <v>235367134.93548059</v>
      </c>
      <c r="J36" s="74">
        <f t="shared" si="2"/>
        <v>235367134.93548059</v>
      </c>
      <c r="K36" s="74">
        <f t="shared" si="2"/>
        <v>235367134.93548059</v>
      </c>
      <c r="L36" s="74">
        <f t="shared" si="2"/>
        <v>235367134.93548059</v>
      </c>
      <c r="M36" s="452">
        <f t="shared" si="2"/>
        <v>235367134.93548059</v>
      </c>
      <c r="N36" s="76">
        <f t="shared" si="2"/>
        <v>2824405619.2257676</v>
      </c>
      <c r="O36" s="74">
        <f t="shared" si="2"/>
        <v>2961488002.074007</v>
      </c>
      <c r="P36" s="75">
        <f t="shared" si="2"/>
        <v>3122069150.4085512</v>
      </c>
    </row>
    <row r="38" spans="1:17" x14ac:dyDescent="0.25">
      <c r="A38" s="65" t="s">
        <v>821</v>
      </c>
    </row>
    <row r="39" spans="1:17" ht="6" customHeight="1" x14ac:dyDescent="0.25">
      <c r="A39" s="65"/>
    </row>
    <row r="40" spans="1:17" x14ac:dyDescent="0.25">
      <c r="A40" s="256" t="s">
        <v>159</v>
      </c>
      <c r="B40" s="301">
        <f>B41+B46+B50+B60+B71+B78+B86+B96+B102</f>
        <v>13137429.73072389</v>
      </c>
      <c r="C40" s="301">
        <f t="shared" ref="C40" si="3">C41+C46+C50+C60+C71+C78+C86+C96+C102</f>
        <v>13137429.73072389</v>
      </c>
      <c r="D40" s="301">
        <f>D41+D46+D50+D60+D71+D78+D86+D96+D102</f>
        <v>13137429.73072389</v>
      </c>
      <c r="E40" s="301">
        <f t="shared" ref="E40" si="4">E41+E46+E50+E60+E71+E78+E86+E96+E102</f>
        <v>13137429.73072389</v>
      </c>
      <c r="F40" s="301">
        <f>F41+F46+F50+F60+F71+F78+F86+F96+F102</f>
        <v>13137429.73072389</v>
      </c>
      <c r="G40" s="301">
        <f t="shared" ref="G40" si="5">G41+G46+G50+G60+G71+G78+G86+G96+G102</f>
        <v>13137429.73072389</v>
      </c>
      <c r="H40" s="301">
        <f>H41+H46+H50+H60+H71+H78+H86+H96+H102</f>
        <v>13137429.73072389</v>
      </c>
      <c r="I40" s="301">
        <f t="shared" ref="I40" si="6">I41+I46+I50+I60+I71+I78+I86+I96+I102</f>
        <v>13137429.73072389</v>
      </c>
      <c r="J40" s="301">
        <f>J41+J46+J50+J60+J71+J78+J86+J96+J102</f>
        <v>13137429.73072389</v>
      </c>
      <c r="K40" s="301">
        <f t="shared" ref="K40:L40" si="7">K41+K46+K50+K60+K71+K78+K86+K96+K102</f>
        <v>13137429.73072389</v>
      </c>
      <c r="L40" s="301">
        <f t="shared" si="7"/>
        <v>13137429.73072389</v>
      </c>
      <c r="M40" s="526">
        <f>N40-SUM(B40:L40)</f>
        <v>13137429.730723888</v>
      </c>
      <c r="N40" s="527">
        <f>'D3-Capex'!I6</f>
        <v>157649156.76868668</v>
      </c>
      <c r="O40" s="528">
        <f>'D3-Capex'!J6</f>
        <v>112394577.50465338</v>
      </c>
      <c r="P40" s="529">
        <f>'D3-Capex'!K6</f>
        <v>94715514.640592009</v>
      </c>
    </row>
    <row r="41" spans="1:17" x14ac:dyDescent="0.25">
      <c r="A41" s="235" t="s">
        <v>849</v>
      </c>
      <c r="B41" s="150">
        <f t="shared" ref="B41:K41" si="8">SUM(B42:B45)</f>
        <v>0</v>
      </c>
      <c r="C41" s="150">
        <f t="shared" si="8"/>
        <v>0</v>
      </c>
      <c r="D41" s="150">
        <f t="shared" si="8"/>
        <v>0</v>
      </c>
      <c r="E41" s="150">
        <f t="shared" si="8"/>
        <v>0</v>
      </c>
      <c r="F41" s="150">
        <f t="shared" si="8"/>
        <v>0</v>
      </c>
      <c r="G41" s="150">
        <f t="shared" si="8"/>
        <v>0</v>
      </c>
      <c r="H41" s="150">
        <f t="shared" si="8"/>
        <v>0</v>
      </c>
      <c r="I41" s="150">
        <f t="shared" si="8"/>
        <v>0</v>
      </c>
      <c r="J41" s="150">
        <f t="shared" si="8"/>
        <v>0</v>
      </c>
      <c r="K41" s="150">
        <f t="shared" si="8"/>
        <v>0</v>
      </c>
      <c r="L41" s="150">
        <f t="shared" ref="L41" si="9">SUM(L42:L45)</f>
        <v>0</v>
      </c>
      <c r="M41" s="530">
        <f t="shared" ref="M41:M104" si="10">N41-SUM(B41:L41)</f>
        <v>0</v>
      </c>
      <c r="N41" s="68">
        <f>'D3-Capex'!I7</f>
        <v>0</v>
      </c>
      <c r="O41" s="66">
        <f>'D3-Capex'!J7</f>
        <v>0</v>
      </c>
      <c r="P41" s="67">
        <f>'D3-Capex'!K7</f>
        <v>0</v>
      </c>
    </row>
    <row r="42" spans="1:17" x14ac:dyDescent="0.25">
      <c r="A42" s="263" t="s">
        <v>504</v>
      </c>
      <c r="B42" s="295"/>
      <c r="C42" s="295"/>
      <c r="D42" s="295"/>
      <c r="E42" s="295"/>
      <c r="F42" s="295"/>
      <c r="G42" s="295"/>
      <c r="H42" s="295"/>
      <c r="I42" s="295"/>
      <c r="J42" s="295"/>
      <c r="K42" s="295"/>
      <c r="L42" s="295"/>
      <c r="M42" s="530">
        <f t="shared" si="10"/>
        <v>0</v>
      </c>
      <c r="N42" s="68">
        <f>'D3-Capex'!I8</f>
        <v>0</v>
      </c>
      <c r="O42" s="66">
        <f>'D3-Capex'!J8</f>
        <v>0</v>
      </c>
      <c r="P42" s="67">
        <f>'D3-Capex'!K8</f>
        <v>0</v>
      </c>
    </row>
    <row r="43" spans="1:17" x14ac:dyDescent="0.25">
      <c r="A43" s="263" t="s">
        <v>850</v>
      </c>
      <c r="B43" s="295"/>
      <c r="C43" s="295"/>
      <c r="D43" s="295"/>
      <c r="E43" s="295"/>
      <c r="F43" s="295"/>
      <c r="G43" s="295"/>
      <c r="H43" s="295"/>
      <c r="I43" s="295"/>
      <c r="J43" s="295"/>
      <c r="K43" s="295"/>
      <c r="L43" s="295"/>
      <c r="M43" s="530">
        <f t="shared" si="10"/>
        <v>0</v>
      </c>
      <c r="N43" s="68">
        <f>'D3-Capex'!I9</f>
        <v>0</v>
      </c>
      <c r="O43" s="66">
        <f>'D3-Capex'!J9</f>
        <v>0</v>
      </c>
      <c r="P43" s="67">
        <f>'D3-Capex'!K9</f>
        <v>0</v>
      </c>
    </row>
    <row r="44" spans="1:17" x14ac:dyDescent="0.25">
      <c r="A44" s="263" t="s">
        <v>851</v>
      </c>
      <c r="B44" s="295"/>
      <c r="C44" s="295"/>
      <c r="D44" s="295"/>
      <c r="E44" s="295"/>
      <c r="F44" s="295"/>
      <c r="G44" s="295"/>
      <c r="H44" s="295"/>
      <c r="I44" s="295"/>
      <c r="J44" s="295"/>
      <c r="K44" s="295"/>
      <c r="L44" s="295"/>
      <c r="M44" s="530">
        <f t="shared" si="10"/>
        <v>0</v>
      </c>
      <c r="N44" s="68">
        <f>'D3-Capex'!I10</f>
        <v>0</v>
      </c>
      <c r="O44" s="66">
        <f>'D3-Capex'!J10</f>
        <v>0</v>
      </c>
      <c r="P44" s="67">
        <f>'D3-Capex'!K10</f>
        <v>0</v>
      </c>
    </row>
    <row r="45" spans="1:17" x14ac:dyDescent="0.25">
      <c r="A45" s="263" t="s">
        <v>852</v>
      </c>
      <c r="B45" s="295"/>
      <c r="C45" s="295"/>
      <c r="D45" s="295"/>
      <c r="E45" s="295"/>
      <c r="F45" s="295"/>
      <c r="G45" s="295"/>
      <c r="H45" s="295"/>
      <c r="I45" s="295"/>
      <c r="J45" s="295"/>
      <c r="K45" s="295"/>
      <c r="L45" s="295"/>
      <c r="M45" s="530">
        <f t="shared" si="10"/>
        <v>0</v>
      </c>
      <c r="N45" s="68">
        <f>'D3-Capex'!I11</f>
        <v>0</v>
      </c>
      <c r="O45" s="66">
        <f>'D3-Capex'!J11</f>
        <v>0</v>
      </c>
      <c r="P45" s="67">
        <f>'D3-Capex'!K11</f>
        <v>0</v>
      </c>
    </row>
    <row r="46" spans="1:17" x14ac:dyDescent="0.25">
      <c r="A46" s="235" t="s">
        <v>853</v>
      </c>
      <c r="B46" s="155">
        <f>SUM(B47:B49)</f>
        <v>0</v>
      </c>
      <c r="C46" s="155">
        <f t="shared" ref="C46" si="11">SUM(C47:C49)</f>
        <v>0</v>
      </c>
      <c r="D46" s="155">
        <f>SUM(D47:D49)</f>
        <v>0</v>
      </c>
      <c r="E46" s="155">
        <f t="shared" ref="E46" si="12">SUM(E47:E49)</f>
        <v>0</v>
      </c>
      <c r="F46" s="155">
        <f>SUM(F47:F49)</f>
        <v>0</v>
      </c>
      <c r="G46" s="155">
        <f t="shared" ref="G46" si="13">SUM(G47:G49)</f>
        <v>0</v>
      </c>
      <c r="H46" s="155">
        <f>SUM(H47:H49)</f>
        <v>0</v>
      </c>
      <c r="I46" s="155">
        <f t="shared" ref="I46" si="14">SUM(I47:I49)</f>
        <v>0</v>
      </c>
      <c r="J46" s="155">
        <f>SUM(J47:J49)</f>
        <v>0</v>
      </c>
      <c r="K46" s="155">
        <f t="shared" ref="K46:L46" si="15">SUM(K47:K49)</f>
        <v>0</v>
      </c>
      <c r="L46" s="155">
        <f t="shared" si="15"/>
        <v>0</v>
      </c>
      <c r="M46" s="530">
        <f t="shared" si="10"/>
        <v>0</v>
      </c>
      <c r="N46" s="68">
        <f>'D3-Capex'!I12</f>
        <v>0</v>
      </c>
      <c r="O46" s="66">
        <f>'D3-Capex'!J12</f>
        <v>0</v>
      </c>
      <c r="P46" s="67">
        <f>'D3-Capex'!K12</f>
        <v>0</v>
      </c>
    </row>
    <row r="47" spans="1:17" x14ac:dyDescent="0.25">
      <c r="A47" s="263" t="s">
        <v>854</v>
      </c>
      <c r="B47" s="295"/>
      <c r="C47" s="295"/>
      <c r="D47" s="295"/>
      <c r="E47" s="295"/>
      <c r="F47" s="295"/>
      <c r="G47" s="295"/>
      <c r="H47" s="295"/>
      <c r="I47" s="295"/>
      <c r="J47" s="295"/>
      <c r="K47" s="295"/>
      <c r="L47" s="295"/>
      <c r="M47" s="530">
        <f t="shared" si="10"/>
        <v>0</v>
      </c>
      <c r="N47" s="68">
        <f>'D3-Capex'!I13</f>
        <v>0</v>
      </c>
      <c r="O47" s="66">
        <f>'D3-Capex'!J13</f>
        <v>0</v>
      </c>
      <c r="P47" s="67">
        <f>'D3-Capex'!K13</f>
        <v>0</v>
      </c>
    </row>
    <row r="48" spans="1:17" x14ac:dyDescent="0.25">
      <c r="A48" s="263" t="s">
        <v>855</v>
      </c>
      <c r="B48" s="295"/>
      <c r="C48" s="295"/>
      <c r="D48" s="295"/>
      <c r="E48" s="295"/>
      <c r="F48" s="295"/>
      <c r="G48" s="295"/>
      <c r="H48" s="295"/>
      <c r="I48" s="295"/>
      <c r="J48" s="295"/>
      <c r="K48" s="295"/>
      <c r="L48" s="295"/>
      <c r="M48" s="530">
        <f t="shared" si="10"/>
        <v>0</v>
      </c>
      <c r="N48" s="68">
        <f>'D3-Capex'!I14</f>
        <v>0</v>
      </c>
      <c r="O48" s="66">
        <f>'D3-Capex'!J14</f>
        <v>0</v>
      </c>
      <c r="P48" s="67">
        <f>'D3-Capex'!K14</f>
        <v>0</v>
      </c>
    </row>
    <row r="49" spans="1:17" x14ac:dyDescent="0.25">
      <c r="A49" s="263" t="s">
        <v>856</v>
      </c>
      <c r="B49" s="295"/>
      <c r="C49" s="295"/>
      <c r="D49" s="295"/>
      <c r="E49" s="295"/>
      <c r="F49" s="295"/>
      <c r="G49" s="295"/>
      <c r="H49" s="295"/>
      <c r="I49" s="295"/>
      <c r="J49" s="295"/>
      <c r="K49" s="295"/>
      <c r="L49" s="295"/>
      <c r="M49" s="530">
        <f t="shared" si="10"/>
        <v>0</v>
      </c>
      <c r="N49" s="68">
        <f>'D3-Capex'!I15</f>
        <v>0</v>
      </c>
      <c r="O49" s="66">
        <f>'D3-Capex'!J15</f>
        <v>0</v>
      </c>
      <c r="P49" s="67">
        <f>'D3-Capex'!K15</f>
        <v>0</v>
      </c>
    </row>
    <row r="50" spans="1:17" x14ac:dyDescent="0.25">
      <c r="A50" s="235" t="s">
        <v>857</v>
      </c>
      <c r="B50" s="155">
        <f t="shared" ref="B50:K50" si="16">SUM(B51:B59)</f>
        <v>13137429.73072389</v>
      </c>
      <c r="C50" s="155">
        <f t="shared" si="16"/>
        <v>13137429.73072389</v>
      </c>
      <c r="D50" s="155">
        <f t="shared" si="16"/>
        <v>13137429.73072389</v>
      </c>
      <c r="E50" s="155">
        <f t="shared" si="16"/>
        <v>13137429.73072389</v>
      </c>
      <c r="F50" s="155">
        <f t="shared" si="16"/>
        <v>13137429.73072389</v>
      </c>
      <c r="G50" s="155">
        <f t="shared" si="16"/>
        <v>13137429.73072389</v>
      </c>
      <c r="H50" s="155">
        <f t="shared" si="16"/>
        <v>13137429.73072389</v>
      </c>
      <c r="I50" s="155">
        <f t="shared" si="16"/>
        <v>13137429.73072389</v>
      </c>
      <c r="J50" s="155">
        <f t="shared" si="16"/>
        <v>13137429.73072389</v>
      </c>
      <c r="K50" s="155">
        <f t="shared" si="16"/>
        <v>13137429.73072389</v>
      </c>
      <c r="L50" s="155">
        <f t="shared" ref="L50" si="17">SUM(L51:L59)</f>
        <v>13137429.73072389</v>
      </c>
      <c r="M50" s="530">
        <f t="shared" si="10"/>
        <v>13137429.730723888</v>
      </c>
      <c r="N50" s="68">
        <f>'D3-Capex'!I16</f>
        <v>157649156.76868668</v>
      </c>
      <c r="O50" s="66">
        <f>'D3-Capex'!J16</f>
        <v>112394577.50465338</v>
      </c>
      <c r="P50" s="67">
        <f>'D3-Capex'!K16</f>
        <v>94715514.640592009</v>
      </c>
    </row>
    <row r="51" spans="1:17" x14ac:dyDescent="0.25">
      <c r="A51" s="263" t="s">
        <v>858</v>
      </c>
      <c r="B51" s="295">
        <v>226570.84253000002</v>
      </c>
      <c r="C51" s="295">
        <v>226570.84253000002</v>
      </c>
      <c r="D51" s="295">
        <v>226570.84253000002</v>
      </c>
      <c r="E51" s="295">
        <v>226570.84253000002</v>
      </c>
      <c r="F51" s="295">
        <v>226570.84253000002</v>
      </c>
      <c r="G51" s="295">
        <v>226570.84253000002</v>
      </c>
      <c r="H51" s="295">
        <v>226570.84253000002</v>
      </c>
      <c r="I51" s="295">
        <v>226570.84253000002</v>
      </c>
      <c r="J51" s="295">
        <v>226570.84253000002</v>
      </c>
      <c r="K51" s="295">
        <v>226570.84253000002</v>
      </c>
      <c r="L51" s="295">
        <v>226570.84253000002</v>
      </c>
      <c r="M51" s="530">
        <v>226570.84253000002</v>
      </c>
      <c r="N51" s="68">
        <f>'D3-Capex'!I17</f>
        <v>2718850.1103600003</v>
      </c>
      <c r="O51" s="66">
        <f>'D3-Capex'!J17</f>
        <v>2770041.8149951203</v>
      </c>
      <c r="P51" s="67">
        <f>'D3-Capex'!K17</f>
        <v>2825923.6548549053</v>
      </c>
      <c r="Q51" s="714"/>
    </row>
    <row r="52" spans="1:17" x14ac:dyDescent="0.25">
      <c r="A52" s="263" t="s">
        <v>859</v>
      </c>
      <c r="B52" s="295">
        <v>266003.39083888888</v>
      </c>
      <c r="C52" s="295">
        <v>266003.39083888888</v>
      </c>
      <c r="D52" s="295">
        <v>266003.39083888888</v>
      </c>
      <c r="E52" s="295">
        <v>266003.39083888888</v>
      </c>
      <c r="F52" s="295">
        <v>266003.39083888888</v>
      </c>
      <c r="G52" s="295">
        <v>266003.39083888888</v>
      </c>
      <c r="H52" s="295">
        <v>266003.39083888888</v>
      </c>
      <c r="I52" s="295">
        <v>266003.39083888888</v>
      </c>
      <c r="J52" s="295">
        <v>266003.39083888888</v>
      </c>
      <c r="K52" s="295">
        <v>266003.39083888888</v>
      </c>
      <c r="L52" s="295">
        <v>266003.39083888888</v>
      </c>
      <c r="M52" s="530">
        <v>266003.39083888888</v>
      </c>
      <c r="N52" s="68">
        <f>'D3-Capex'!I18</f>
        <v>3192040.6900666663</v>
      </c>
      <c r="O52" s="66">
        <f>'D3-Capex'!J18</f>
        <v>3355706.3990494665</v>
      </c>
      <c r="P52" s="67">
        <f>'D3-Capex'!K18</f>
        <v>3458237.4806076433</v>
      </c>
      <c r="Q52" s="714"/>
    </row>
    <row r="53" spans="1:17" x14ac:dyDescent="0.25">
      <c r="A53" s="263" t="s">
        <v>860</v>
      </c>
      <c r="B53" s="295"/>
      <c r="C53" s="295"/>
      <c r="D53" s="295"/>
      <c r="E53" s="295"/>
      <c r="F53" s="295"/>
      <c r="G53" s="295"/>
      <c r="H53" s="295"/>
      <c r="I53" s="295"/>
      <c r="J53" s="295"/>
      <c r="K53" s="295"/>
      <c r="L53" s="295"/>
      <c r="M53" s="530">
        <f t="shared" si="10"/>
        <v>0</v>
      </c>
      <c r="N53" s="68">
        <f>'D3-Capex'!I19</f>
        <v>0</v>
      </c>
      <c r="O53" s="66">
        <f>'D3-Capex'!J19</f>
        <v>0</v>
      </c>
      <c r="P53" s="67">
        <f>'D3-Capex'!K19</f>
        <v>0</v>
      </c>
      <c r="Q53" s="714"/>
    </row>
    <row r="54" spans="1:17" x14ac:dyDescent="0.25">
      <c r="A54" s="263" t="s">
        <v>861</v>
      </c>
      <c r="B54" s="295"/>
      <c r="C54" s="295"/>
      <c r="D54" s="295"/>
      <c r="E54" s="295"/>
      <c r="F54" s="295"/>
      <c r="G54" s="295"/>
      <c r="H54" s="295"/>
      <c r="I54" s="295"/>
      <c r="J54" s="295"/>
      <c r="K54" s="295"/>
      <c r="L54" s="295"/>
      <c r="M54" s="530">
        <f t="shared" si="10"/>
        <v>0</v>
      </c>
      <c r="N54" s="68">
        <f>'D3-Capex'!I20</f>
        <v>0</v>
      </c>
      <c r="O54" s="66">
        <f>'D3-Capex'!J20</f>
        <v>0</v>
      </c>
      <c r="P54" s="67">
        <f>'D3-Capex'!K20</f>
        <v>0</v>
      </c>
      <c r="Q54" s="714"/>
    </row>
    <row r="55" spans="1:17" x14ac:dyDescent="0.25">
      <c r="A55" s="263" t="s">
        <v>862</v>
      </c>
      <c r="B55" s="295"/>
      <c r="C55" s="295"/>
      <c r="D55" s="295"/>
      <c r="E55" s="295"/>
      <c r="F55" s="295"/>
      <c r="G55" s="295"/>
      <c r="H55" s="295"/>
      <c r="I55" s="295"/>
      <c r="J55" s="295"/>
      <c r="K55" s="295"/>
      <c r="L55" s="295"/>
      <c r="M55" s="530">
        <f t="shared" si="10"/>
        <v>0</v>
      </c>
      <c r="N55" s="68">
        <f>'D3-Capex'!I21</f>
        <v>0</v>
      </c>
      <c r="O55" s="66">
        <f>'D3-Capex'!J21</f>
        <v>0</v>
      </c>
      <c r="P55" s="67">
        <f>'D3-Capex'!K21</f>
        <v>0</v>
      </c>
      <c r="Q55" s="714"/>
    </row>
    <row r="56" spans="1:17" x14ac:dyDescent="0.25">
      <c r="A56" s="263" t="s">
        <v>863</v>
      </c>
      <c r="B56" s="295"/>
      <c r="C56" s="295"/>
      <c r="D56" s="295"/>
      <c r="E56" s="295"/>
      <c r="F56" s="295"/>
      <c r="G56" s="295"/>
      <c r="H56" s="295"/>
      <c r="I56" s="295"/>
      <c r="J56" s="295"/>
      <c r="K56" s="295"/>
      <c r="L56" s="295"/>
      <c r="M56" s="530">
        <f t="shared" si="10"/>
        <v>0</v>
      </c>
      <c r="N56" s="68">
        <f>'D3-Capex'!I22</f>
        <v>0</v>
      </c>
      <c r="O56" s="66">
        <f>'D3-Capex'!J22</f>
        <v>0</v>
      </c>
      <c r="P56" s="67">
        <f>'D3-Capex'!K22</f>
        <v>0</v>
      </c>
      <c r="Q56" s="714"/>
    </row>
    <row r="57" spans="1:17" x14ac:dyDescent="0.25">
      <c r="A57" s="263" t="s">
        <v>864</v>
      </c>
      <c r="B57" s="295">
        <v>3563205.8308322225</v>
      </c>
      <c r="C57" s="295">
        <v>3563205.8308322225</v>
      </c>
      <c r="D57" s="295">
        <v>3563205.8308322225</v>
      </c>
      <c r="E57" s="295">
        <v>3563205.8308322225</v>
      </c>
      <c r="F57" s="295">
        <v>3563205.8308322225</v>
      </c>
      <c r="G57" s="295">
        <v>3563205.8308322225</v>
      </c>
      <c r="H57" s="295">
        <v>3563205.8308322225</v>
      </c>
      <c r="I57" s="295">
        <v>3563205.8308322225</v>
      </c>
      <c r="J57" s="295">
        <v>3563205.8308322225</v>
      </c>
      <c r="K57" s="295">
        <v>3563205.8308322225</v>
      </c>
      <c r="L57" s="295">
        <v>3563205.8308322225</v>
      </c>
      <c r="M57" s="530">
        <f t="shared" si="10"/>
        <v>3563205.8308322355</v>
      </c>
      <c r="N57" s="68">
        <f>'D3-Capex'!I23</f>
        <v>42758469.96998667</v>
      </c>
      <c r="O57" s="66">
        <f>'D3-Capex'!J23</f>
        <v>35832630.187746108</v>
      </c>
      <c r="P57" s="67">
        <f>'D3-Capex'!K23</f>
        <v>20428343.990846936</v>
      </c>
      <c r="Q57" s="714"/>
    </row>
    <row r="58" spans="1:17" x14ac:dyDescent="0.25">
      <c r="A58" s="263" t="s">
        <v>865</v>
      </c>
      <c r="B58" s="295">
        <v>9081649.6665227786</v>
      </c>
      <c r="C58" s="295">
        <v>9081649.6665227786</v>
      </c>
      <c r="D58" s="295">
        <v>9081649.6665227786</v>
      </c>
      <c r="E58" s="295">
        <v>9081649.6665227786</v>
      </c>
      <c r="F58" s="295">
        <v>9081649.6665227786</v>
      </c>
      <c r="G58" s="295">
        <v>9081649.6665227786</v>
      </c>
      <c r="H58" s="295">
        <v>9081649.6665227786</v>
      </c>
      <c r="I58" s="295">
        <v>9081649.6665227786</v>
      </c>
      <c r="J58" s="295">
        <v>9081649.6665227786</v>
      </c>
      <c r="K58" s="295">
        <v>9081649.6665227786</v>
      </c>
      <c r="L58" s="295">
        <v>9081649.6665227786</v>
      </c>
      <c r="M58" s="530">
        <f t="shared" si="10"/>
        <v>9081649.6665228009</v>
      </c>
      <c r="N58" s="68">
        <f>'D3-Capex'!I24</f>
        <v>108979795.99827334</v>
      </c>
      <c r="O58" s="66">
        <f>'D3-Capex'!J24</f>
        <v>70436199.102862686</v>
      </c>
      <c r="P58" s="67">
        <f>'D3-Capex'!K24</f>
        <v>68003009.514282525</v>
      </c>
      <c r="Q58" s="714"/>
    </row>
    <row r="59" spans="1:17" x14ac:dyDescent="0.25">
      <c r="A59" s="263" t="s">
        <v>852</v>
      </c>
      <c r="B59" s="295"/>
      <c r="C59" s="295"/>
      <c r="D59" s="295"/>
      <c r="E59" s="295"/>
      <c r="F59" s="295"/>
      <c r="G59" s="295"/>
      <c r="H59" s="295"/>
      <c r="I59" s="295"/>
      <c r="J59" s="295"/>
      <c r="K59" s="295"/>
      <c r="L59" s="295"/>
      <c r="M59" s="530">
        <f t="shared" si="10"/>
        <v>0</v>
      </c>
      <c r="N59" s="68">
        <f>'D3-Capex'!I25</f>
        <v>0</v>
      </c>
      <c r="O59" s="66">
        <f>'D3-Capex'!J25</f>
        <v>0</v>
      </c>
      <c r="P59" s="67">
        <f>'D3-Capex'!K25</f>
        <v>0</v>
      </c>
      <c r="Q59" s="714"/>
    </row>
    <row r="60" spans="1:17" x14ac:dyDescent="0.25">
      <c r="A60" s="239" t="s">
        <v>866</v>
      </c>
      <c r="B60" s="155">
        <f>SUM(B61:B70)</f>
        <v>0</v>
      </c>
      <c r="C60" s="155">
        <f t="shared" ref="C60" si="18">SUM(C61:C70)</f>
        <v>0</v>
      </c>
      <c r="D60" s="155">
        <f>SUM(D61:D70)</f>
        <v>0</v>
      </c>
      <c r="E60" s="155">
        <f t="shared" ref="E60" si="19">SUM(E61:E70)</f>
        <v>0</v>
      </c>
      <c r="F60" s="155">
        <f>SUM(F61:F70)</f>
        <v>0</v>
      </c>
      <c r="G60" s="155">
        <f t="shared" ref="G60" si="20">SUM(G61:G70)</f>
        <v>0</v>
      </c>
      <c r="H60" s="155">
        <f>SUM(H61:H70)</f>
        <v>0</v>
      </c>
      <c r="I60" s="155">
        <f t="shared" ref="I60" si="21">SUM(I61:I70)</f>
        <v>0</v>
      </c>
      <c r="J60" s="155">
        <f>SUM(J61:J70)</f>
        <v>0</v>
      </c>
      <c r="K60" s="155">
        <f t="shared" ref="K60:L60" si="22">SUM(K61:K70)</f>
        <v>0</v>
      </c>
      <c r="L60" s="155">
        <f t="shared" si="22"/>
        <v>0</v>
      </c>
      <c r="M60" s="530">
        <f t="shared" si="10"/>
        <v>0</v>
      </c>
      <c r="N60" s="68">
        <f>'D3-Capex'!I26</f>
        <v>0</v>
      </c>
      <c r="O60" s="66">
        <f>'D3-Capex'!J26</f>
        <v>0</v>
      </c>
      <c r="P60" s="67">
        <f>'D3-Capex'!K26</f>
        <v>0</v>
      </c>
      <c r="Q60" s="714"/>
    </row>
    <row r="61" spans="1:17" x14ac:dyDescent="0.25">
      <c r="A61" s="263" t="s">
        <v>867</v>
      </c>
      <c r="B61" s="295"/>
      <c r="C61" s="295"/>
      <c r="D61" s="295"/>
      <c r="E61" s="295"/>
      <c r="F61" s="295"/>
      <c r="G61" s="295"/>
      <c r="H61" s="295"/>
      <c r="I61" s="295"/>
      <c r="J61" s="295"/>
      <c r="K61" s="295"/>
      <c r="L61" s="295"/>
      <c r="M61" s="530">
        <f t="shared" si="10"/>
        <v>0</v>
      </c>
      <c r="N61" s="68">
        <f>'D3-Capex'!I27</f>
        <v>0</v>
      </c>
      <c r="O61" s="66">
        <f>'D3-Capex'!J27</f>
        <v>0</v>
      </c>
      <c r="P61" s="67">
        <f>'D3-Capex'!K27</f>
        <v>0</v>
      </c>
      <c r="Q61" s="714"/>
    </row>
    <row r="62" spans="1:17" x14ac:dyDescent="0.25">
      <c r="A62" s="263" t="s">
        <v>868</v>
      </c>
      <c r="B62" s="295"/>
      <c r="C62" s="295"/>
      <c r="D62" s="295"/>
      <c r="E62" s="295"/>
      <c r="F62" s="295"/>
      <c r="G62" s="295"/>
      <c r="H62" s="295"/>
      <c r="I62" s="295"/>
      <c r="J62" s="295"/>
      <c r="K62" s="295"/>
      <c r="L62" s="295"/>
      <c r="M62" s="530">
        <f t="shared" si="10"/>
        <v>0</v>
      </c>
      <c r="N62" s="68">
        <f>'D3-Capex'!I28</f>
        <v>0</v>
      </c>
      <c r="O62" s="66">
        <f>'D3-Capex'!J28</f>
        <v>0</v>
      </c>
      <c r="P62" s="67">
        <f>'D3-Capex'!K28</f>
        <v>0</v>
      </c>
      <c r="Q62" s="714"/>
    </row>
    <row r="63" spans="1:17" x14ac:dyDescent="0.25">
      <c r="A63" s="263" t="s">
        <v>869</v>
      </c>
      <c r="B63" s="295"/>
      <c r="C63" s="295"/>
      <c r="D63" s="295"/>
      <c r="E63" s="295"/>
      <c r="F63" s="295"/>
      <c r="G63" s="295"/>
      <c r="H63" s="295"/>
      <c r="I63" s="295"/>
      <c r="J63" s="295"/>
      <c r="K63" s="295"/>
      <c r="L63" s="295"/>
      <c r="M63" s="530">
        <f t="shared" si="10"/>
        <v>0</v>
      </c>
      <c r="N63" s="68">
        <f>'D3-Capex'!I29</f>
        <v>0</v>
      </c>
      <c r="O63" s="66">
        <f>'D3-Capex'!J29</f>
        <v>0</v>
      </c>
      <c r="P63" s="67">
        <f>'D3-Capex'!K29</f>
        <v>0</v>
      </c>
      <c r="Q63" s="714"/>
    </row>
    <row r="64" spans="1:17" x14ac:dyDescent="0.25">
      <c r="A64" s="263" t="s">
        <v>870</v>
      </c>
      <c r="B64" s="295"/>
      <c r="C64" s="295"/>
      <c r="D64" s="295"/>
      <c r="E64" s="295"/>
      <c r="F64" s="295"/>
      <c r="G64" s="295"/>
      <c r="H64" s="295"/>
      <c r="I64" s="295"/>
      <c r="J64" s="295"/>
      <c r="K64" s="295"/>
      <c r="L64" s="295"/>
      <c r="M64" s="530">
        <f t="shared" si="10"/>
        <v>0</v>
      </c>
      <c r="N64" s="68">
        <f>'D3-Capex'!I30</f>
        <v>0</v>
      </c>
      <c r="O64" s="66">
        <f>'D3-Capex'!J30</f>
        <v>0</v>
      </c>
      <c r="P64" s="67">
        <f>'D3-Capex'!K30</f>
        <v>0</v>
      </c>
      <c r="Q64" s="714"/>
    </row>
    <row r="65" spans="1:17" x14ac:dyDescent="0.25">
      <c r="A65" s="263" t="s">
        <v>871</v>
      </c>
      <c r="B65" s="295"/>
      <c r="C65" s="295"/>
      <c r="D65" s="295"/>
      <c r="E65" s="295"/>
      <c r="F65" s="295"/>
      <c r="G65" s="295"/>
      <c r="H65" s="295"/>
      <c r="I65" s="295"/>
      <c r="J65" s="295"/>
      <c r="K65" s="295"/>
      <c r="L65" s="295"/>
      <c r="M65" s="530">
        <f t="shared" si="10"/>
        <v>0</v>
      </c>
      <c r="N65" s="68">
        <f>'D3-Capex'!I31</f>
        <v>0</v>
      </c>
      <c r="O65" s="66">
        <f>'D3-Capex'!J31</f>
        <v>0</v>
      </c>
      <c r="P65" s="67">
        <f>'D3-Capex'!K31</f>
        <v>0</v>
      </c>
      <c r="Q65" s="714"/>
    </row>
    <row r="66" spans="1:17" x14ac:dyDescent="0.25">
      <c r="A66" s="263" t="s">
        <v>872</v>
      </c>
      <c r="B66" s="295"/>
      <c r="C66" s="295"/>
      <c r="D66" s="295"/>
      <c r="E66" s="295"/>
      <c r="F66" s="295"/>
      <c r="G66" s="295"/>
      <c r="H66" s="295"/>
      <c r="I66" s="295"/>
      <c r="J66" s="295"/>
      <c r="K66" s="295"/>
      <c r="L66" s="295"/>
      <c r="M66" s="530">
        <f t="shared" si="10"/>
        <v>0</v>
      </c>
      <c r="N66" s="68">
        <f>'D3-Capex'!I32</f>
        <v>0</v>
      </c>
      <c r="O66" s="66">
        <f>'D3-Capex'!J32</f>
        <v>0</v>
      </c>
      <c r="P66" s="67">
        <f>'D3-Capex'!K32</f>
        <v>0</v>
      </c>
      <c r="Q66" s="714"/>
    </row>
    <row r="67" spans="1:17" x14ac:dyDescent="0.25">
      <c r="A67" s="263" t="s">
        <v>873</v>
      </c>
      <c r="B67" s="295"/>
      <c r="C67" s="295"/>
      <c r="D67" s="295"/>
      <c r="E67" s="295"/>
      <c r="F67" s="295"/>
      <c r="G67" s="295"/>
      <c r="H67" s="295"/>
      <c r="I67" s="295"/>
      <c r="J67" s="295"/>
      <c r="K67" s="295"/>
      <c r="L67" s="295"/>
      <c r="M67" s="530">
        <f t="shared" si="10"/>
        <v>0</v>
      </c>
      <c r="N67" s="68">
        <f>'D3-Capex'!I33</f>
        <v>0</v>
      </c>
      <c r="O67" s="66">
        <f>'D3-Capex'!J33</f>
        <v>0</v>
      </c>
      <c r="P67" s="67">
        <f>'D3-Capex'!K33</f>
        <v>0</v>
      </c>
      <c r="Q67" s="714"/>
    </row>
    <row r="68" spans="1:17" x14ac:dyDescent="0.25">
      <c r="A68" s="263" t="s">
        <v>874</v>
      </c>
      <c r="B68" s="295"/>
      <c r="C68" s="295"/>
      <c r="D68" s="295"/>
      <c r="E68" s="295"/>
      <c r="F68" s="295"/>
      <c r="G68" s="295"/>
      <c r="H68" s="295"/>
      <c r="I68" s="295"/>
      <c r="J68" s="295"/>
      <c r="K68" s="295"/>
      <c r="L68" s="295"/>
      <c r="M68" s="530">
        <f t="shared" si="10"/>
        <v>0</v>
      </c>
      <c r="N68" s="68">
        <f>'D3-Capex'!I34</f>
        <v>0</v>
      </c>
      <c r="O68" s="66">
        <f>'D3-Capex'!J34</f>
        <v>0</v>
      </c>
      <c r="P68" s="67">
        <f>'D3-Capex'!K34</f>
        <v>0</v>
      </c>
      <c r="Q68" s="714"/>
    </row>
    <row r="69" spans="1:17" x14ac:dyDescent="0.25">
      <c r="A69" s="263" t="s">
        <v>875</v>
      </c>
      <c r="B69" s="295"/>
      <c r="C69" s="295"/>
      <c r="D69" s="295"/>
      <c r="E69" s="295"/>
      <c r="F69" s="295"/>
      <c r="G69" s="295"/>
      <c r="H69" s="295"/>
      <c r="I69" s="295"/>
      <c r="J69" s="295"/>
      <c r="K69" s="295"/>
      <c r="L69" s="295"/>
      <c r="M69" s="530">
        <f t="shared" si="10"/>
        <v>0</v>
      </c>
      <c r="N69" s="68">
        <f>'D3-Capex'!I35</f>
        <v>0</v>
      </c>
      <c r="O69" s="66">
        <f>'D3-Capex'!J35</f>
        <v>0</v>
      </c>
      <c r="P69" s="67">
        <f>'D3-Capex'!K35</f>
        <v>0</v>
      </c>
      <c r="Q69" s="714"/>
    </row>
    <row r="70" spans="1:17" x14ac:dyDescent="0.25">
      <c r="A70" s="263" t="s">
        <v>852</v>
      </c>
      <c r="B70" s="295"/>
      <c r="C70" s="295"/>
      <c r="D70" s="295"/>
      <c r="E70" s="295"/>
      <c r="F70" s="295"/>
      <c r="G70" s="295"/>
      <c r="H70" s="295"/>
      <c r="I70" s="295"/>
      <c r="J70" s="295"/>
      <c r="K70" s="295"/>
      <c r="L70" s="295"/>
      <c r="M70" s="530">
        <f t="shared" si="10"/>
        <v>0</v>
      </c>
      <c r="N70" s="68">
        <f>'D3-Capex'!I36</f>
        <v>0</v>
      </c>
      <c r="O70" s="66">
        <f>'D3-Capex'!J36</f>
        <v>0</v>
      </c>
      <c r="P70" s="67">
        <f>'D3-Capex'!K36</f>
        <v>0</v>
      </c>
      <c r="Q70" s="714"/>
    </row>
    <row r="71" spans="1:17" x14ac:dyDescent="0.25">
      <c r="A71" s="239" t="s">
        <v>876</v>
      </c>
      <c r="B71" s="155">
        <f>SUM(B72:B77)</f>
        <v>0</v>
      </c>
      <c r="C71" s="155">
        <f t="shared" ref="C71" si="23">SUM(C72:C77)</f>
        <v>0</v>
      </c>
      <c r="D71" s="155">
        <f>SUM(D72:D77)</f>
        <v>0</v>
      </c>
      <c r="E71" s="155">
        <f t="shared" ref="E71" si="24">SUM(E72:E77)</f>
        <v>0</v>
      </c>
      <c r="F71" s="155">
        <f>SUM(F72:F77)</f>
        <v>0</v>
      </c>
      <c r="G71" s="155">
        <f t="shared" ref="G71" si="25">SUM(G72:G77)</f>
        <v>0</v>
      </c>
      <c r="H71" s="155">
        <f>SUM(H72:H77)</f>
        <v>0</v>
      </c>
      <c r="I71" s="155">
        <f t="shared" ref="I71" si="26">SUM(I72:I77)</f>
        <v>0</v>
      </c>
      <c r="J71" s="155">
        <f>SUM(J72:J77)</f>
        <v>0</v>
      </c>
      <c r="K71" s="155">
        <f t="shared" ref="K71:L71" si="27">SUM(K72:K77)</f>
        <v>0</v>
      </c>
      <c r="L71" s="155">
        <f t="shared" si="27"/>
        <v>0</v>
      </c>
      <c r="M71" s="530">
        <f t="shared" si="10"/>
        <v>0</v>
      </c>
      <c r="N71" s="68">
        <f>'D3-Capex'!I37</f>
        <v>0</v>
      </c>
      <c r="O71" s="66">
        <f>'D3-Capex'!J37</f>
        <v>0</v>
      </c>
      <c r="P71" s="67">
        <f>'D3-Capex'!K37</f>
        <v>0</v>
      </c>
      <c r="Q71" s="714"/>
    </row>
    <row r="72" spans="1:17" x14ac:dyDescent="0.25">
      <c r="A72" s="263" t="s">
        <v>877</v>
      </c>
      <c r="B72" s="295"/>
      <c r="C72" s="295"/>
      <c r="D72" s="295"/>
      <c r="E72" s="295"/>
      <c r="F72" s="295"/>
      <c r="G72" s="295"/>
      <c r="H72" s="295"/>
      <c r="I72" s="295"/>
      <c r="J72" s="295"/>
      <c r="K72" s="295"/>
      <c r="L72" s="295"/>
      <c r="M72" s="530">
        <f t="shared" si="10"/>
        <v>0</v>
      </c>
      <c r="N72" s="68">
        <f>'D3-Capex'!I38</f>
        <v>0</v>
      </c>
      <c r="O72" s="66">
        <f>'D3-Capex'!J38</f>
        <v>0</v>
      </c>
      <c r="P72" s="67">
        <f>'D3-Capex'!K38</f>
        <v>0</v>
      </c>
      <c r="Q72" s="714"/>
    </row>
    <row r="73" spans="1:17" x14ac:dyDescent="0.25">
      <c r="A73" s="263" t="s">
        <v>494</v>
      </c>
      <c r="B73" s="295"/>
      <c r="C73" s="295"/>
      <c r="D73" s="295"/>
      <c r="E73" s="295"/>
      <c r="F73" s="295"/>
      <c r="G73" s="295"/>
      <c r="H73" s="295"/>
      <c r="I73" s="295"/>
      <c r="J73" s="295"/>
      <c r="K73" s="295"/>
      <c r="L73" s="295"/>
      <c r="M73" s="530">
        <f t="shared" si="10"/>
        <v>0</v>
      </c>
      <c r="N73" s="68">
        <f>'D3-Capex'!I39</f>
        <v>0</v>
      </c>
      <c r="O73" s="66">
        <f>'D3-Capex'!J39</f>
        <v>0</v>
      </c>
      <c r="P73" s="67">
        <f>'D3-Capex'!K39</f>
        <v>0</v>
      </c>
      <c r="Q73" s="714"/>
    </row>
    <row r="74" spans="1:17" x14ac:dyDescent="0.25">
      <c r="A74" s="263" t="s">
        <v>878</v>
      </c>
      <c r="B74" s="295"/>
      <c r="C74" s="295"/>
      <c r="D74" s="295"/>
      <c r="E74" s="295"/>
      <c r="F74" s="295"/>
      <c r="G74" s="295"/>
      <c r="H74" s="295"/>
      <c r="I74" s="295"/>
      <c r="J74" s="295"/>
      <c r="K74" s="295"/>
      <c r="L74" s="295"/>
      <c r="M74" s="530">
        <f t="shared" si="10"/>
        <v>0</v>
      </c>
      <c r="N74" s="68">
        <f>'D3-Capex'!I40</f>
        <v>0</v>
      </c>
      <c r="O74" s="66">
        <f>'D3-Capex'!J40</f>
        <v>0</v>
      </c>
      <c r="P74" s="67">
        <f>'D3-Capex'!K40</f>
        <v>0</v>
      </c>
      <c r="Q74" s="714"/>
    </row>
    <row r="75" spans="1:17" x14ac:dyDescent="0.25">
      <c r="A75" s="263" t="s">
        <v>879</v>
      </c>
      <c r="B75" s="295"/>
      <c r="C75" s="295"/>
      <c r="D75" s="295"/>
      <c r="E75" s="295"/>
      <c r="F75" s="295"/>
      <c r="G75" s="295"/>
      <c r="H75" s="295"/>
      <c r="I75" s="295"/>
      <c r="J75" s="295"/>
      <c r="K75" s="295"/>
      <c r="L75" s="295"/>
      <c r="M75" s="530">
        <f t="shared" si="10"/>
        <v>0</v>
      </c>
      <c r="N75" s="68">
        <f>'D3-Capex'!I41</f>
        <v>0</v>
      </c>
      <c r="O75" s="66">
        <f>'D3-Capex'!J41</f>
        <v>0</v>
      </c>
      <c r="P75" s="67">
        <f>'D3-Capex'!K41</f>
        <v>0</v>
      </c>
      <c r="Q75" s="714"/>
    </row>
    <row r="76" spans="1:17" x14ac:dyDescent="0.25">
      <c r="A76" s="263" t="s">
        <v>880</v>
      </c>
      <c r="B76" s="295"/>
      <c r="C76" s="295"/>
      <c r="D76" s="295"/>
      <c r="E76" s="295"/>
      <c r="F76" s="295"/>
      <c r="G76" s="295"/>
      <c r="H76" s="295"/>
      <c r="I76" s="295"/>
      <c r="J76" s="295"/>
      <c r="K76" s="295"/>
      <c r="L76" s="295"/>
      <c r="M76" s="530">
        <f t="shared" si="10"/>
        <v>0</v>
      </c>
      <c r="N76" s="68">
        <f>'D3-Capex'!I42</f>
        <v>0</v>
      </c>
      <c r="O76" s="66">
        <f>'D3-Capex'!J42</f>
        <v>0</v>
      </c>
      <c r="P76" s="67">
        <f>'D3-Capex'!K42</f>
        <v>0</v>
      </c>
      <c r="Q76" s="714"/>
    </row>
    <row r="77" spans="1:17" x14ac:dyDescent="0.25">
      <c r="A77" s="263" t="s">
        <v>852</v>
      </c>
      <c r="B77" s="295"/>
      <c r="C77" s="295"/>
      <c r="D77" s="295"/>
      <c r="E77" s="295"/>
      <c r="F77" s="295"/>
      <c r="G77" s="295"/>
      <c r="H77" s="295"/>
      <c r="I77" s="295"/>
      <c r="J77" s="295"/>
      <c r="K77" s="295"/>
      <c r="L77" s="295"/>
      <c r="M77" s="530">
        <f t="shared" si="10"/>
        <v>0</v>
      </c>
      <c r="N77" s="68">
        <f>'D3-Capex'!I43</f>
        <v>0</v>
      </c>
      <c r="O77" s="66">
        <f>'D3-Capex'!J43</f>
        <v>0</v>
      </c>
      <c r="P77" s="67">
        <f>'D3-Capex'!K43</f>
        <v>0</v>
      </c>
      <c r="Q77" s="714"/>
    </row>
    <row r="78" spans="1:17" x14ac:dyDescent="0.25">
      <c r="A78" s="239" t="s">
        <v>881</v>
      </c>
      <c r="B78" s="155">
        <f>SUM(B79:B85)</f>
        <v>0</v>
      </c>
      <c r="C78" s="155">
        <f t="shared" ref="C78" si="28">SUM(C79:C85)</f>
        <v>0</v>
      </c>
      <c r="D78" s="155">
        <f>SUM(D79:D85)</f>
        <v>0</v>
      </c>
      <c r="E78" s="155">
        <f t="shared" ref="E78" si="29">SUM(E79:E85)</f>
        <v>0</v>
      </c>
      <c r="F78" s="155">
        <f>SUM(F79:F85)</f>
        <v>0</v>
      </c>
      <c r="G78" s="155">
        <f t="shared" ref="G78" si="30">SUM(G79:G85)</f>
        <v>0</v>
      </c>
      <c r="H78" s="155">
        <f>SUM(H79:H85)</f>
        <v>0</v>
      </c>
      <c r="I78" s="155">
        <f t="shared" ref="I78" si="31">SUM(I79:I85)</f>
        <v>0</v>
      </c>
      <c r="J78" s="155">
        <f>SUM(J79:J85)</f>
        <v>0</v>
      </c>
      <c r="K78" s="155">
        <f t="shared" ref="K78:L78" si="32">SUM(K79:K85)</f>
        <v>0</v>
      </c>
      <c r="L78" s="155">
        <f t="shared" si="32"/>
        <v>0</v>
      </c>
      <c r="M78" s="530">
        <f t="shared" si="10"/>
        <v>0</v>
      </c>
      <c r="N78" s="68">
        <f>'D3-Capex'!I44</f>
        <v>0</v>
      </c>
      <c r="O78" s="66">
        <f>'D3-Capex'!J44</f>
        <v>0</v>
      </c>
      <c r="P78" s="67">
        <f>'D3-Capex'!K44</f>
        <v>0</v>
      </c>
      <c r="Q78" s="714"/>
    </row>
    <row r="79" spans="1:17" x14ac:dyDescent="0.25">
      <c r="A79" s="263" t="s">
        <v>882</v>
      </c>
      <c r="B79" s="295"/>
      <c r="C79" s="295"/>
      <c r="D79" s="295"/>
      <c r="E79" s="295"/>
      <c r="F79" s="295"/>
      <c r="G79" s="295"/>
      <c r="H79" s="295"/>
      <c r="I79" s="295"/>
      <c r="J79" s="295"/>
      <c r="K79" s="295"/>
      <c r="L79" s="295"/>
      <c r="M79" s="530">
        <f t="shared" si="10"/>
        <v>0</v>
      </c>
      <c r="N79" s="68">
        <f>'D3-Capex'!I45</f>
        <v>0</v>
      </c>
      <c r="O79" s="66">
        <f>'D3-Capex'!J45</f>
        <v>0</v>
      </c>
      <c r="P79" s="67">
        <f>'D3-Capex'!K45</f>
        <v>0</v>
      </c>
      <c r="Q79" s="714"/>
    </row>
    <row r="80" spans="1:17" x14ac:dyDescent="0.25">
      <c r="A80" s="263" t="s">
        <v>883</v>
      </c>
      <c r="B80" s="295"/>
      <c r="C80" s="295"/>
      <c r="D80" s="295"/>
      <c r="E80" s="295"/>
      <c r="F80" s="295"/>
      <c r="G80" s="295"/>
      <c r="H80" s="295"/>
      <c r="I80" s="295"/>
      <c r="J80" s="295"/>
      <c r="K80" s="295"/>
      <c r="L80" s="295"/>
      <c r="M80" s="530">
        <f t="shared" si="10"/>
        <v>0</v>
      </c>
      <c r="N80" s="68">
        <f>'D3-Capex'!I46</f>
        <v>0</v>
      </c>
      <c r="O80" s="66">
        <f>'D3-Capex'!J46</f>
        <v>0</v>
      </c>
      <c r="P80" s="67">
        <f>'D3-Capex'!K46</f>
        <v>0</v>
      </c>
      <c r="Q80" s="714"/>
    </row>
    <row r="81" spans="1:17" x14ac:dyDescent="0.25">
      <c r="A81" s="263" t="s">
        <v>884</v>
      </c>
      <c r="B81" s="295"/>
      <c r="C81" s="295"/>
      <c r="D81" s="295"/>
      <c r="E81" s="295"/>
      <c r="F81" s="295"/>
      <c r="G81" s="295"/>
      <c r="H81" s="295"/>
      <c r="I81" s="295"/>
      <c r="J81" s="295"/>
      <c r="K81" s="295"/>
      <c r="L81" s="295"/>
      <c r="M81" s="530">
        <f t="shared" si="10"/>
        <v>0</v>
      </c>
      <c r="N81" s="68">
        <f>'D3-Capex'!I47</f>
        <v>0</v>
      </c>
      <c r="O81" s="66">
        <f>'D3-Capex'!J47</f>
        <v>0</v>
      </c>
      <c r="P81" s="67">
        <f>'D3-Capex'!K47</f>
        <v>0</v>
      </c>
      <c r="Q81" s="714"/>
    </row>
    <row r="82" spans="1:17" x14ac:dyDescent="0.25">
      <c r="A82" s="263" t="s">
        <v>885</v>
      </c>
      <c r="B82" s="295"/>
      <c r="C82" s="295"/>
      <c r="D82" s="295"/>
      <c r="E82" s="295"/>
      <c r="F82" s="295"/>
      <c r="G82" s="295"/>
      <c r="H82" s="295"/>
      <c r="I82" s="295"/>
      <c r="J82" s="295"/>
      <c r="K82" s="295"/>
      <c r="L82" s="295"/>
      <c r="M82" s="530">
        <f t="shared" si="10"/>
        <v>0</v>
      </c>
      <c r="N82" s="68">
        <f>'D3-Capex'!I48</f>
        <v>0</v>
      </c>
      <c r="O82" s="66">
        <f>'D3-Capex'!J48</f>
        <v>0</v>
      </c>
      <c r="P82" s="67">
        <f>'D3-Capex'!K48</f>
        <v>0</v>
      </c>
      <c r="Q82" s="714"/>
    </row>
    <row r="83" spans="1:17" x14ac:dyDescent="0.25">
      <c r="A83" s="263" t="s">
        <v>886</v>
      </c>
      <c r="B83" s="295"/>
      <c r="C83" s="295"/>
      <c r="D83" s="295"/>
      <c r="E83" s="295"/>
      <c r="F83" s="295"/>
      <c r="G83" s="295"/>
      <c r="H83" s="295"/>
      <c r="I83" s="295"/>
      <c r="J83" s="295"/>
      <c r="K83" s="295"/>
      <c r="L83" s="295"/>
      <c r="M83" s="530">
        <f t="shared" si="10"/>
        <v>0</v>
      </c>
      <c r="N83" s="68">
        <f>'D3-Capex'!I49</f>
        <v>0</v>
      </c>
      <c r="O83" s="66">
        <f>'D3-Capex'!J49</f>
        <v>0</v>
      </c>
      <c r="P83" s="67">
        <f>'D3-Capex'!K49</f>
        <v>0</v>
      </c>
      <c r="Q83" s="714"/>
    </row>
    <row r="84" spans="1:17" x14ac:dyDescent="0.25">
      <c r="A84" s="263" t="s">
        <v>887</v>
      </c>
      <c r="B84" s="295"/>
      <c r="C84" s="295"/>
      <c r="D84" s="295"/>
      <c r="E84" s="295"/>
      <c r="F84" s="295"/>
      <c r="G84" s="295"/>
      <c r="H84" s="295"/>
      <c r="I84" s="295"/>
      <c r="J84" s="295"/>
      <c r="K84" s="295"/>
      <c r="L84" s="295"/>
      <c r="M84" s="530">
        <f t="shared" si="10"/>
        <v>0</v>
      </c>
      <c r="N84" s="68">
        <f>'D3-Capex'!I50</f>
        <v>0</v>
      </c>
      <c r="O84" s="66">
        <f>'D3-Capex'!J50</f>
        <v>0</v>
      </c>
      <c r="P84" s="67">
        <f>'D3-Capex'!K50</f>
        <v>0</v>
      </c>
      <c r="Q84" s="714"/>
    </row>
    <row r="85" spans="1:17" x14ac:dyDescent="0.25">
      <c r="A85" s="263" t="s">
        <v>852</v>
      </c>
      <c r="B85" s="295"/>
      <c r="C85" s="295"/>
      <c r="D85" s="295"/>
      <c r="E85" s="295"/>
      <c r="F85" s="295"/>
      <c r="G85" s="295"/>
      <c r="H85" s="295"/>
      <c r="I85" s="295"/>
      <c r="J85" s="295"/>
      <c r="K85" s="295"/>
      <c r="L85" s="295"/>
      <c r="M85" s="530">
        <f t="shared" si="10"/>
        <v>0</v>
      </c>
      <c r="N85" s="68">
        <f>'D3-Capex'!I51</f>
        <v>0</v>
      </c>
      <c r="O85" s="66">
        <f>'D3-Capex'!J51</f>
        <v>0</v>
      </c>
      <c r="P85" s="67">
        <f>'D3-Capex'!K51</f>
        <v>0</v>
      </c>
      <c r="Q85" s="714"/>
    </row>
    <row r="86" spans="1:17" x14ac:dyDescent="0.25">
      <c r="A86" s="235" t="s">
        <v>888</v>
      </c>
      <c r="B86" s="155">
        <f t="shared" ref="B86:K86" si="33">SUM(B87:B95)</f>
        <v>0</v>
      </c>
      <c r="C86" s="155">
        <f t="shared" si="33"/>
        <v>0</v>
      </c>
      <c r="D86" s="155">
        <f t="shared" si="33"/>
        <v>0</v>
      </c>
      <c r="E86" s="155">
        <f t="shared" si="33"/>
        <v>0</v>
      </c>
      <c r="F86" s="155">
        <f t="shared" si="33"/>
        <v>0</v>
      </c>
      <c r="G86" s="155">
        <f t="shared" si="33"/>
        <v>0</v>
      </c>
      <c r="H86" s="155">
        <f t="shared" si="33"/>
        <v>0</v>
      </c>
      <c r="I86" s="155">
        <f t="shared" si="33"/>
        <v>0</v>
      </c>
      <c r="J86" s="155">
        <f t="shared" si="33"/>
        <v>0</v>
      </c>
      <c r="K86" s="155">
        <f t="shared" si="33"/>
        <v>0</v>
      </c>
      <c r="L86" s="155">
        <f t="shared" ref="L86" si="34">SUM(L87:L95)</f>
        <v>0</v>
      </c>
      <c r="M86" s="530">
        <f t="shared" si="10"/>
        <v>0</v>
      </c>
      <c r="N86" s="68">
        <f>'D3-Capex'!I52</f>
        <v>0</v>
      </c>
      <c r="O86" s="66">
        <f>'D3-Capex'!J52</f>
        <v>0</v>
      </c>
      <c r="P86" s="67">
        <f>'D3-Capex'!K52</f>
        <v>0</v>
      </c>
      <c r="Q86" s="714"/>
    </row>
    <row r="87" spans="1:17" x14ac:dyDescent="0.25">
      <c r="A87" s="263" t="s">
        <v>889</v>
      </c>
      <c r="B87" s="295"/>
      <c r="C87" s="295"/>
      <c r="D87" s="295"/>
      <c r="E87" s="295"/>
      <c r="F87" s="295"/>
      <c r="G87" s="295"/>
      <c r="H87" s="295"/>
      <c r="I87" s="295"/>
      <c r="J87" s="295"/>
      <c r="K87" s="295"/>
      <c r="L87" s="295"/>
      <c r="M87" s="530">
        <f t="shared" si="10"/>
        <v>0</v>
      </c>
      <c r="N87" s="68">
        <f>'D3-Capex'!I53</f>
        <v>0</v>
      </c>
      <c r="O87" s="66">
        <f>'D3-Capex'!J53</f>
        <v>0</v>
      </c>
      <c r="P87" s="67">
        <f>'D3-Capex'!K53</f>
        <v>0</v>
      </c>
      <c r="Q87" s="714"/>
    </row>
    <row r="88" spans="1:17" x14ac:dyDescent="0.25">
      <c r="A88" s="263" t="s">
        <v>890</v>
      </c>
      <c r="B88" s="295"/>
      <c r="C88" s="295"/>
      <c r="D88" s="295"/>
      <c r="E88" s="295"/>
      <c r="F88" s="295"/>
      <c r="G88" s="295"/>
      <c r="H88" s="295"/>
      <c r="I88" s="295"/>
      <c r="J88" s="295"/>
      <c r="K88" s="295"/>
      <c r="L88" s="295"/>
      <c r="M88" s="530">
        <f t="shared" si="10"/>
        <v>0</v>
      </c>
      <c r="N88" s="68">
        <f>'D3-Capex'!I54</f>
        <v>0</v>
      </c>
      <c r="O88" s="66">
        <f>'D3-Capex'!J54</f>
        <v>0</v>
      </c>
      <c r="P88" s="67">
        <f>'D3-Capex'!K54</f>
        <v>0</v>
      </c>
      <c r="Q88" s="714"/>
    </row>
    <row r="89" spans="1:17" x14ac:dyDescent="0.25">
      <c r="A89" s="263" t="s">
        <v>891</v>
      </c>
      <c r="B89" s="295"/>
      <c r="C89" s="295"/>
      <c r="D89" s="295"/>
      <c r="E89" s="295"/>
      <c r="F89" s="295"/>
      <c r="G89" s="295"/>
      <c r="H89" s="295"/>
      <c r="I89" s="295"/>
      <c r="J89" s="295"/>
      <c r="K89" s="295"/>
      <c r="L89" s="295"/>
      <c r="M89" s="530">
        <f t="shared" si="10"/>
        <v>0</v>
      </c>
      <c r="N89" s="68">
        <f>'D3-Capex'!I55</f>
        <v>0</v>
      </c>
      <c r="O89" s="66">
        <f>'D3-Capex'!J55</f>
        <v>0</v>
      </c>
      <c r="P89" s="67">
        <f>'D3-Capex'!K55</f>
        <v>0</v>
      </c>
      <c r="Q89" s="714"/>
    </row>
    <row r="90" spans="1:17" x14ac:dyDescent="0.25">
      <c r="A90" s="263" t="s">
        <v>854</v>
      </c>
      <c r="B90" s="295"/>
      <c r="C90" s="295"/>
      <c r="D90" s="295"/>
      <c r="E90" s="295"/>
      <c r="F90" s="295"/>
      <c r="G90" s="295"/>
      <c r="H90" s="295"/>
      <c r="I90" s="295"/>
      <c r="J90" s="295"/>
      <c r="K90" s="295"/>
      <c r="L90" s="295"/>
      <c r="M90" s="530">
        <f t="shared" si="10"/>
        <v>0</v>
      </c>
      <c r="N90" s="68">
        <f>'D3-Capex'!I56</f>
        <v>0</v>
      </c>
      <c r="O90" s="66">
        <f>'D3-Capex'!J56</f>
        <v>0</v>
      </c>
      <c r="P90" s="67">
        <f>'D3-Capex'!K56</f>
        <v>0</v>
      </c>
      <c r="Q90" s="714"/>
    </row>
    <row r="91" spans="1:17" x14ac:dyDescent="0.25">
      <c r="A91" s="263" t="s">
        <v>855</v>
      </c>
      <c r="B91" s="295"/>
      <c r="C91" s="295"/>
      <c r="D91" s="295"/>
      <c r="E91" s="295"/>
      <c r="F91" s="295"/>
      <c r="G91" s="295"/>
      <c r="H91" s="295"/>
      <c r="I91" s="295"/>
      <c r="J91" s="295"/>
      <c r="K91" s="295"/>
      <c r="L91" s="295"/>
      <c r="M91" s="530">
        <f t="shared" si="10"/>
        <v>0</v>
      </c>
      <c r="N91" s="68">
        <f>'D3-Capex'!I57</f>
        <v>0</v>
      </c>
      <c r="O91" s="66">
        <f>'D3-Capex'!J57</f>
        <v>0</v>
      </c>
      <c r="P91" s="67">
        <f>'D3-Capex'!K57</f>
        <v>0</v>
      </c>
      <c r="Q91" s="714"/>
    </row>
    <row r="92" spans="1:17" x14ac:dyDescent="0.25">
      <c r="A92" s="263" t="s">
        <v>856</v>
      </c>
      <c r="B92" s="295"/>
      <c r="C92" s="295"/>
      <c r="D92" s="295"/>
      <c r="E92" s="295"/>
      <c r="F92" s="295"/>
      <c r="G92" s="295"/>
      <c r="H92" s="295"/>
      <c r="I92" s="295"/>
      <c r="J92" s="295"/>
      <c r="K92" s="295"/>
      <c r="L92" s="295"/>
      <c r="M92" s="530">
        <f t="shared" si="10"/>
        <v>0</v>
      </c>
      <c r="N92" s="68">
        <f>'D3-Capex'!I58</f>
        <v>0</v>
      </c>
      <c r="O92" s="66">
        <f>'D3-Capex'!J58</f>
        <v>0</v>
      </c>
      <c r="P92" s="67">
        <f>'D3-Capex'!K58</f>
        <v>0</v>
      </c>
      <c r="Q92" s="714"/>
    </row>
    <row r="93" spans="1:17" x14ac:dyDescent="0.25">
      <c r="A93" s="263" t="s">
        <v>862</v>
      </c>
      <c r="B93" s="295"/>
      <c r="C93" s="295"/>
      <c r="D93" s="295"/>
      <c r="E93" s="295"/>
      <c r="F93" s="295"/>
      <c r="G93" s="295"/>
      <c r="H93" s="295"/>
      <c r="I93" s="295"/>
      <c r="J93" s="295"/>
      <c r="K93" s="295"/>
      <c r="L93" s="295"/>
      <c r="M93" s="530">
        <f t="shared" si="10"/>
        <v>0</v>
      </c>
      <c r="N93" s="68">
        <f>'D3-Capex'!I59</f>
        <v>0</v>
      </c>
      <c r="O93" s="66">
        <f>'D3-Capex'!J59</f>
        <v>0</v>
      </c>
      <c r="P93" s="67">
        <f>'D3-Capex'!K59</f>
        <v>0</v>
      </c>
      <c r="Q93" s="714"/>
    </row>
    <row r="94" spans="1:17" x14ac:dyDescent="0.25">
      <c r="A94" s="263" t="s">
        <v>865</v>
      </c>
      <c r="B94" s="295"/>
      <c r="C94" s="295"/>
      <c r="D94" s="295"/>
      <c r="E94" s="295"/>
      <c r="F94" s="295"/>
      <c r="G94" s="295"/>
      <c r="H94" s="295"/>
      <c r="I94" s="295"/>
      <c r="J94" s="295"/>
      <c r="K94" s="295"/>
      <c r="L94" s="295"/>
      <c r="M94" s="530">
        <f t="shared" si="10"/>
        <v>0</v>
      </c>
      <c r="N94" s="68">
        <f>'D3-Capex'!I60</f>
        <v>0</v>
      </c>
      <c r="O94" s="66">
        <f>'D3-Capex'!J60</f>
        <v>0</v>
      </c>
      <c r="P94" s="67">
        <f>'D3-Capex'!K60</f>
        <v>0</v>
      </c>
      <c r="Q94" s="714"/>
    </row>
    <row r="95" spans="1:17" x14ac:dyDescent="0.25">
      <c r="A95" s="263" t="s">
        <v>852</v>
      </c>
      <c r="B95" s="295"/>
      <c r="C95" s="295"/>
      <c r="D95" s="295"/>
      <c r="E95" s="295"/>
      <c r="F95" s="295"/>
      <c r="G95" s="295"/>
      <c r="H95" s="295"/>
      <c r="I95" s="295"/>
      <c r="J95" s="295"/>
      <c r="K95" s="295"/>
      <c r="L95" s="295"/>
      <c r="M95" s="530">
        <f t="shared" si="10"/>
        <v>0</v>
      </c>
      <c r="N95" s="68">
        <f>'D3-Capex'!I61</f>
        <v>0</v>
      </c>
      <c r="O95" s="66">
        <f>'D3-Capex'!J61</f>
        <v>0</v>
      </c>
      <c r="P95" s="67">
        <f>'D3-Capex'!K61</f>
        <v>0</v>
      </c>
      <c r="Q95" s="714"/>
    </row>
    <row r="96" spans="1:17" x14ac:dyDescent="0.25">
      <c r="A96" s="239" t="s">
        <v>892</v>
      </c>
      <c r="B96" s="155">
        <f>SUM(B97:B101)</f>
        <v>0</v>
      </c>
      <c r="C96" s="155">
        <f t="shared" ref="C96" si="35">SUM(C97:C101)</f>
        <v>0</v>
      </c>
      <c r="D96" s="155">
        <f>SUM(D97:D101)</f>
        <v>0</v>
      </c>
      <c r="E96" s="155">
        <f t="shared" ref="E96" si="36">SUM(E97:E101)</f>
        <v>0</v>
      </c>
      <c r="F96" s="155">
        <f>SUM(F97:F101)</f>
        <v>0</v>
      </c>
      <c r="G96" s="155">
        <f t="shared" ref="G96" si="37">SUM(G97:G101)</f>
        <v>0</v>
      </c>
      <c r="H96" s="155">
        <f>SUM(H97:H101)</f>
        <v>0</v>
      </c>
      <c r="I96" s="155">
        <f t="shared" ref="I96" si="38">SUM(I97:I101)</f>
        <v>0</v>
      </c>
      <c r="J96" s="155">
        <f>SUM(J97:J101)</f>
        <v>0</v>
      </c>
      <c r="K96" s="155">
        <f t="shared" ref="K96:L96" si="39">SUM(K97:K101)</f>
        <v>0</v>
      </c>
      <c r="L96" s="155">
        <f t="shared" si="39"/>
        <v>0</v>
      </c>
      <c r="M96" s="530">
        <f t="shared" si="10"/>
        <v>0</v>
      </c>
      <c r="N96" s="68">
        <f>'D3-Capex'!I62</f>
        <v>0</v>
      </c>
      <c r="O96" s="66">
        <f>'D3-Capex'!J62</f>
        <v>0</v>
      </c>
      <c r="P96" s="67">
        <f>'D3-Capex'!K62</f>
        <v>0</v>
      </c>
      <c r="Q96" s="714"/>
    </row>
    <row r="97" spans="1:17" x14ac:dyDescent="0.25">
      <c r="A97" s="263" t="s">
        <v>893</v>
      </c>
      <c r="B97" s="295"/>
      <c r="C97" s="295"/>
      <c r="D97" s="295"/>
      <c r="E97" s="295"/>
      <c r="F97" s="295"/>
      <c r="G97" s="295"/>
      <c r="H97" s="295"/>
      <c r="I97" s="295"/>
      <c r="J97" s="295"/>
      <c r="K97" s="295"/>
      <c r="L97" s="295"/>
      <c r="M97" s="530">
        <f t="shared" si="10"/>
        <v>0</v>
      </c>
      <c r="N97" s="68">
        <f>'D3-Capex'!I63</f>
        <v>0</v>
      </c>
      <c r="O97" s="66">
        <f>'D3-Capex'!J63</f>
        <v>0</v>
      </c>
      <c r="P97" s="67">
        <f>'D3-Capex'!K63</f>
        <v>0</v>
      </c>
      <c r="Q97" s="714"/>
    </row>
    <row r="98" spans="1:17" x14ac:dyDescent="0.25">
      <c r="A98" s="263" t="s">
        <v>894</v>
      </c>
      <c r="B98" s="295"/>
      <c r="C98" s="295"/>
      <c r="D98" s="295"/>
      <c r="E98" s="295"/>
      <c r="F98" s="295"/>
      <c r="G98" s="295"/>
      <c r="H98" s="295"/>
      <c r="I98" s="295"/>
      <c r="J98" s="295"/>
      <c r="K98" s="295"/>
      <c r="L98" s="295"/>
      <c r="M98" s="530">
        <f t="shared" si="10"/>
        <v>0</v>
      </c>
      <c r="N98" s="68">
        <f>'D3-Capex'!I64</f>
        <v>0</v>
      </c>
      <c r="O98" s="66">
        <f>'D3-Capex'!J64</f>
        <v>0</v>
      </c>
      <c r="P98" s="67">
        <f>'D3-Capex'!K64</f>
        <v>0</v>
      </c>
      <c r="Q98" s="714"/>
    </row>
    <row r="99" spans="1:17" x14ac:dyDescent="0.25">
      <c r="A99" s="263" t="s">
        <v>895</v>
      </c>
      <c r="B99" s="295"/>
      <c r="C99" s="295"/>
      <c r="D99" s="295"/>
      <c r="E99" s="295"/>
      <c r="F99" s="295"/>
      <c r="G99" s="295"/>
      <c r="H99" s="295"/>
      <c r="I99" s="295"/>
      <c r="J99" s="295"/>
      <c r="K99" s="295"/>
      <c r="L99" s="295"/>
      <c r="M99" s="530">
        <f t="shared" si="10"/>
        <v>0</v>
      </c>
      <c r="N99" s="68">
        <f>'D3-Capex'!I65</f>
        <v>0</v>
      </c>
      <c r="O99" s="66">
        <f>'D3-Capex'!J65</f>
        <v>0</v>
      </c>
      <c r="P99" s="67">
        <f>'D3-Capex'!K65</f>
        <v>0</v>
      </c>
      <c r="Q99" s="714"/>
    </row>
    <row r="100" spans="1:17" x14ac:dyDescent="0.25">
      <c r="A100" s="263" t="s">
        <v>896</v>
      </c>
      <c r="B100" s="295"/>
      <c r="C100" s="295"/>
      <c r="D100" s="295"/>
      <c r="E100" s="295"/>
      <c r="F100" s="295"/>
      <c r="G100" s="295"/>
      <c r="H100" s="295"/>
      <c r="I100" s="295"/>
      <c r="J100" s="295"/>
      <c r="K100" s="295"/>
      <c r="L100" s="295"/>
      <c r="M100" s="530">
        <f t="shared" si="10"/>
        <v>0</v>
      </c>
      <c r="N100" s="68">
        <f>'D3-Capex'!I66</f>
        <v>0</v>
      </c>
      <c r="O100" s="66">
        <f>'D3-Capex'!J66</f>
        <v>0</v>
      </c>
      <c r="P100" s="67">
        <f>'D3-Capex'!K66</f>
        <v>0</v>
      </c>
      <c r="Q100" s="714"/>
    </row>
    <row r="101" spans="1:17" x14ac:dyDescent="0.25">
      <c r="A101" s="263" t="s">
        <v>852</v>
      </c>
      <c r="B101" s="295"/>
      <c r="C101" s="295"/>
      <c r="D101" s="295"/>
      <c r="E101" s="295"/>
      <c r="F101" s="295"/>
      <c r="G101" s="295"/>
      <c r="H101" s="295"/>
      <c r="I101" s="295"/>
      <c r="J101" s="295"/>
      <c r="K101" s="295"/>
      <c r="L101" s="295"/>
      <c r="M101" s="530">
        <f t="shared" si="10"/>
        <v>0</v>
      </c>
      <c r="N101" s="68">
        <f>'D3-Capex'!I67</f>
        <v>0</v>
      </c>
      <c r="O101" s="66">
        <f>'D3-Capex'!J67</f>
        <v>0</v>
      </c>
      <c r="P101" s="67">
        <f>'D3-Capex'!K67</f>
        <v>0</v>
      </c>
      <c r="Q101" s="714"/>
    </row>
    <row r="102" spans="1:17" x14ac:dyDescent="0.25">
      <c r="A102" s="235" t="s">
        <v>897</v>
      </c>
      <c r="B102" s="155">
        <f>SUM(B103:B106)</f>
        <v>0</v>
      </c>
      <c r="C102" s="155">
        <f t="shared" ref="C102" si="40">SUM(C103:C106)</f>
        <v>0</v>
      </c>
      <c r="D102" s="155">
        <f>SUM(D103:D106)</f>
        <v>0</v>
      </c>
      <c r="E102" s="155">
        <f t="shared" ref="E102" si="41">SUM(E103:E106)</f>
        <v>0</v>
      </c>
      <c r="F102" s="155">
        <f>SUM(F103:F106)</f>
        <v>0</v>
      </c>
      <c r="G102" s="155">
        <f t="shared" ref="G102" si="42">SUM(G103:G106)</f>
        <v>0</v>
      </c>
      <c r="H102" s="155">
        <f>SUM(H103:H106)</f>
        <v>0</v>
      </c>
      <c r="I102" s="155">
        <f t="shared" ref="I102" si="43">SUM(I103:I106)</f>
        <v>0</v>
      </c>
      <c r="J102" s="155">
        <f>SUM(J103:J106)</f>
        <v>0</v>
      </c>
      <c r="K102" s="155">
        <f t="shared" ref="K102:L102" si="44">SUM(K103:K106)</f>
        <v>0</v>
      </c>
      <c r="L102" s="155">
        <f t="shared" si="44"/>
        <v>0</v>
      </c>
      <c r="M102" s="530">
        <f t="shared" si="10"/>
        <v>0</v>
      </c>
      <c r="N102" s="68">
        <f>'D3-Capex'!I68</f>
        <v>0</v>
      </c>
      <c r="O102" s="66">
        <f>'D3-Capex'!J68</f>
        <v>0</v>
      </c>
      <c r="P102" s="67">
        <f>'D3-Capex'!K68</f>
        <v>0</v>
      </c>
      <c r="Q102" s="714"/>
    </row>
    <row r="103" spans="1:17" x14ac:dyDescent="0.25">
      <c r="A103" s="263" t="s">
        <v>898</v>
      </c>
      <c r="B103" s="295"/>
      <c r="C103" s="295"/>
      <c r="D103" s="295"/>
      <c r="E103" s="295"/>
      <c r="F103" s="295"/>
      <c r="G103" s="295"/>
      <c r="H103" s="295"/>
      <c r="I103" s="295"/>
      <c r="J103" s="295"/>
      <c r="K103" s="295"/>
      <c r="L103" s="295"/>
      <c r="M103" s="530">
        <f t="shared" si="10"/>
        <v>0</v>
      </c>
      <c r="N103" s="68">
        <f>'D3-Capex'!I69</f>
        <v>0</v>
      </c>
      <c r="O103" s="66">
        <f>'D3-Capex'!J69</f>
        <v>0</v>
      </c>
      <c r="P103" s="67">
        <f>'D3-Capex'!K69</f>
        <v>0</v>
      </c>
      <c r="Q103" s="714"/>
    </row>
    <row r="104" spans="1:17" x14ac:dyDescent="0.25">
      <c r="A104" s="263" t="s">
        <v>899</v>
      </c>
      <c r="B104" s="295"/>
      <c r="C104" s="295"/>
      <c r="D104" s="295"/>
      <c r="E104" s="295"/>
      <c r="F104" s="295"/>
      <c r="G104" s="295"/>
      <c r="H104" s="295"/>
      <c r="I104" s="295"/>
      <c r="J104" s="295"/>
      <c r="K104" s="295"/>
      <c r="L104" s="295"/>
      <c r="M104" s="530">
        <f t="shared" si="10"/>
        <v>0</v>
      </c>
      <c r="N104" s="68">
        <f>'D3-Capex'!I70</f>
        <v>0</v>
      </c>
      <c r="O104" s="66">
        <f>'D3-Capex'!J70</f>
        <v>0</v>
      </c>
      <c r="P104" s="67">
        <f>'D3-Capex'!K70</f>
        <v>0</v>
      </c>
      <c r="Q104" s="714"/>
    </row>
    <row r="105" spans="1:17" x14ac:dyDescent="0.25">
      <c r="A105" s="263" t="s">
        <v>900</v>
      </c>
      <c r="B105" s="295"/>
      <c r="C105" s="295"/>
      <c r="D105" s="295"/>
      <c r="E105" s="295"/>
      <c r="F105" s="295"/>
      <c r="G105" s="295"/>
      <c r="H105" s="295"/>
      <c r="I105" s="295"/>
      <c r="J105" s="295"/>
      <c r="K105" s="295"/>
      <c r="L105" s="295"/>
      <c r="M105" s="530">
        <f t="shared" ref="M105:M168" si="45">N105-SUM(B105:L105)</f>
        <v>0</v>
      </c>
      <c r="N105" s="68">
        <f>'D3-Capex'!I71</f>
        <v>0</v>
      </c>
      <c r="O105" s="66">
        <f>'D3-Capex'!J71</f>
        <v>0</v>
      </c>
      <c r="P105" s="67">
        <f>'D3-Capex'!K71</f>
        <v>0</v>
      </c>
      <c r="Q105" s="714"/>
    </row>
    <row r="106" spans="1:17" x14ac:dyDescent="0.25">
      <c r="A106" s="263" t="s">
        <v>852</v>
      </c>
      <c r="B106" s="295"/>
      <c r="C106" s="295"/>
      <c r="D106" s="295"/>
      <c r="E106" s="295"/>
      <c r="F106" s="295"/>
      <c r="G106" s="295"/>
      <c r="H106" s="295"/>
      <c r="I106" s="295"/>
      <c r="J106" s="295"/>
      <c r="K106" s="295"/>
      <c r="L106" s="295"/>
      <c r="M106" s="530">
        <f t="shared" si="45"/>
        <v>0</v>
      </c>
      <c r="N106" s="68">
        <f>'D3-Capex'!I72</f>
        <v>0</v>
      </c>
      <c r="O106" s="66">
        <f>'D3-Capex'!J72</f>
        <v>0</v>
      </c>
      <c r="P106" s="67">
        <f>'D3-Capex'!K72</f>
        <v>0</v>
      </c>
      <c r="Q106" s="714"/>
    </row>
    <row r="107" spans="1:17" x14ac:dyDescent="0.25">
      <c r="A107" s="267"/>
      <c r="B107" s="66"/>
      <c r="C107" s="66"/>
      <c r="D107" s="66"/>
      <c r="E107" s="66"/>
      <c r="F107" s="66"/>
      <c r="G107" s="66"/>
      <c r="H107" s="66"/>
      <c r="I107" s="66"/>
      <c r="J107" s="66"/>
      <c r="K107" s="66"/>
      <c r="L107" s="66"/>
      <c r="M107" s="530"/>
      <c r="N107" s="68"/>
      <c r="O107" s="66"/>
      <c r="P107" s="67"/>
      <c r="Q107" s="714"/>
    </row>
    <row r="108" spans="1:17" x14ac:dyDescent="0.25">
      <c r="A108" s="256" t="s">
        <v>901</v>
      </c>
      <c r="B108" s="145">
        <f>B109+B132</f>
        <v>2155972.5758099998</v>
      </c>
      <c r="C108" s="145">
        <f t="shared" ref="C108" si="46">C109+C132</f>
        <v>2155972.5758099998</v>
      </c>
      <c r="D108" s="145">
        <f>D109+D132</f>
        <v>2155972.5758099998</v>
      </c>
      <c r="E108" s="145">
        <f t="shared" ref="E108" si="47">E109+E132</f>
        <v>2155972.5758099998</v>
      </c>
      <c r="F108" s="145">
        <f>F109+F132</f>
        <v>2155972.5758099998</v>
      </c>
      <c r="G108" s="145">
        <f t="shared" ref="G108" si="48">G109+G132</f>
        <v>2155972.5758099998</v>
      </c>
      <c r="H108" s="145">
        <f>H109+H132</f>
        <v>2155972.5758099998</v>
      </c>
      <c r="I108" s="145">
        <f t="shared" ref="I108" si="49">I109+I132</f>
        <v>2155972.5758099998</v>
      </c>
      <c r="J108" s="145">
        <f>J109+J132</f>
        <v>2155972.5758099998</v>
      </c>
      <c r="K108" s="145">
        <f t="shared" ref="K108:L108" si="50">K109+K132</f>
        <v>2155972.5758099998</v>
      </c>
      <c r="L108" s="145">
        <f t="shared" si="50"/>
        <v>2155972.5758099998</v>
      </c>
      <c r="M108" s="530">
        <f t="shared" si="45"/>
        <v>2155972.5758099966</v>
      </c>
      <c r="N108" s="68">
        <f>'D3-Capex'!I74</f>
        <v>25871670.909719996</v>
      </c>
      <c r="O108" s="66">
        <f>'D3-Capex'!J74</f>
        <v>26691988.087928239</v>
      </c>
      <c r="P108" s="67">
        <f>'D3-Capex'!K74</f>
        <v>27144445.455797084</v>
      </c>
      <c r="Q108" s="714"/>
    </row>
    <row r="109" spans="1:17" x14ac:dyDescent="0.25">
      <c r="A109" s="235" t="s">
        <v>902</v>
      </c>
      <c r="B109" s="150">
        <f>SUM(B110:B131)</f>
        <v>2155972.5758099998</v>
      </c>
      <c r="C109" s="150">
        <f t="shared" ref="C109" si="51">SUM(C110:C131)</f>
        <v>2155972.5758099998</v>
      </c>
      <c r="D109" s="150">
        <f>SUM(D110:D131)</f>
        <v>2155972.5758099998</v>
      </c>
      <c r="E109" s="150">
        <f t="shared" ref="E109" si="52">SUM(E110:E131)</f>
        <v>2155972.5758099998</v>
      </c>
      <c r="F109" s="150">
        <f>SUM(F110:F131)</f>
        <v>2155972.5758099998</v>
      </c>
      <c r="G109" s="150">
        <f t="shared" ref="G109" si="53">SUM(G110:G131)</f>
        <v>2155972.5758099998</v>
      </c>
      <c r="H109" s="150">
        <f>SUM(H110:H131)</f>
        <v>2155972.5758099998</v>
      </c>
      <c r="I109" s="150">
        <f t="shared" ref="I109" si="54">SUM(I110:I131)</f>
        <v>2155972.5758099998</v>
      </c>
      <c r="J109" s="150">
        <f>SUM(J110:J131)</f>
        <v>2155972.5758099998</v>
      </c>
      <c r="K109" s="150">
        <f t="shared" ref="K109:L109" si="55">SUM(K110:K131)</f>
        <v>2155972.5758099998</v>
      </c>
      <c r="L109" s="150">
        <f t="shared" si="55"/>
        <v>2155972.5758099998</v>
      </c>
      <c r="M109" s="530">
        <f t="shared" si="45"/>
        <v>2155972.5758099966</v>
      </c>
      <c r="N109" s="68">
        <f>'D3-Capex'!I75</f>
        <v>25871670.909719996</v>
      </c>
      <c r="O109" s="66">
        <f>'D3-Capex'!J75</f>
        <v>26691988.087928239</v>
      </c>
      <c r="P109" s="67">
        <f>'D3-Capex'!K75</f>
        <v>27144445.455797084</v>
      </c>
      <c r="Q109" s="714"/>
    </row>
    <row r="110" spans="1:17" x14ac:dyDescent="0.25">
      <c r="A110" s="263" t="s">
        <v>903</v>
      </c>
      <c r="B110" s="295"/>
      <c r="C110" s="295"/>
      <c r="D110" s="295"/>
      <c r="E110" s="295"/>
      <c r="F110" s="295"/>
      <c r="G110" s="295"/>
      <c r="H110" s="295"/>
      <c r="I110" s="295"/>
      <c r="J110" s="295"/>
      <c r="K110" s="295"/>
      <c r="L110" s="295"/>
      <c r="M110" s="530">
        <f t="shared" si="45"/>
        <v>0</v>
      </c>
      <c r="N110" s="68">
        <f>'D3-Capex'!I76</f>
        <v>0</v>
      </c>
      <c r="O110" s="66">
        <f>'D3-Capex'!J76</f>
        <v>0</v>
      </c>
      <c r="P110" s="67">
        <f>'D3-Capex'!K76</f>
        <v>0</v>
      </c>
      <c r="Q110" s="714"/>
    </row>
    <row r="111" spans="1:17" x14ac:dyDescent="0.25">
      <c r="A111" s="263" t="s">
        <v>904</v>
      </c>
      <c r="B111" s="295">
        <v>2155972.5758099998</v>
      </c>
      <c r="C111" s="295">
        <v>2155972.5758099998</v>
      </c>
      <c r="D111" s="295">
        <v>2155972.5758099998</v>
      </c>
      <c r="E111" s="295">
        <v>2155972.5758099998</v>
      </c>
      <c r="F111" s="295">
        <v>2155972.5758099998</v>
      </c>
      <c r="G111" s="295">
        <v>2155972.5758099998</v>
      </c>
      <c r="H111" s="295">
        <v>2155972.5758099998</v>
      </c>
      <c r="I111" s="295">
        <v>2155972.5758099998</v>
      </c>
      <c r="J111" s="295">
        <v>2155972.5758099998</v>
      </c>
      <c r="K111" s="295">
        <v>2155972.5758099998</v>
      </c>
      <c r="L111" s="295">
        <v>2155972.5758099998</v>
      </c>
      <c r="M111" s="530">
        <v>2155972.5758099998</v>
      </c>
      <c r="N111" s="68">
        <f>'D3-Capex'!I77</f>
        <v>25871670.909719996</v>
      </c>
      <c r="O111" s="66">
        <f>'D3-Capex'!J77</f>
        <v>26691988.087928239</v>
      </c>
      <c r="P111" s="67">
        <f>'D3-Capex'!K77</f>
        <v>27144445.455797084</v>
      </c>
      <c r="Q111" s="714"/>
    </row>
    <row r="112" spans="1:17" x14ac:dyDescent="0.25">
      <c r="A112" s="263" t="s">
        <v>905</v>
      </c>
      <c r="B112" s="295"/>
      <c r="C112" s="295"/>
      <c r="D112" s="295"/>
      <c r="E112" s="295"/>
      <c r="F112" s="295"/>
      <c r="G112" s="295"/>
      <c r="H112" s="295"/>
      <c r="I112" s="295"/>
      <c r="J112" s="295"/>
      <c r="K112" s="295"/>
      <c r="L112" s="295"/>
      <c r="M112" s="530">
        <f t="shared" si="45"/>
        <v>0</v>
      </c>
      <c r="N112" s="68">
        <f>'D3-Capex'!I78</f>
        <v>0</v>
      </c>
      <c r="O112" s="66">
        <f>'D3-Capex'!J78</f>
        <v>0</v>
      </c>
      <c r="P112" s="67">
        <f>'D3-Capex'!K78</f>
        <v>0</v>
      </c>
      <c r="Q112" s="714"/>
    </row>
    <row r="113" spans="1:17" x14ac:dyDescent="0.25">
      <c r="A113" s="263" t="s">
        <v>906</v>
      </c>
      <c r="B113" s="295"/>
      <c r="C113" s="295"/>
      <c r="D113" s="295"/>
      <c r="E113" s="295"/>
      <c r="F113" s="295"/>
      <c r="G113" s="295"/>
      <c r="H113" s="295"/>
      <c r="I113" s="295"/>
      <c r="J113" s="295"/>
      <c r="K113" s="295"/>
      <c r="L113" s="295"/>
      <c r="M113" s="530">
        <f t="shared" si="45"/>
        <v>0</v>
      </c>
      <c r="N113" s="68">
        <f>'D3-Capex'!I79</f>
        <v>0</v>
      </c>
      <c r="O113" s="66">
        <f>'D3-Capex'!J79</f>
        <v>0</v>
      </c>
      <c r="P113" s="67">
        <f>'D3-Capex'!K79</f>
        <v>0</v>
      </c>
      <c r="Q113" s="714"/>
    </row>
    <row r="114" spans="1:17" x14ac:dyDescent="0.25">
      <c r="A114" s="263" t="s">
        <v>907</v>
      </c>
      <c r="B114" s="295"/>
      <c r="C114" s="295"/>
      <c r="D114" s="295"/>
      <c r="E114" s="295"/>
      <c r="F114" s="295"/>
      <c r="G114" s="295"/>
      <c r="H114" s="295"/>
      <c r="I114" s="295"/>
      <c r="J114" s="295"/>
      <c r="K114" s="295"/>
      <c r="L114" s="295"/>
      <c r="M114" s="530">
        <f t="shared" si="45"/>
        <v>0</v>
      </c>
      <c r="N114" s="68">
        <f>'D3-Capex'!I80</f>
        <v>0</v>
      </c>
      <c r="O114" s="66">
        <f>'D3-Capex'!J80</f>
        <v>0</v>
      </c>
      <c r="P114" s="67">
        <f>'D3-Capex'!K80</f>
        <v>0</v>
      </c>
      <c r="Q114" s="714"/>
    </row>
    <row r="115" spans="1:17" x14ac:dyDescent="0.25">
      <c r="A115" s="263" t="s">
        <v>908</v>
      </c>
      <c r="B115" s="295"/>
      <c r="C115" s="295"/>
      <c r="D115" s="295"/>
      <c r="E115" s="295"/>
      <c r="F115" s="295"/>
      <c r="G115" s="295"/>
      <c r="H115" s="295"/>
      <c r="I115" s="295"/>
      <c r="J115" s="295"/>
      <c r="K115" s="295"/>
      <c r="L115" s="295"/>
      <c r="M115" s="530">
        <f t="shared" si="45"/>
        <v>0</v>
      </c>
      <c r="N115" s="68">
        <f>'D3-Capex'!I81</f>
        <v>0</v>
      </c>
      <c r="O115" s="66">
        <f>'D3-Capex'!J81</f>
        <v>0</v>
      </c>
      <c r="P115" s="67">
        <f>'D3-Capex'!K81</f>
        <v>0</v>
      </c>
      <c r="Q115" s="714"/>
    </row>
    <row r="116" spans="1:17" x14ac:dyDescent="0.25">
      <c r="A116" s="263" t="s">
        <v>909</v>
      </c>
      <c r="B116" s="295"/>
      <c r="C116" s="295"/>
      <c r="D116" s="295"/>
      <c r="E116" s="295"/>
      <c r="F116" s="295"/>
      <c r="G116" s="295"/>
      <c r="H116" s="295"/>
      <c r="I116" s="295"/>
      <c r="J116" s="295"/>
      <c r="K116" s="295"/>
      <c r="L116" s="295"/>
      <c r="M116" s="530">
        <f t="shared" si="45"/>
        <v>0</v>
      </c>
      <c r="N116" s="68">
        <f>'D3-Capex'!I82</f>
        <v>0</v>
      </c>
      <c r="O116" s="66">
        <f>'D3-Capex'!J82</f>
        <v>0</v>
      </c>
      <c r="P116" s="67">
        <f>'D3-Capex'!K82</f>
        <v>0</v>
      </c>
      <c r="Q116" s="714"/>
    </row>
    <row r="117" spans="1:17" x14ac:dyDescent="0.25">
      <c r="A117" s="263" t="s">
        <v>910</v>
      </c>
      <c r="B117" s="295"/>
      <c r="C117" s="295"/>
      <c r="D117" s="295"/>
      <c r="E117" s="295"/>
      <c r="F117" s="295"/>
      <c r="G117" s="295"/>
      <c r="H117" s="295"/>
      <c r="I117" s="295"/>
      <c r="J117" s="295"/>
      <c r="K117" s="295"/>
      <c r="L117" s="295"/>
      <c r="M117" s="530">
        <f t="shared" si="45"/>
        <v>0</v>
      </c>
      <c r="N117" s="68">
        <f>'D3-Capex'!I83</f>
        <v>0</v>
      </c>
      <c r="O117" s="66">
        <f>'D3-Capex'!J83</f>
        <v>0</v>
      </c>
      <c r="P117" s="67">
        <f>'D3-Capex'!K83</f>
        <v>0</v>
      </c>
      <c r="Q117" s="714"/>
    </row>
    <row r="118" spans="1:17" x14ac:dyDescent="0.25">
      <c r="A118" s="263" t="s">
        <v>911</v>
      </c>
      <c r="B118" s="295"/>
      <c r="C118" s="295"/>
      <c r="D118" s="295"/>
      <c r="E118" s="295"/>
      <c r="F118" s="295"/>
      <c r="G118" s="295"/>
      <c r="H118" s="295"/>
      <c r="I118" s="295"/>
      <c r="J118" s="295"/>
      <c r="K118" s="295"/>
      <c r="L118" s="295"/>
      <c r="M118" s="530">
        <f t="shared" si="45"/>
        <v>0</v>
      </c>
      <c r="N118" s="68">
        <f>'D3-Capex'!I84</f>
        <v>0</v>
      </c>
      <c r="O118" s="66">
        <f>'D3-Capex'!J84</f>
        <v>0</v>
      </c>
      <c r="P118" s="67">
        <f>'D3-Capex'!K84</f>
        <v>0</v>
      </c>
      <c r="Q118" s="714"/>
    </row>
    <row r="119" spans="1:17" x14ac:dyDescent="0.25">
      <c r="A119" s="263" t="s">
        <v>88</v>
      </c>
      <c r="B119" s="295"/>
      <c r="C119" s="295"/>
      <c r="D119" s="295"/>
      <c r="E119" s="295"/>
      <c r="F119" s="295"/>
      <c r="G119" s="295"/>
      <c r="H119" s="295"/>
      <c r="I119" s="295"/>
      <c r="J119" s="295"/>
      <c r="K119" s="295"/>
      <c r="L119" s="295"/>
      <c r="M119" s="530">
        <f t="shared" si="45"/>
        <v>0</v>
      </c>
      <c r="N119" s="68">
        <f>'D3-Capex'!I85</f>
        <v>0</v>
      </c>
      <c r="O119" s="66">
        <f>'D3-Capex'!J85</f>
        <v>0</v>
      </c>
      <c r="P119" s="67">
        <f>'D3-Capex'!K85</f>
        <v>0</v>
      </c>
      <c r="Q119" s="714"/>
    </row>
    <row r="120" spans="1:17" x14ac:dyDescent="0.25">
      <c r="A120" s="263" t="s">
        <v>912</v>
      </c>
      <c r="B120" s="295"/>
      <c r="C120" s="295"/>
      <c r="D120" s="295"/>
      <c r="E120" s="295"/>
      <c r="F120" s="295"/>
      <c r="G120" s="295"/>
      <c r="H120" s="295"/>
      <c r="I120" s="295"/>
      <c r="J120" s="295"/>
      <c r="K120" s="295"/>
      <c r="L120" s="295"/>
      <c r="M120" s="530">
        <f t="shared" si="45"/>
        <v>0</v>
      </c>
      <c r="N120" s="68">
        <f>'D3-Capex'!I86</f>
        <v>0</v>
      </c>
      <c r="O120" s="66">
        <f>'D3-Capex'!J86</f>
        <v>0</v>
      </c>
      <c r="P120" s="67">
        <f>'D3-Capex'!K86</f>
        <v>0</v>
      </c>
      <c r="Q120" s="714"/>
    </row>
    <row r="121" spans="1:17" x14ac:dyDescent="0.25">
      <c r="A121" s="263" t="s">
        <v>913</v>
      </c>
      <c r="B121" s="295"/>
      <c r="C121" s="295"/>
      <c r="D121" s="295"/>
      <c r="E121" s="295"/>
      <c r="F121" s="295"/>
      <c r="G121" s="295"/>
      <c r="H121" s="295"/>
      <c r="I121" s="295"/>
      <c r="J121" s="295"/>
      <c r="K121" s="295"/>
      <c r="L121" s="295"/>
      <c r="M121" s="530">
        <f t="shared" si="45"/>
        <v>0</v>
      </c>
      <c r="N121" s="68">
        <f>'D3-Capex'!I87</f>
        <v>0</v>
      </c>
      <c r="O121" s="66">
        <f>'D3-Capex'!J87</f>
        <v>0</v>
      </c>
      <c r="P121" s="67">
        <f>'D3-Capex'!K87</f>
        <v>0</v>
      </c>
      <c r="Q121" s="714"/>
    </row>
    <row r="122" spans="1:17" x14ac:dyDescent="0.25">
      <c r="A122" s="263" t="s">
        <v>1012</v>
      </c>
      <c r="B122" s="295"/>
      <c r="C122" s="295"/>
      <c r="D122" s="295"/>
      <c r="E122" s="295"/>
      <c r="F122" s="295"/>
      <c r="G122" s="295"/>
      <c r="H122" s="295"/>
      <c r="I122" s="295"/>
      <c r="J122" s="295"/>
      <c r="K122" s="295"/>
      <c r="L122" s="295"/>
      <c r="M122" s="530">
        <f t="shared" si="45"/>
        <v>0</v>
      </c>
      <c r="N122" s="68">
        <f>'D3-Capex'!I88</f>
        <v>0</v>
      </c>
      <c r="O122" s="66">
        <f>'D3-Capex'!J88</f>
        <v>0</v>
      </c>
      <c r="P122" s="67">
        <f>'D3-Capex'!K88</f>
        <v>0</v>
      </c>
      <c r="Q122" s="714"/>
    </row>
    <row r="123" spans="1:17" x14ac:dyDescent="0.25">
      <c r="A123" s="263" t="s">
        <v>914</v>
      </c>
      <c r="B123" s="295"/>
      <c r="C123" s="295"/>
      <c r="D123" s="295"/>
      <c r="E123" s="295"/>
      <c r="F123" s="295"/>
      <c r="G123" s="295"/>
      <c r="H123" s="295"/>
      <c r="I123" s="295"/>
      <c r="J123" s="295"/>
      <c r="K123" s="295"/>
      <c r="L123" s="295"/>
      <c r="M123" s="530">
        <f t="shared" si="45"/>
        <v>0</v>
      </c>
      <c r="N123" s="68">
        <f>'D3-Capex'!I89</f>
        <v>0</v>
      </c>
      <c r="O123" s="66">
        <f>'D3-Capex'!J89</f>
        <v>0</v>
      </c>
      <c r="P123" s="67">
        <f>'D3-Capex'!K89</f>
        <v>0</v>
      </c>
      <c r="Q123" s="714"/>
    </row>
    <row r="124" spans="1:17" x14ac:dyDescent="0.25">
      <c r="A124" s="263" t="s">
        <v>915</v>
      </c>
      <c r="B124" s="295"/>
      <c r="C124" s="295"/>
      <c r="D124" s="295"/>
      <c r="E124" s="295"/>
      <c r="F124" s="295"/>
      <c r="G124" s="295"/>
      <c r="H124" s="295"/>
      <c r="I124" s="295"/>
      <c r="J124" s="295"/>
      <c r="K124" s="295"/>
      <c r="L124" s="295"/>
      <c r="M124" s="530">
        <f t="shared" si="45"/>
        <v>0</v>
      </c>
      <c r="N124" s="68">
        <f>'D3-Capex'!I90</f>
        <v>0</v>
      </c>
      <c r="O124" s="66">
        <f>'D3-Capex'!J90</f>
        <v>0</v>
      </c>
      <c r="P124" s="67">
        <f>'D3-Capex'!K90</f>
        <v>0</v>
      </c>
      <c r="Q124" s="714"/>
    </row>
    <row r="125" spans="1:17" x14ac:dyDescent="0.25">
      <c r="A125" s="263" t="s">
        <v>916</v>
      </c>
      <c r="B125" s="295"/>
      <c r="C125" s="295"/>
      <c r="D125" s="295"/>
      <c r="E125" s="295"/>
      <c r="F125" s="295"/>
      <c r="G125" s="295"/>
      <c r="H125" s="295"/>
      <c r="I125" s="295"/>
      <c r="J125" s="295"/>
      <c r="K125" s="295"/>
      <c r="L125" s="295"/>
      <c r="M125" s="530">
        <f t="shared" si="45"/>
        <v>0</v>
      </c>
      <c r="N125" s="68">
        <f>'D3-Capex'!I91</f>
        <v>0</v>
      </c>
      <c r="O125" s="66">
        <f>'D3-Capex'!J91</f>
        <v>0</v>
      </c>
      <c r="P125" s="67">
        <f>'D3-Capex'!K91</f>
        <v>0</v>
      </c>
      <c r="Q125" s="714"/>
    </row>
    <row r="126" spans="1:17" x14ac:dyDescent="0.25">
      <c r="A126" s="263" t="s">
        <v>11</v>
      </c>
      <c r="B126" s="295"/>
      <c r="C126" s="295"/>
      <c r="D126" s="295"/>
      <c r="E126" s="295"/>
      <c r="F126" s="295"/>
      <c r="G126" s="295"/>
      <c r="H126" s="295"/>
      <c r="I126" s="295"/>
      <c r="J126" s="295"/>
      <c r="K126" s="295"/>
      <c r="L126" s="295"/>
      <c r="M126" s="530">
        <f t="shared" si="45"/>
        <v>0</v>
      </c>
      <c r="N126" s="68">
        <f>'D3-Capex'!I92</f>
        <v>0</v>
      </c>
      <c r="O126" s="66">
        <f>'D3-Capex'!J92</f>
        <v>0</v>
      </c>
      <c r="P126" s="67">
        <f>'D3-Capex'!K92</f>
        <v>0</v>
      </c>
      <c r="Q126" s="714"/>
    </row>
    <row r="127" spans="1:17" x14ac:dyDescent="0.25">
      <c r="A127" s="263" t="s">
        <v>917</v>
      </c>
      <c r="B127" s="295"/>
      <c r="C127" s="295"/>
      <c r="D127" s="295"/>
      <c r="E127" s="295"/>
      <c r="F127" s="295"/>
      <c r="G127" s="295"/>
      <c r="H127" s="295"/>
      <c r="I127" s="295"/>
      <c r="J127" s="295"/>
      <c r="K127" s="295"/>
      <c r="L127" s="295"/>
      <c r="M127" s="530">
        <f t="shared" si="45"/>
        <v>0</v>
      </c>
      <c r="N127" s="68">
        <f>'D3-Capex'!I93</f>
        <v>0</v>
      </c>
      <c r="O127" s="66">
        <f>'D3-Capex'!J93</f>
        <v>0</v>
      </c>
      <c r="P127" s="67">
        <f>'D3-Capex'!K93</f>
        <v>0</v>
      </c>
      <c r="Q127" s="714"/>
    </row>
    <row r="128" spans="1:17" x14ac:dyDescent="0.25">
      <c r="A128" s="263" t="s">
        <v>10</v>
      </c>
      <c r="B128" s="295"/>
      <c r="C128" s="295"/>
      <c r="D128" s="295"/>
      <c r="E128" s="295"/>
      <c r="F128" s="295"/>
      <c r="G128" s="295"/>
      <c r="H128" s="295"/>
      <c r="I128" s="295"/>
      <c r="J128" s="295"/>
      <c r="K128" s="295"/>
      <c r="L128" s="295"/>
      <c r="M128" s="530">
        <f t="shared" si="45"/>
        <v>0</v>
      </c>
      <c r="N128" s="68">
        <f>'D3-Capex'!I94</f>
        <v>0</v>
      </c>
      <c r="O128" s="66">
        <f>'D3-Capex'!J94</f>
        <v>0</v>
      </c>
      <c r="P128" s="67">
        <f>'D3-Capex'!K94</f>
        <v>0</v>
      </c>
      <c r="Q128" s="714"/>
    </row>
    <row r="129" spans="1:17" x14ac:dyDescent="0.25">
      <c r="A129" s="263" t="s">
        <v>918</v>
      </c>
      <c r="B129" s="295"/>
      <c r="C129" s="295"/>
      <c r="D129" s="295"/>
      <c r="E129" s="295"/>
      <c r="F129" s="295"/>
      <c r="G129" s="295"/>
      <c r="H129" s="295"/>
      <c r="I129" s="295"/>
      <c r="J129" s="295"/>
      <c r="K129" s="295"/>
      <c r="L129" s="295"/>
      <c r="M129" s="530">
        <f t="shared" si="45"/>
        <v>0</v>
      </c>
      <c r="N129" s="68">
        <f>'D3-Capex'!I95</f>
        <v>0</v>
      </c>
      <c r="O129" s="66">
        <f>'D3-Capex'!J95</f>
        <v>0</v>
      </c>
      <c r="P129" s="67">
        <f>'D3-Capex'!K95</f>
        <v>0</v>
      </c>
      <c r="Q129" s="714"/>
    </row>
    <row r="130" spans="1:17" x14ac:dyDescent="0.25">
      <c r="A130" s="263" t="s">
        <v>919</v>
      </c>
      <c r="B130" s="295"/>
      <c r="C130" s="295"/>
      <c r="D130" s="295"/>
      <c r="E130" s="295"/>
      <c r="F130" s="295"/>
      <c r="G130" s="295"/>
      <c r="H130" s="295"/>
      <c r="I130" s="295"/>
      <c r="J130" s="295"/>
      <c r="K130" s="295"/>
      <c r="L130" s="295"/>
      <c r="M130" s="530">
        <f t="shared" si="45"/>
        <v>0</v>
      </c>
      <c r="N130" s="68">
        <f>'D3-Capex'!I96</f>
        <v>0</v>
      </c>
      <c r="O130" s="66">
        <f>'D3-Capex'!J96</f>
        <v>0</v>
      </c>
      <c r="P130" s="67">
        <f>'D3-Capex'!K96</f>
        <v>0</v>
      </c>
      <c r="Q130" s="714"/>
    </row>
    <row r="131" spans="1:17" x14ac:dyDescent="0.25">
      <c r="A131" s="263" t="s">
        <v>852</v>
      </c>
      <c r="B131" s="295"/>
      <c r="C131" s="295"/>
      <c r="D131" s="295"/>
      <c r="E131" s="295"/>
      <c r="F131" s="295"/>
      <c r="G131" s="295"/>
      <c r="H131" s="295"/>
      <c r="I131" s="295"/>
      <c r="J131" s="295"/>
      <c r="K131" s="295"/>
      <c r="L131" s="295"/>
      <c r="M131" s="530">
        <f t="shared" si="45"/>
        <v>0</v>
      </c>
      <c r="N131" s="68">
        <f>'D3-Capex'!I97</f>
        <v>0</v>
      </c>
      <c r="O131" s="66">
        <f>'D3-Capex'!J97</f>
        <v>0</v>
      </c>
      <c r="P131" s="67">
        <f>'D3-Capex'!K97</f>
        <v>0</v>
      </c>
      <c r="Q131" s="714"/>
    </row>
    <row r="132" spans="1:17" x14ac:dyDescent="0.25">
      <c r="A132" s="235" t="s">
        <v>920</v>
      </c>
      <c r="B132" s="155">
        <f>SUM(B133:B135)</f>
        <v>0</v>
      </c>
      <c r="C132" s="155">
        <f t="shared" ref="C132" si="56">SUM(C133:C135)</f>
        <v>0</v>
      </c>
      <c r="D132" s="155">
        <f>SUM(D133:D135)</f>
        <v>0</v>
      </c>
      <c r="E132" s="155">
        <f t="shared" ref="E132" si="57">SUM(E133:E135)</f>
        <v>0</v>
      </c>
      <c r="F132" s="155">
        <f>SUM(F133:F135)</f>
        <v>0</v>
      </c>
      <c r="G132" s="155">
        <f t="shared" ref="G132" si="58">SUM(G133:G135)</f>
        <v>0</v>
      </c>
      <c r="H132" s="155">
        <f>SUM(H133:H135)</f>
        <v>0</v>
      </c>
      <c r="I132" s="155">
        <f t="shared" ref="I132" si="59">SUM(I133:I135)</f>
        <v>0</v>
      </c>
      <c r="J132" s="155">
        <f>SUM(J133:J135)</f>
        <v>0</v>
      </c>
      <c r="K132" s="155">
        <f t="shared" ref="K132:L132" si="60">SUM(K133:K135)</f>
        <v>0</v>
      </c>
      <c r="L132" s="155">
        <f t="shared" si="60"/>
        <v>0</v>
      </c>
      <c r="M132" s="530">
        <f t="shared" si="45"/>
        <v>0</v>
      </c>
      <c r="N132" s="68">
        <f>'D3-Capex'!I98</f>
        <v>0</v>
      </c>
      <c r="O132" s="66">
        <f>'D3-Capex'!J98</f>
        <v>0</v>
      </c>
      <c r="P132" s="67">
        <f>'D3-Capex'!K98</f>
        <v>0</v>
      </c>
      <c r="Q132" s="714"/>
    </row>
    <row r="133" spans="1:17" x14ac:dyDescent="0.25">
      <c r="A133" s="263" t="s">
        <v>921</v>
      </c>
      <c r="B133" s="295"/>
      <c r="C133" s="295"/>
      <c r="D133" s="295"/>
      <c r="E133" s="295"/>
      <c r="F133" s="295"/>
      <c r="G133" s="295"/>
      <c r="H133" s="295"/>
      <c r="I133" s="295"/>
      <c r="J133" s="295"/>
      <c r="K133" s="295"/>
      <c r="L133" s="295"/>
      <c r="M133" s="530">
        <f t="shared" si="45"/>
        <v>0</v>
      </c>
      <c r="N133" s="68">
        <f>'D3-Capex'!I99</f>
        <v>0</v>
      </c>
      <c r="O133" s="66">
        <f>'D3-Capex'!J99</f>
        <v>0</v>
      </c>
      <c r="P133" s="67">
        <f>'D3-Capex'!K99</f>
        <v>0</v>
      </c>
      <c r="Q133" s="714"/>
    </row>
    <row r="134" spans="1:17" x14ac:dyDescent="0.25">
      <c r="A134" s="263" t="s">
        <v>922</v>
      </c>
      <c r="B134" s="295"/>
      <c r="C134" s="295"/>
      <c r="D134" s="295"/>
      <c r="E134" s="295"/>
      <c r="F134" s="295"/>
      <c r="G134" s="295"/>
      <c r="H134" s="295"/>
      <c r="I134" s="295"/>
      <c r="J134" s="295"/>
      <c r="K134" s="295"/>
      <c r="L134" s="295"/>
      <c r="M134" s="530">
        <f t="shared" si="45"/>
        <v>0</v>
      </c>
      <c r="N134" s="68">
        <f>'D3-Capex'!I100</f>
        <v>0</v>
      </c>
      <c r="O134" s="66">
        <f>'D3-Capex'!J100</f>
        <v>0</v>
      </c>
      <c r="P134" s="67">
        <f>'D3-Capex'!K100</f>
        <v>0</v>
      </c>
      <c r="Q134" s="714"/>
    </row>
    <row r="135" spans="1:17" x14ac:dyDescent="0.25">
      <c r="A135" s="263" t="s">
        <v>852</v>
      </c>
      <c r="B135" s="295"/>
      <c r="C135" s="295"/>
      <c r="D135" s="295"/>
      <c r="E135" s="295"/>
      <c r="F135" s="295"/>
      <c r="G135" s="295"/>
      <c r="H135" s="295"/>
      <c r="I135" s="295"/>
      <c r="J135" s="295"/>
      <c r="K135" s="295"/>
      <c r="L135" s="295"/>
      <c r="M135" s="530">
        <f t="shared" si="45"/>
        <v>0</v>
      </c>
      <c r="N135" s="68">
        <f>'D3-Capex'!I101</f>
        <v>0</v>
      </c>
      <c r="O135" s="66">
        <f>'D3-Capex'!J101</f>
        <v>0</v>
      </c>
      <c r="P135" s="67">
        <f>'D3-Capex'!K101</f>
        <v>0</v>
      </c>
      <c r="Q135" s="714"/>
    </row>
    <row r="136" spans="1:17" x14ac:dyDescent="0.25">
      <c r="A136" s="267"/>
      <c r="B136" s="66"/>
      <c r="C136" s="66"/>
      <c r="D136" s="66"/>
      <c r="E136" s="66"/>
      <c r="F136" s="66"/>
      <c r="G136" s="66"/>
      <c r="H136" s="66"/>
      <c r="I136" s="66"/>
      <c r="J136" s="66"/>
      <c r="K136" s="66"/>
      <c r="L136" s="66"/>
      <c r="M136" s="530"/>
      <c r="N136" s="68"/>
      <c r="O136" s="66"/>
      <c r="P136" s="67"/>
      <c r="Q136" s="714"/>
    </row>
    <row r="137" spans="1:17" x14ac:dyDescent="0.25">
      <c r="A137" s="256" t="s">
        <v>184</v>
      </c>
      <c r="B137" s="66">
        <f>SUM(B138:B142)</f>
        <v>0</v>
      </c>
      <c r="C137" s="66">
        <f t="shared" ref="C137" si="61">SUM(C138:C142)</f>
        <v>0</v>
      </c>
      <c r="D137" s="66">
        <f>SUM(D138:D142)</f>
        <v>0</v>
      </c>
      <c r="E137" s="66">
        <f t="shared" ref="E137" si="62">SUM(E138:E142)</f>
        <v>0</v>
      </c>
      <c r="F137" s="66">
        <f>SUM(F138:F142)</f>
        <v>0</v>
      </c>
      <c r="G137" s="66">
        <f t="shared" ref="G137" si="63">SUM(G138:G142)</f>
        <v>0</v>
      </c>
      <c r="H137" s="66">
        <f>SUM(H138:H142)</f>
        <v>0</v>
      </c>
      <c r="I137" s="66">
        <f t="shared" ref="I137" si="64">SUM(I138:I142)</f>
        <v>0</v>
      </c>
      <c r="J137" s="66">
        <f>SUM(J138:J142)</f>
        <v>0</v>
      </c>
      <c r="K137" s="66">
        <f t="shared" ref="K137:L137" si="65">SUM(K138:K142)</f>
        <v>0</v>
      </c>
      <c r="L137" s="66">
        <f t="shared" si="65"/>
        <v>0</v>
      </c>
      <c r="M137" s="530">
        <f t="shared" si="45"/>
        <v>0</v>
      </c>
      <c r="N137" s="68">
        <f>'D3-Capex'!I103</f>
        <v>0</v>
      </c>
      <c r="O137" s="66">
        <f>'D3-Capex'!J103</f>
        <v>0</v>
      </c>
      <c r="P137" s="67">
        <f>'D3-Capex'!K103</f>
        <v>0</v>
      </c>
      <c r="Q137" s="714"/>
    </row>
    <row r="138" spans="1:17" x14ac:dyDescent="0.25">
      <c r="A138" s="235" t="s">
        <v>923</v>
      </c>
      <c r="B138" s="531"/>
      <c r="C138" s="531"/>
      <c r="D138" s="531"/>
      <c r="E138" s="531"/>
      <c r="F138" s="531"/>
      <c r="G138" s="531"/>
      <c r="H138" s="531"/>
      <c r="I138" s="531"/>
      <c r="J138" s="531"/>
      <c r="K138" s="531"/>
      <c r="L138" s="531"/>
      <c r="M138" s="530">
        <f t="shared" si="45"/>
        <v>0</v>
      </c>
      <c r="N138" s="68">
        <f>'D3-Capex'!I104</f>
        <v>0</v>
      </c>
      <c r="O138" s="66">
        <f>'D3-Capex'!J104</f>
        <v>0</v>
      </c>
      <c r="P138" s="67">
        <f>'D3-Capex'!K104</f>
        <v>0</v>
      </c>
      <c r="Q138" s="714"/>
    </row>
    <row r="139" spans="1:17" x14ac:dyDescent="0.25">
      <c r="A139" s="239" t="s">
        <v>924</v>
      </c>
      <c r="B139" s="532"/>
      <c r="C139" s="532"/>
      <c r="D139" s="532"/>
      <c r="E139" s="532"/>
      <c r="F139" s="532"/>
      <c r="G139" s="532"/>
      <c r="H139" s="532"/>
      <c r="I139" s="532"/>
      <c r="J139" s="532"/>
      <c r="K139" s="532"/>
      <c r="L139" s="532"/>
      <c r="M139" s="530">
        <f t="shared" si="45"/>
        <v>0</v>
      </c>
      <c r="N139" s="68">
        <f>'D3-Capex'!I105</f>
        <v>0</v>
      </c>
      <c r="O139" s="66">
        <f>'D3-Capex'!J105</f>
        <v>0</v>
      </c>
      <c r="P139" s="67">
        <f>'D3-Capex'!K105</f>
        <v>0</v>
      </c>
      <c r="Q139" s="714"/>
    </row>
    <row r="140" spans="1:17" x14ac:dyDescent="0.25">
      <c r="A140" s="235" t="s">
        <v>925</v>
      </c>
      <c r="B140" s="532"/>
      <c r="C140" s="532"/>
      <c r="D140" s="532"/>
      <c r="E140" s="532"/>
      <c r="F140" s="532"/>
      <c r="G140" s="532"/>
      <c r="H140" s="532"/>
      <c r="I140" s="532"/>
      <c r="J140" s="532"/>
      <c r="K140" s="532"/>
      <c r="L140" s="532"/>
      <c r="M140" s="530">
        <f t="shared" si="45"/>
        <v>0</v>
      </c>
      <c r="N140" s="68">
        <f>'D3-Capex'!I106</f>
        <v>0</v>
      </c>
      <c r="O140" s="66">
        <f>'D3-Capex'!J106</f>
        <v>0</v>
      </c>
      <c r="P140" s="67">
        <f>'D3-Capex'!K106</f>
        <v>0</v>
      </c>
      <c r="Q140" s="714"/>
    </row>
    <row r="141" spans="1:17" x14ac:dyDescent="0.25">
      <c r="A141" s="235" t="s">
        <v>926</v>
      </c>
      <c r="B141" s="532"/>
      <c r="C141" s="532"/>
      <c r="D141" s="532"/>
      <c r="E141" s="532"/>
      <c r="F141" s="532"/>
      <c r="G141" s="532"/>
      <c r="H141" s="532"/>
      <c r="I141" s="532"/>
      <c r="J141" s="532"/>
      <c r="K141" s="532"/>
      <c r="L141" s="532"/>
      <c r="M141" s="530">
        <f t="shared" si="45"/>
        <v>0</v>
      </c>
      <c r="N141" s="68">
        <f>'D3-Capex'!I107</f>
        <v>0</v>
      </c>
      <c r="O141" s="66">
        <f>'D3-Capex'!J107</f>
        <v>0</v>
      </c>
      <c r="P141" s="67">
        <f>'D3-Capex'!K107</f>
        <v>0</v>
      </c>
      <c r="Q141" s="714"/>
    </row>
    <row r="142" spans="1:17" x14ac:dyDescent="0.25">
      <c r="A142" s="239" t="s">
        <v>927</v>
      </c>
      <c r="B142" s="532"/>
      <c r="C142" s="532"/>
      <c r="D142" s="532"/>
      <c r="E142" s="532"/>
      <c r="F142" s="532"/>
      <c r="G142" s="532"/>
      <c r="H142" s="532"/>
      <c r="I142" s="532"/>
      <c r="J142" s="532"/>
      <c r="K142" s="532"/>
      <c r="L142" s="532"/>
      <c r="M142" s="530">
        <f t="shared" si="45"/>
        <v>0</v>
      </c>
      <c r="N142" s="68">
        <f>'D3-Capex'!I108</f>
        <v>0</v>
      </c>
      <c r="O142" s="66">
        <f>'D3-Capex'!J108</f>
        <v>0</v>
      </c>
      <c r="P142" s="67">
        <f>'D3-Capex'!K108</f>
        <v>0</v>
      </c>
      <c r="Q142" s="714"/>
    </row>
    <row r="143" spans="1:17" x14ac:dyDescent="0.25">
      <c r="A143" s="276"/>
      <c r="B143" s="66"/>
      <c r="C143" s="66"/>
      <c r="D143" s="66"/>
      <c r="E143" s="66"/>
      <c r="F143" s="66"/>
      <c r="G143" s="66"/>
      <c r="H143" s="66"/>
      <c r="I143" s="66"/>
      <c r="J143" s="66"/>
      <c r="K143" s="66"/>
      <c r="L143" s="66"/>
      <c r="M143" s="530"/>
      <c r="N143" s="68"/>
      <c r="O143" s="66"/>
      <c r="P143" s="67"/>
      <c r="Q143" s="714"/>
    </row>
    <row r="144" spans="1:17" x14ac:dyDescent="0.25">
      <c r="A144" s="277" t="s">
        <v>185</v>
      </c>
      <c r="B144" s="80">
        <f>+B145+B148</f>
        <v>0</v>
      </c>
      <c r="C144" s="80">
        <f t="shared" ref="C144" si="66">+C145+C148</f>
        <v>0</v>
      </c>
      <c r="D144" s="80">
        <f>+D145+D148</f>
        <v>0</v>
      </c>
      <c r="E144" s="80">
        <f t="shared" ref="E144" si="67">+E145+E148</f>
        <v>0</v>
      </c>
      <c r="F144" s="80">
        <f>+F145+F148</f>
        <v>0</v>
      </c>
      <c r="G144" s="80">
        <f t="shared" ref="G144" si="68">+G145+G148</f>
        <v>0</v>
      </c>
      <c r="H144" s="80">
        <f>+H145+H148</f>
        <v>0</v>
      </c>
      <c r="I144" s="80">
        <f t="shared" ref="I144" si="69">+I145+I148</f>
        <v>0</v>
      </c>
      <c r="J144" s="80">
        <f>+J145+J148</f>
        <v>0</v>
      </c>
      <c r="K144" s="80">
        <f t="shared" ref="K144:L144" si="70">+K145+K148</f>
        <v>0</v>
      </c>
      <c r="L144" s="80">
        <f t="shared" si="70"/>
        <v>0</v>
      </c>
      <c r="M144" s="530">
        <f t="shared" si="45"/>
        <v>0</v>
      </c>
      <c r="N144" s="68">
        <f>'D3-Capex'!I110</f>
        <v>0</v>
      </c>
      <c r="O144" s="66">
        <f>'D3-Capex'!J110</f>
        <v>0</v>
      </c>
      <c r="P144" s="67">
        <f>'D3-Capex'!K110</f>
        <v>0</v>
      </c>
      <c r="Q144" s="714"/>
    </row>
    <row r="145" spans="1:17" x14ac:dyDescent="0.25">
      <c r="A145" s="235" t="s">
        <v>928</v>
      </c>
      <c r="B145" s="150">
        <f t="shared" ref="B145:K145" si="71">SUM(B146:B147)</f>
        <v>0</v>
      </c>
      <c r="C145" s="150">
        <f t="shared" si="71"/>
        <v>0</v>
      </c>
      <c r="D145" s="150">
        <f t="shared" si="71"/>
        <v>0</v>
      </c>
      <c r="E145" s="150">
        <f t="shared" si="71"/>
        <v>0</v>
      </c>
      <c r="F145" s="150">
        <f t="shared" si="71"/>
        <v>0</v>
      </c>
      <c r="G145" s="150">
        <f t="shared" si="71"/>
        <v>0</v>
      </c>
      <c r="H145" s="150">
        <f t="shared" si="71"/>
        <v>0</v>
      </c>
      <c r="I145" s="150">
        <f t="shared" si="71"/>
        <v>0</v>
      </c>
      <c r="J145" s="150">
        <f t="shared" si="71"/>
        <v>0</v>
      </c>
      <c r="K145" s="150">
        <f t="shared" si="71"/>
        <v>0</v>
      </c>
      <c r="L145" s="150">
        <f t="shared" ref="L145" si="72">SUM(L146:L147)</f>
        <v>0</v>
      </c>
      <c r="M145" s="530">
        <f t="shared" si="45"/>
        <v>0</v>
      </c>
      <c r="N145" s="68">
        <f>'D3-Capex'!I111</f>
        <v>0</v>
      </c>
      <c r="O145" s="66">
        <f>'D3-Capex'!J111</f>
        <v>0</v>
      </c>
      <c r="P145" s="67">
        <f>'D3-Capex'!K111</f>
        <v>0</v>
      </c>
      <c r="Q145" s="714"/>
    </row>
    <row r="146" spans="1:17" x14ac:dyDescent="0.25">
      <c r="A146" s="263" t="s">
        <v>929</v>
      </c>
      <c r="B146" s="295"/>
      <c r="C146" s="295"/>
      <c r="D146" s="295"/>
      <c r="E146" s="295"/>
      <c r="F146" s="295"/>
      <c r="G146" s="295"/>
      <c r="H146" s="295"/>
      <c r="I146" s="295"/>
      <c r="J146" s="295"/>
      <c r="K146" s="295"/>
      <c r="L146" s="295"/>
      <c r="M146" s="530">
        <f t="shared" si="45"/>
        <v>0</v>
      </c>
      <c r="N146" s="68">
        <f>'D3-Capex'!I112</f>
        <v>0</v>
      </c>
      <c r="O146" s="66">
        <f>'D3-Capex'!J112</f>
        <v>0</v>
      </c>
      <c r="P146" s="67">
        <f>'D3-Capex'!K112</f>
        <v>0</v>
      </c>
      <c r="Q146" s="714"/>
    </row>
    <row r="147" spans="1:17" x14ac:dyDescent="0.25">
      <c r="A147" s="263" t="s">
        <v>930</v>
      </c>
      <c r="B147" s="295"/>
      <c r="C147" s="295"/>
      <c r="D147" s="295"/>
      <c r="E147" s="295"/>
      <c r="F147" s="295"/>
      <c r="G147" s="295"/>
      <c r="H147" s="295"/>
      <c r="I147" s="295"/>
      <c r="J147" s="295"/>
      <c r="K147" s="295"/>
      <c r="L147" s="295"/>
      <c r="M147" s="530">
        <f t="shared" si="45"/>
        <v>0</v>
      </c>
      <c r="N147" s="68">
        <f>'D3-Capex'!I113</f>
        <v>0</v>
      </c>
      <c r="O147" s="66">
        <f>'D3-Capex'!J113</f>
        <v>0</v>
      </c>
      <c r="P147" s="67">
        <f>'D3-Capex'!K113</f>
        <v>0</v>
      </c>
      <c r="Q147" s="714"/>
    </row>
    <row r="148" spans="1:17" x14ac:dyDescent="0.25">
      <c r="A148" s="235" t="s">
        <v>931</v>
      </c>
      <c r="B148" s="155">
        <f>SUM(B149:B150)</f>
        <v>0</v>
      </c>
      <c r="C148" s="155">
        <f t="shared" ref="C148" si="73">SUM(C149:C150)</f>
        <v>0</v>
      </c>
      <c r="D148" s="155">
        <f>SUM(D149:D150)</f>
        <v>0</v>
      </c>
      <c r="E148" s="155">
        <f t="shared" ref="E148" si="74">SUM(E149:E150)</f>
        <v>0</v>
      </c>
      <c r="F148" s="155">
        <f>SUM(F149:F150)</f>
        <v>0</v>
      </c>
      <c r="G148" s="155">
        <f t="shared" ref="G148" si="75">SUM(G149:G150)</f>
        <v>0</v>
      </c>
      <c r="H148" s="155">
        <f>SUM(H149:H150)</f>
        <v>0</v>
      </c>
      <c r="I148" s="155">
        <f t="shared" ref="I148" si="76">SUM(I149:I150)</f>
        <v>0</v>
      </c>
      <c r="J148" s="155">
        <f>SUM(J149:J150)</f>
        <v>0</v>
      </c>
      <c r="K148" s="155">
        <f t="shared" ref="K148:L148" si="77">SUM(K149:K150)</f>
        <v>0</v>
      </c>
      <c r="L148" s="155">
        <f t="shared" si="77"/>
        <v>0</v>
      </c>
      <c r="M148" s="530">
        <f t="shared" si="45"/>
        <v>0</v>
      </c>
      <c r="N148" s="68">
        <f>'D3-Capex'!I114</f>
        <v>0</v>
      </c>
      <c r="O148" s="66">
        <f>'D3-Capex'!J114</f>
        <v>0</v>
      </c>
      <c r="P148" s="67">
        <f>'D3-Capex'!K114</f>
        <v>0</v>
      </c>
      <c r="Q148" s="714"/>
    </row>
    <row r="149" spans="1:17" x14ac:dyDescent="0.25">
      <c r="A149" s="263" t="s">
        <v>929</v>
      </c>
      <c r="B149" s="295"/>
      <c r="C149" s="295"/>
      <c r="D149" s="295"/>
      <c r="E149" s="295"/>
      <c r="F149" s="295"/>
      <c r="G149" s="295"/>
      <c r="H149" s="295"/>
      <c r="I149" s="295"/>
      <c r="J149" s="295"/>
      <c r="K149" s="295"/>
      <c r="L149" s="295"/>
      <c r="M149" s="530">
        <f t="shared" si="45"/>
        <v>0</v>
      </c>
      <c r="N149" s="68">
        <f>'D3-Capex'!I115</f>
        <v>0</v>
      </c>
      <c r="O149" s="66">
        <f>'D3-Capex'!J115</f>
        <v>0</v>
      </c>
      <c r="P149" s="67">
        <f>'D3-Capex'!K115</f>
        <v>0</v>
      </c>
      <c r="Q149" s="714"/>
    </row>
    <row r="150" spans="1:17" x14ac:dyDescent="0.25">
      <c r="A150" s="263" t="s">
        <v>930</v>
      </c>
      <c r="B150" s="295"/>
      <c r="C150" s="295"/>
      <c r="D150" s="295"/>
      <c r="E150" s="295"/>
      <c r="F150" s="295"/>
      <c r="G150" s="295"/>
      <c r="H150" s="295"/>
      <c r="I150" s="295"/>
      <c r="J150" s="295"/>
      <c r="K150" s="295"/>
      <c r="L150" s="295"/>
      <c r="M150" s="530">
        <f t="shared" si="45"/>
        <v>0</v>
      </c>
      <c r="N150" s="68">
        <f>'D3-Capex'!I116</f>
        <v>0</v>
      </c>
      <c r="O150" s="66">
        <f>'D3-Capex'!J116</f>
        <v>0</v>
      </c>
      <c r="P150" s="67">
        <f>'D3-Capex'!K116</f>
        <v>0</v>
      </c>
      <c r="Q150" s="714"/>
    </row>
    <row r="151" spans="1:17" x14ac:dyDescent="0.25">
      <c r="A151" s="276"/>
      <c r="B151" s="66"/>
      <c r="C151" s="66"/>
      <c r="D151" s="66"/>
      <c r="E151" s="66"/>
      <c r="F151" s="66"/>
      <c r="G151" s="66"/>
      <c r="H151" s="66"/>
      <c r="I151" s="66"/>
      <c r="J151" s="66"/>
      <c r="K151" s="66"/>
      <c r="L151" s="66"/>
      <c r="M151" s="530"/>
      <c r="N151" s="68"/>
      <c r="O151" s="66"/>
      <c r="P151" s="67"/>
      <c r="Q151" s="714"/>
    </row>
    <row r="152" spans="1:17" x14ac:dyDescent="0.25">
      <c r="A152" s="277" t="s">
        <v>186</v>
      </c>
      <c r="B152" s="80">
        <f>+B153+B165</f>
        <v>47847.817845555554</v>
      </c>
      <c r="C152" s="80">
        <f t="shared" ref="C152" si="78">+C153+C165</f>
        <v>47847.817845555554</v>
      </c>
      <c r="D152" s="80">
        <f>+D153+D165</f>
        <v>47847.817845555554</v>
      </c>
      <c r="E152" s="80">
        <f t="shared" ref="E152" si="79">+E153+E165</f>
        <v>47847.817845555554</v>
      </c>
      <c r="F152" s="80">
        <f>+F153+F165</f>
        <v>47847.817845555554</v>
      </c>
      <c r="G152" s="80">
        <f t="shared" ref="G152" si="80">+G153+G165</f>
        <v>47847.817845555554</v>
      </c>
      <c r="H152" s="80">
        <f>+H153+H165</f>
        <v>47847.817845555554</v>
      </c>
      <c r="I152" s="80">
        <f t="shared" ref="I152" si="81">+I153+I165</f>
        <v>47847.817845555554</v>
      </c>
      <c r="J152" s="80">
        <f>+J153+J165</f>
        <v>47847.817845555554</v>
      </c>
      <c r="K152" s="80">
        <f t="shared" ref="K152:L152" si="82">+K153+K165</f>
        <v>47847.817845555554</v>
      </c>
      <c r="L152" s="80">
        <f t="shared" si="82"/>
        <v>47847.817845555554</v>
      </c>
      <c r="M152" s="530">
        <f t="shared" si="45"/>
        <v>47847.817845555604</v>
      </c>
      <c r="N152" s="68">
        <f>'D3-Capex'!I118</f>
        <v>574173.81414666667</v>
      </c>
      <c r="O152" s="66">
        <f>'D3-Capex'!J118</f>
        <v>591989.11434082664</v>
      </c>
      <c r="P152" s="67">
        <f>'D3-Capex'!K118</f>
        <v>611436.6353718231</v>
      </c>
      <c r="Q152" s="714"/>
    </row>
    <row r="153" spans="1:17" x14ac:dyDescent="0.25">
      <c r="A153" s="235" t="s">
        <v>932</v>
      </c>
      <c r="B153" s="150">
        <f>SUM(B154:B164)</f>
        <v>47847.817845555554</v>
      </c>
      <c r="C153" s="150">
        <f t="shared" ref="C153" si="83">SUM(C154:C164)</f>
        <v>47847.817845555554</v>
      </c>
      <c r="D153" s="150">
        <f>SUM(D154:D164)</f>
        <v>47847.817845555554</v>
      </c>
      <c r="E153" s="150">
        <f t="shared" ref="E153" si="84">SUM(E154:E164)</f>
        <v>47847.817845555554</v>
      </c>
      <c r="F153" s="150">
        <f>SUM(F154:F164)</f>
        <v>47847.817845555554</v>
      </c>
      <c r="G153" s="150">
        <f t="shared" ref="G153" si="85">SUM(G154:G164)</f>
        <v>47847.817845555554</v>
      </c>
      <c r="H153" s="150">
        <f>SUM(H154:H164)</f>
        <v>47847.817845555554</v>
      </c>
      <c r="I153" s="150">
        <f t="shared" ref="I153" si="86">SUM(I154:I164)</f>
        <v>47847.817845555554</v>
      </c>
      <c r="J153" s="150">
        <f>SUM(J154:J164)</f>
        <v>47847.817845555554</v>
      </c>
      <c r="K153" s="150">
        <f t="shared" ref="K153:L153" si="87">SUM(K154:K164)</f>
        <v>47847.817845555554</v>
      </c>
      <c r="L153" s="150">
        <f t="shared" si="87"/>
        <v>47847.817845555554</v>
      </c>
      <c r="M153" s="530">
        <f t="shared" si="45"/>
        <v>47847.817845555604</v>
      </c>
      <c r="N153" s="68">
        <f>'D3-Capex'!I119</f>
        <v>574173.81414666667</v>
      </c>
      <c r="O153" s="66">
        <f>'D3-Capex'!J119</f>
        <v>591989.11434082664</v>
      </c>
      <c r="P153" s="67">
        <f>'D3-Capex'!K119</f>
        <v>611436.6353718231</v>
      </c>
      <c r="Q153" s="714"/>
    </row>
    <row r="154" spans="1:17" x14ac:dyDescent="0.25">
      <c r="A154" s="263" t="s">
        <v>933</v>
      </c>
      <c r="B154" s="295"/>
      <c r="C154" s="295"/>
      <c r="D154" s="295"/>
      <c r="E154" s="295"/>
      <c r="F154" s="295"/>
      <c r="G154" s="295"/>
      <c r="H154" s="295"/>
      <c r="I154" s="295"/>
      <c r="J154" s="295"/>
      <c r="K154" s="295"/>
      <c r="L154" s="295"/>
      <c r="M154" s="530">
        <f t="shared" si="45"/>
        <v>0</v>
      </c>
      <c r="N154" s="68">
        <f>'D3-Capex'!I120</f>
        <v>0</v>
      </c>
      <c r="O154" s="66">
        <f>'D3-Capex'!J120</f>
        <v>0</v>
      </c>
      <c r="P154" s="67">
        <f>'D3-Capex'!K120</f>
        <v>0</v>
      </c>
      <c r="Q154" s="714"/>
    </row>
    <row r="155" spans="1:17" x14ac:dyDescent="0.25">
      <c r="A155" s="263" t="s">
        <v>934</v>
      </c>
      <c r="B155" s="295"/>
      <c r="C155" s="295"/>
      <c r="D155" s="295"/>
      <c r="E155" s="295"/>
      <c r="F155" s="295"/>
      <c r="G155" s="295"/>
      <c r="H155" s="295"/>
      <c r="I155" s="295"/>
      <c r="J155" s="295"/>
      <c r="K155" s="295"/>
      <c r="L155" s="295"/>
      <c r="M155" s="530">
        <f t="shared" si="45"/>
        <v>0</v>
      </c>
      <c r="N155" s="68">
        <f>'D3-Capex'!I121</f>
        <v>0</v>
      </c>
      <c r="O155" s="66">
        <f>'D3-Capex'!J121</f>
        <v>0</v>
      </c>
      <c r="P155" s="67">
        <f>'D3-Capex'!K121</f>
        <v>0</v>
      </c>
      <c r="Q155" s="714"/>
    </row>
    <row r="156" spans="1:17" x14ac:dyDescent="0.25">
      <c r="A156" s="263" t="s">
        <v>935</v>
      </c>
      <c r="B156" s="295"/>
      <c r="C156" s="295"/>
      <c r="D156" s="295"/>
      <c r="E156" s="295"/>
      <c r="F156" s="295"/>
      <c r="G156" s="295"/>
      <c r="H156" s="295"/>
      <c r="I156" s="295"/>
      <c r="J156" s="295"/>
      <c r="K156" s="295"/>
      <c r="L156" s="295"/>
      <c r="M156" s="530">
        <f t="shared" si="45"/>
        <v>0</v>
      </c>
      <c r="N156" s="68">
        <f>'D3-Capex'!I122</f>
        <v>0</v>
      </c>
      <c r="O156" s="66">
        <f>'D3-Capex'!J122</f>
        <v>0</v>
      </c>
      <c r="P156" s="67">
        <f>'D3-Capex'!K122</f>
        <v>0</v>
      </c>
      <c r="Q156" s="714"/>
    </row>
    <row r="157" spans="1:17" x14ac:dyDescent="0.25">
      <c r="A157" s="263" t="s">
        <v>936</v>
      </c>
      <c r="B157" s="295"/>
      <c r="C157" s="295"/>
      <c r="D157" s="295"/>
      <c r="E157" s="295"/>
      <c r="F157" s="295"/>
      <c r="G157" s="295"/>
      <c r="H157" s="295"/>
      <c r="I157" s="295"/>
      <c r="J157" s="295"/>
      <c r="K157" s="295"/>
      <c r="L157" s="295"/>
      <c r="M157" s="530">
        <f t="shared" si="45"/>
        <v>0</v>
      </c>
      <c r="N157" s="68">
        <f>'D3-Capex'!I123</f>
        <v>0</v>
      </c>
      <c r="O157" s="66">
        <f>'D3-Capex'!J123</f>
        <v>0</v>
      </c>
      <c r="P157" s="67">
        <f>'D3-Capex'!K123</f>
        <v>0</v>
      </c>
      <c r="Q157" s="714"/>
    </row>
    <row r="158" spans="1:17" x14ac:dyDescent="0.25">
      <c r="A158" s="263" t="s">
        <v>937</v>
      </c>
      <c r="B158" s="295"/>
      <c r="C158" s="295"/>
      <c r="D158" s="295"/>
      <c r="E158" s="295"/>
      <c r="F158" s="295"/>
      <c r="G158" s="295"/>
      <c r="H158" s="295"/>
      <c r="I158" s="295"/>
      <c r="J158" s="295"/>
      <c r="K158" s="295"/>
      <c r="L158" s="295"/>
      <c r="M158" s="530">
        <f t="shared" si="45"/>
        <v>0</v>
      </c>
      <c r="N158" s="68">
        <f>'D3-Capex'!I124</f>
        <v>0</v>
      </c>
      <c r="O158" s="66">
        <f>'D3-Capex'!J124</f>
        <v>0</v>
      </c>
      <c r="P158" s="67">
        <f>'D3-Capex'!K124</f>
        <v>0</v>
      </c>
      <c r="Q158" s="714"/>
    </row>
    <row r="159" spans="1:17" x14ac:dyDescent="0.25">
      <c r="A159" s="263" t="s">
        <v>938</v>
      </c>
      <c r="B159" s="295"/>
      <c r="C159" s="295"/>
      <c r="D159" s="295"/>
      <c r="E159" s="295"/>
      <c r="F159" s="295"/>
      <c r="G159" s="295"/>
      <c r="H159" s="295"/>
      <c r="I159" s="295"/>
      <c r="J159" s="295"/>
      <c r="K159" s="295"/>
      <c r="L159" s="295"/>
      <c r="M159" s="530">
        <f t="shared" si="45"/>
        <v>0</v>
      </c>
      <c r="N159" s="68">
        <f>'D3-Capex'!I125</f>
        <v>0</v>
      </c>
      <c r="O159" s="66">
        <f>'D3-Capex'!J125</f>
        <v>0</v>
      </c>
      <c r="P159" s="67">
        <f>'D3-Capex'!K125</f>
        <v>0</v>
      </c>
      <c r="Q159" s="714"/>
    </row>
    <row r="160" spans="1:17" x14ac:dyDescent="0.25">
      <c r="A160" s="263" t="s">
        <v>939</v>
      </c>
      <c r="B160" s="295"/>
      <c r="C160" s="295"/>
      <c r="D160" s="295"/>
      <c r="E160" s="295"/>
      <c r="F160" s="295"/>
      <c r="G160" s="295"/>
      <c r="H160" s="295"/>
      <c r="I160" s="295"/>
      <c r="J160" s="295"/>
      <c r="K160" s="295"/>
      <c r="L160" s="295"/>
      <c r="M160" s="530">
        <f t="shared" si="45"/>
        <v>0</v>
      </c>
      <c r="N160" s="68">
        <f>'D3-Capex'!I126</f>
        <v>0</v>
      </c>
      <c r="O160" s="66">
        <f>'D3-Capex'!J126</f>
        <v>0</v>
      </c>
      <c r="P160" s="67">
        <f>'D3-Capex'!K126</f>
        <v>0</v>
      </c>
      <c r="Q160" s="714"/>
    </row>
    <row r="161" spans="1:17" x14ac:dyDescent="0.25">
      <c r="A161" s="263" t="s">
        <v>940</v>
      </c>
      <c r="B161" s="295">
        <v>47847.817845555554</v>
      </c>
      <c r="C161" s="295">
        <v>47847.817845555554</v>
      </c>
      <c r="D161" s="295">
        <v>47847.817845555554</v>
      </c>
      <c r="E161" s="295">
        <v>47847.817845555554</v>
      </c>
      <c r="F161" s="295">
        <v>47847.817845555554</v>
      </c>
      <c r="G161" s="295">
        <v>47847.817845555554</v>
      </c>
      <c r="H161" s="295">
        <v>47847.817845555554</v>
      </c>
      <c r="I161" s="295">
        <v>47847.817845555554</v>
      </c>
      <c r="J161" s="295">
        <v>47847.817845555554</v>
      </c>
      <c r="K161" s="295">
        <v>47847.817845555554</v>
      </c>
      <c r="L161" s="295">
        <v>47847.817845555554</v>
      </c>
      <c r="M161" s="530">
        <v>47847.817845555554</v>
      </c>
      <c r="N161" s="68">
        <f>'D3-Capex'!I127</f>
        <v>574173.81414666667</v>
      </c>
      <c r="O161" s="66">
        <f>'D3-Capex'!J127</f>
        <v>591989.11434082664</v>
      </c>
      <c r="P161" s="67">
        <f>'D3-Capex'!K127</f>
        <v>611436.6353718231</v>
      </c>
      <c r="Q161" s="714"/>
    </row>
    <row r="162" spans="1:17" x14ac:dyDescent="0.25">
      <c r="A162" s="263" t="s">
        <v>941</v>
      </c>
      <c r="B162" s="295"/>
      <c r="C162" s="295"/>
      <c r="D162" s="295"/>
      <c r="E162" s="295"/>
      <c r="F162" s="295"/>
      <c r="G162" s="295"/>
      <c r="H162" s="295"/>
      <c r="I162" s="295"/>
      <c r="J162" s="295"/>
      <c r="K162" s="295"/>
      <c r="L162" s="295"/>
      <c r="M162" s="530">
        <f t="shared" si="45"/>
        <v>0</v>
      </c>
      <c r="N162" s="68">
        <f>'D3-Capex'!I128</f>
        <v>0</v>
      </c>
      <c r="O162" s="66">
        <f>'D3-Capex'!J128</f>
        <v>0</v>
      </c>
      <c r="P162" s="67">
        <f>'D3-Capex'!K128</f>
        <v>0</v>
      </c>
      <c r="Q162" s="714"/>
    </row>
    <row r="163" spans="1:17" x14ac:dyDescent="0.25">
      <c r="A163" s="263" t="s">
        <v>942</v>
      </c>
      <c r="B163" s="295"/>
      <c r="C163" s="295"/>
      <c r="D163" s="295"/>
      <c r="E163" s="295"/>
      <c r="F163" s="295"/>
      <c r="G163" s="295"/>
      <c r="H163" s="295"/>
      <c r="I163" s="295"/>
      <c r="J163" s="295"/>
      <c r="K163" s="295"/>
      <c r="L163" s="295"/>
      <c r="M163" s="530">
        <f t="shared" si="45"/>
        <v>0</v>
      </c>
      <c r="N163" s="68">
        <f>'D3-Capex'!I129</f>
        <v>0</v>
      </c>
      <c r="O163" s="66">
        <f>'D3-Capex'!J129</f>
        <v>0</v>
      </c>
      <c r="P163" s="67">
        <f>'D3-Capex'!K129</f>
        <v>0</v>
      </c>
      <c r="Q163" s="714"/>
    </row>
    <row r="164" spans="1:17" x14ac:dyDescent="0.25">
      <c r="A164" s="263" t="s">
        <v>852</v>
      </c>
      <c r="B164" s="295"/>
      <c r="C164" s="295"/>
      <c r="D164" s="295"/>
      <c r="E164" s="295"/>
      <c r="F164" s="295"/>
      <c r="G164" s="295"/>
      <c r="H164" s="295"/>
      <c r="I164" s="295"/>
      <c r="J164" s="295"/>
      <c r="K164" s="295"/>
      <c r="L164" s="295"/>
      <c r="M164" s="530">
        <f t="shared" si="45"/>
        <v>0</v>
      </c>
      <c r="N164" s="68">
        <f>'D3-Capex'!I130</f>
        <v>0</v>
      </c>
      <c r="O164" s="66">
        <f>'D3-Capex'!J130</f>
        <v>0</v>
      </c>
      <c r="P164" s="67">
        <f>'D3-Capex'!K130</f>
        <v>0</v>
      </c>
      <c r="Q164" s="714"/>
    </row>
    <row r="165" spans="1:17" x14ac:dyDescent="0.25">
      <c r="A165" s="235" t="s">
        <v>943</v>
      </c>
      <c r="B165" s="155">
        <f>SUM(B166:B168)</f>
        <v>0</v>
      </c>
      <c r="C165" s="155">
        <f t="shared" ref="C165" si="88">SUM(C166:C168)</f>
        <v>0</v>
      </c>
      <c r="D165" s="155">
        <f>SUM(D166:D168)</f>
        <v>0</v>
      </c>
      <c r="E165" s="155">
        <f t="shared" ref="E165" si="89">SUM(E166:E168)</f>
        <v>0</v>
      </c>
      <c r="F165" s="155">
        <f>SUM(F166:F168)</f>
        <v>0</v>
      </c>
      <c r="G165" s="155">
        <f t="shared" ref="G165" si="90">SUM(G166:G168)</f>
        <v>0</v>
      </c>
      <c r="H165" s="155">
        <f>SUM(H166:H168)</f>
        <v>0</v>
      </c>
      <c r="I165" s="155">
        <f t="shared" ref="I165" si="91">SUM(I166:I168)</f>
        <v>0</v>
      </c>
      <c r="J165" s="155">
        <f>SUM(J166:J168)</f>
        <v>0</v>
      </c>
      <c r="K165" s="155">
        <f t="shared" ref="K165:L165" si="92">SUM(K166:K168)</f>
        <v>0</v>
      </c>
      <c r="L165" s="155">
        <f t="shared" si="92"/>
        <v>0</v>
      </c>
      <c r="M165" s="530">
        <f t="shared" si="45"/>
        <v>0</v>
      </c>
      <c r="N165" s="68">
        <f>'D3-Capex'!I131</f>
        <v>0</v>
      </c>
      <c r="O165" s="66">
        <f>'D3-Capex'!J131</f>
        <v>0</v>
      </c>
      <c r="P165" s="67">
        <f>'D3-Capex'!K131</f>
        <v>0</v>
      </c>
      <c r="Q165" s="714"/>
    </row>
    <row r="166" spans="1:17" x14ac:dyDescent="0.25">
      <c r="A166" s="263" t="s">
        <v>944</v>
      </c>
      <c r="B166" s="295"/>
      <c r="C166" s="295"/>
      <c r="D166" s="295"/>
      <c r="E166" s="295"/>
      <c r="F166" s="295"/>
      <c r="G166" s="295"/>
      <c r="H166" s="295"/>
      <c r="I166" s="295"/>
      <c r="J166" s="295"/>
      <c r="K166" s="295"/>
      <c r="L166" s="295"/>
      <c r="M166" s="530">
        <f t="shared" si="45"/>
        <v>0</v>
      </c>
      <c r="N166" s="68">
        <f>'D3-Capex'!I132</f>
        <v>0</v>
      </c>
      <c r="O166" s="66">
        <f>'D3-Capex'!J132</f>
        <v>0</v>
      </c>
      <c r="P166" s="67">
        <f>'D3-Capex'!K132</f>
        <v>0</v>
      </c>
      <c r="Q166" s="714"/>
    </row>
    <row r="167" spans="1:17" x14ac:dyDescent="0.25">
      <c r="A167" s="263" t="s">
        <v>945</v>
      </c>
      <c r="B167" s="295"/>
      <c r="C167" s="295"/>
      <c r="D167" s="295"/>
      <c r="E167" s="295"/>
      <c r="F167" s="295"/>
      <c r="G167" s="295"/>
      <c r="H167" s="295"/>
      <c r="I167" s="295"/>
      <c r="J167" s="295"/>
      <c r="K167" s="295"/>
      <c r="L167" s="295"/>
      <c r="M167" s="530">
        <f t="shared" si="45"/>
        <v>0</v>
      </c>
      <c r="N167" s="68">
        <f>'D3-Capex'!I133</f>
        <v>0</v>
      </c>
      <c r="O167" s="66">
        <f>'D3-Capex'!J133</f>
        <v>0</v>
      </c>
      <c r="P167" s="67">
        <f>'D3-Capex'!K133</f>
        <v>0</v>
      </c>
      <c r="Q167" s="714"/>
    </row>
    <row r="168" spans="1:17" x14ac:dyDescent="0.25">
      <c r="A168" s="263" t="s">
        <v>852</v>
      </c>
      <c r="B168" s="295"/>
      <c r="C168" s="295"/>
      <c r="D168" s="295"/>
      <c r="E168" s="295"/>
      <c r="F168" s="295"/>
      <c r="G168" s="295"/>
      <c r="H168" s="295"/>
      <c r="I168" s="295"/>
      <c r="J168" s="295"/>
      <c r="K168" s="295"/>
      <c r="L168" s="295"/>
      <c r="M168" s="530">
        <f t="shared" si="45"/>
        <v>0</v>
      </c>
      <c r="N168" s="68">
        <f>'D3-Capex'!I134</f>
        <v>0</v>
      </c>
      <c r="O168" s="66">
        <f>'D3-Capex'!J134</f>
        <v>0</v>
      </c>
      <c r="P168" s="67">
        <f>'D3-Capex'!K134</f>
        <v>0</v>
      </c>
      <c r="Q168" s="714"/>
    </row>
    <row r="169" spans="1:17" x14ac:dyDescent="0.25">
      <c r="A169" s="281"/>
      <c r="B169" s="66"/>
      <c r="C169" s="66"/>
      <c r="D169" s="66"/>
      <c r="E169" s="66"/>
      <c r="F169" s="66"/>
      <c r="G169" s="66"/>
      <c r="H169" s="66"/>
      <c r="I169" s="66"/>
      <c r="J169" s="66"/>
      <c r="K169" s="66"/>
      <c r="L169" s="66"/>
      <c r="M169" s="530"/>
      <c r="N169" s="68"/>
      <c r="O169" s="66"/>
      <c r="P169" s="67"/>
      <c r="Q169" s="714"/>
    </row>
    <row r="170" spans="1:17" x14ac:dyDescent="0.25">
      <c r="A170" s="256" t="s">
        <v>946</v>
      </c>
      <c r="B170" s="66">
        <f t="shared" ref="B170:L170" si="93">SUM(B171:B171)</f>
        <v>0</v>
      </c>
      <c r="C170" s="66">
        <f t="shared" si="93"/>
        <v>0</v>
      </c>
      <c r="D170" s="66">
        <f t="shared" si="93"/>
        <v>0</v>
      </c>
      <c r="E170" s="66">
        <f t="shared" si="93"/>
        <v>0</v>
      </c>
      <c r="F170" s="66">
        <f t="shared" si="93"/>
        <v>0</v>
      </c>
      <c r="G170" s="66">
        <f t="shared" si="93"/>
        <v>0</v>
      </c>
      <c r="H170" s="66">
        <f t="shared" si="93"/>
        <v>0</v>
      </c>
      <c r="I170" s="66">
        <f t="shared" si="93"/>
        <v>0</v>
      </c>
      <c r="J170" s="66">
        <f t="shared" si="93"/>
        <v>0</v>
      </c>
      <c r="K170" s="66">
        <f t="shared" si="93"/>
        <v>0</v>
      </c>
      <c r="L170" s="66">
        <f t="shared" si="93"/>
        <v>0</v>
      </c>
      <c r="M170" s="530">
        <f t="shared" ref="M170:M201" si="94">N170-SUM(B170:L170)</f>
        <v>0</v>
      </c>
      <c r="N170" s="68">
        <f>'D3-Capex'!I136</f>
        <v>0</v>
      </c>
      <c r="O170" s="66">
        <f>'D3-Capex'!J136</f>
        <v>0</v>
      </c>
      <c r="P170" s="67">
        <f>'D3-Capex'!K136</f>
        <v>0</v>
      </c>
      <c r="Q170" s="714"/>
    </row>
    <row r="171" spans="1:17" x14ac:dyDescent="0.25">
      <c r="A171" s="235" t="s">
        <v>946</v>
      </c>
      <c r="B171" s="533"/>
      <c r="C171" s="533"/>
      <c r="D171" s="533"/>
      <c r="E171" s="533"/>
      <c r="F171" s="533"/>
      <c r="G171" s="533"/>
      <c r="H171" s="533"/>
      <c r="I171" s="533"/>
      <c r="J171" s="533"/>
      <c r="K171" s="533"/>
      <c r="L171" s="533"/>
      <c r="M171" s="530">
        <f t="shared" si="94"/>
        <v>0</v>
      </c>
      <c r="N171" s="68">
        <f>'D3-Capex'!I137</f>
        <v>0</v>
      </c>
      <c r="O171" s="66">
        <f>'D3-Capex'!J137</f>
        <v>0</v>
      </c>
      <c r="P171" s="67">
        <f>'D3-Capex'!K137</f>
        <v>0</v>
      </c>
      <c r="Q171" s="714"/>
    </row>
    <row r="172" spans="1:17" x14ac:dyDescent="0.25">
      <c r="A172" s="267"/>
      <c r="B172" s="66"/>
      <c r="C172" s="66"/>
      <c r="D172" s="66"/>
      <c r="E172" s="66"/>
      <c r="F172" s="66"/>
      <c r="G172" s="66"/>
      <c r="H172" s="66"/>
      <c r="I172" s="66"/>
      <c r="J172" s="66"/>
      <c r="K172" s="66"/>
      <c r="L172" s="66"/>
      <c r="M172" s="530"/>
      <c r="N172" s="68"/>
      <c r="O172" s="66"/>
      <c r="P172" s="67"/>
      <c r="Q172" s="714"/>
    </row>
    <row r="173" spans="1:17" x14ac:dyDescent="0.25">
      <c r="A173" s="256" t="s">
        <v>947</v>
      </c>
      <c r="B173" s="66">
        <f>+B174+B175</f>
        <v>0</v>
      </c>
      <c r="C173" s="66">
        <f t="shared" ref="C173" si="95">+C174+C175</f>
        <v>0</v>
      </c>
      <c r="D173" s="66">
        <f>+D174+D175</f>
        <v>0</v>
      </c>
      <c r="E173" s="66">
        <f t="shared" ref="E173" si="96">+E174+E175</f>
        <v>0</v>
      </c>
      <c r="F173" s="66">
        <f>+F174+F175</f>
        <v>0</v>
      </c>
      <c r="G173" s="66">
        <f t="shared" ref="G173" si="97">+G174+G175</f>
        <v>0</v>
      </c>
      <c r="H173" s="66">
        <f>+H174+H175</f>
        <v>0</v>
      </c>
      <c r="I173" s="66">
        <f t="shared" ref="I173" si="98">+I174+I175</f>
        <v>0</v>
      </c>
      <c r="J173" s="66">
        <f>+J174+J175</f>
        <v>0</v>
      </c>
      <c r="K173" s="66">
        <f t="shared" ref="K173:L173" si="99">+K174+K175</f>
        <v>0</v>
      </c>
      <c r="L173" s="66">
        <f t="shared" si="99"/>
        <v>0</v>
      </c>
      <c r="M173" s="530">
        <f t="shared" si="94"/>
        <v>0</v>
      </c>
      <c r="N173" s="68">
        <f>'D3-Capex'!I139</f>
        <v>0</v>
      </c>
      <c r="O173" s="66">
        <f>'D3-Capex'!J139</f>
        <v>0</v>
      </c>
      <c r="P173" s="67">
        <f>'D3-Capex'!K139</f>
        <v>0</v>
      </c>
      <c r="Q173" s="714"/>
    </row>
    <row r="174" spans="1:17" x14ac:dyDescent="0.25">
      <c r="A174" s="239" t="s">
        <v>948</v>
      </c>
      <c r="B174" s="533"/>
      <c r="C174" s="533"/>
      <c r="D174" s="533"/>
      <c r="E174" s="533"/>
      <c r="F174" s="533"/>
      <c r="G174" s="533"/>
      <c r="H174" s="533"/>
      <c r="I174" s="533"/>
      <c r="J174" s="533"/>
      <c r="K174" s="533"/>
      <c r="L174" s="533"/>
      <c r="M174" s="530">
        <f t="shared" si="94"/>
        <v>0</v>
      </c>
      <c r="N174" s="68">
        <f>'D3-Capex'!I140</f>
        <v>0</v>
      </c>
      <c r="O174" s="66">
        <f>'D3-Capex'!J140</f>
        <v>0</v>
      </c>
      <c r="P174" s="67">
        <f>'D3-Capex'!K140</f>
        <v>0</v>
      </c>
      <c r="Q174" s="714"/>
    </row>
    <row r="175" spans="1:17" x14ac:dyDescent="0.25">
      <c r="A175" s="239" t="s">
        <v>949</v>
      </c>
      <c r="B175" s="155">
        <f>SUM(B176:B181)</f>
        <v>0</v>
      </c>
      <c r="C175" s="155">
        <f t="shared" ref="C175" si="100">SUM(C176:C181)</f>
        <v>0</v>
      </c>
      <c r="D175" s="155">
        <f>SUM(D176:D181)</f>
        <v>0</v>
      </c>
      <c r="E175" s="155">
        <f t="shared" ref="E175" si="101">SUM(E176:E181)</f>
        <v>0</v>
      </c>
      <c r="F175" s="155">
        <f>SUM(F176:F181)</f>
        <v>0</v>
      </c>
      <c r="G175" s="155">
        <f t="shared" ref="G175" si="102">SUM(G176:G181)</f>
        <v>0</v>
      </c>
      <c r="H175" s="155">
        <f>SUM(H176:H181)</f>
        <v>0</v>
      </c>
      <c r="I175" s="155">
        <f t="shared" ref="I175" si="103">SUM(I176:I181)</f>
        <v>0</v>
      </c>
      <c r="J175" s="155">
        <f>SUM(J176:J181)</f>
        <v>0</v>
      </c>
      <c r="K175" s="155">
        <f t="shared" ref="K175:L175" si="104">SUM(K176:K181)</f>
        <v>0</v>
      </c>
      <c r="L175" s="155">
        <f t="shared" si="104"/>
        <v>0</v>
      </c>
      <c r="M175" s="530">
        <f t="shared" si="94"/>
        <v>0</v>
      </c>
      <c r="N175" s="68">
        <f>'D3-Capex'!I141</f>
        <v>0</v>
      </c>
      <c r="O175" s="66">
        <f>'D3-Capex'!J141</f>
        <v>0</v>
      </c>
      <c r="P175" s="67">
        <f>'D3-Capex'!K141</f>
        <v>0</v>
      </c>
      <c r="Q175" s="714"/>
    </row>
    <row r="176" spans="1:17" x14ac:dyDescent="0.25">
      <c r="A176" s="263" t="s">
        <v>950</v>
      </c>
      <c r="B176" s="295"/>
      <c r="C176" s="295"/>
      <c r="D176" s="295"/>
      <c r="E176" s="295"/>
      <c r="F176" s="295"/>
      <c r="G176" s="295"/>
      <c r="H176" s="295"/>
      <c r="I176" s="295"/>
      <c r="J176" s="295"/>
      <c r="K176" s="295"/>
      <c r="L176" s="295"/>
      <c r="M176" s="530">
        <f t="shared" si="94"/>
        <v>0</v>
      </c>
      <c r="N176" s="68">
        <f>'D3-Capex'!I142</f>
        <v>0</v>
      </c>
      <c r="O176" s="66">
        <f>'D3-Capex'!J142</f>
        <v>0</v>
      </c>
      <c r="P176" s="67">
        <f>'D3-Capex'!K142</f>
        <v>0</v>
      </c>
      <c r="Q176" s="714"/>
    </row>
    <row r="177" spans="1:17" x14ac:dyDescent="0.25">
      <c r="A177" s="263" t="s">
        <v>951</v>
      </c>
      <c r="B177" s="295"/>
      <c r="C177" s="295"/>
      <c r="D177" s="295"/>
      <c r="E177" s="295"/>
      <c r="F177" s="295"/>
      <c r="G177" s="295"/>
      <c r="H177" s="295"/>
      <c r="I177" s="295"/>
      <c r="J177" s="295"/>
      <c r="K177" s="295"/>
      <c r="L177" s="295"/>
      <c r="M177" s="530">
        <f t="shared" si="94"/>
        <v>0</v>
      </c>
      <c r="N177" s="68">
        <f>'D3-Capex'!I143</f>
        <v>0</v>
      </c>
      <c r="O177" s="66">
        <f>'D3-Capex'!J143</f>
        <v>0</v>
      </c>
      <c r="P177" s="67">
        <f>'D3-Capex'!K143</f>
        <v>0</v>
      </c>
      <c r="Q177" s="714"/>
    </row>
    <row r="178" spans="1:17" x14ac:dyDescent="0.25">
      <c r="A178" s="263" t="s">
        <v>952</v>
      </c>
      <c r="B178" s="295"/>
      <c r="C178" s="295"/>
      <c r="D178" s="295"/>
      <c r="E178" s="295"/>
      <c r="F178" s="295"/>
      <c r="G178" s="295"/>
      <c r="H178" s="295"/>
      <c r="I178" s="295"/>
      <c r="J178" s="295"/>
      <c r="K178" s="295"/>
      <c r="L178" s="295"/>
      <c r="M178" s="530">
        <f t="shared" si="94"/>
        <v>0</v>
      </c>
      <c r="N178" s="68">
        <f>'D3-Capex'!I144</f>
        <v>0</v>
      </c>
      <c r="O178" s="66">
        <f>'D3-Capex'!J144</f>
        <v>0</v>
      </c>
      <c r="P178" s="67">
        <f>'D3-Capex'!K144</f>
        <v>0</v>
      </c>
      <c r="Q178" s="714"/>
    </row>
    <row r="179" spans="1:17" x14ac:dyDescent="0.25">
      <c r="A179" s="263" t="s">
        <v>953</v>
      </c>
      <c r="B179" s="295"/>
      <c r="C179" s="295"/>
      <c r="D179" s="295"/>
      <c r="E179" s="295"/>
      <c r="F179" s="295"/>
      <c r="G179" s="295"/>
      <c r="H179" s="295"/>
      <c r="I179" s="295"/>
      <c r="J179" s="295"/>
      <c r="K179" s="295"/>
      <c r="L179" s="295"/>
      <c r="M179" s="530">
        <f t="shared" si="94"/>
        <v>0</v>
      </c>
      <c r="N179" s="68">
        <f>'D3-Capex'!I145</f>
        <v>0</v>
      </c>
      <c r="O179" s="66">
        <f>'D3-Capex'!J145</f>
        <v>0</v>
      </c>
      <c r="P179" s="67">
        <f>'D3-Capex'!K145</f>
        <v>0</v>
      </c>
      <c r="Q179" s="714"/>
    </row>
    <row r="180" spans="1:17" x14ac:dyDescent="0.25">
      <c r="A180" s="263" t="s">
        <v>954</v>
      </c>
      <c r="B180" s="295"/>
      <c r="C180" s="295"/>
      <c r="D180" s="295"/>
      <c r="E180" s="295"/>
      <c r="F180" s="295"/>
      <c r="G180" s="295"/>
      <c r="H180" s="295"/>
      <c r="I180" s="295"/>
      <c r="J180" s="295"/>
      <c r="K180" s="295"/>
      <c r="L180" s="295"/>
      <c r="M180" s="530">
        <f t="shared" si="94"/>
        <v>0</v>
      </c>
      <c r="N180" s="68">
        <f>'D3-Capex'!I146</f>
        <v>0</v>
      </c>
      <c r="O180" s="66">
        <f>'D3-Capex'!J146</f>
        <v>0</v>
      </c>
      <c r="P180" s="67">
        <f>'D3-Capex'!K146</f>
        <v>0</v>
      </c>
      <c r="Q180" s="714"/>
    </row>
    <row r="181" spans="1:17" x14ac:dyDescent="0.25">
      <c r="A181" s="263" t="s">
        <v>955</v>
      </c>
      <c r="B181" s="295"/>
      <c r="C181" s="295"/>
      <c r="D181" s="295"/>
      <c r="E181" s="295"/>
      <c r="F181" s="295"/>
      <c r="G181" s="295"/>
      <c r="H181" s="295"/>
      <c r="I181" s="295"/>
      <c r="J181" s="295"/>
      <c r="K181" s="295"/>
      <c r="L181" s="295"/>
      <c r="M181" s="530">
        <f t="shared" si="94"/>
        <v>0</v>
      </c>
      <c r="N181" s="68">
        <f>'D3-Capex'!I147</f>
        <v>0</v>
      </c>
      <c r="O181" s="66">
        <f>'D3-Capex'!J147</f>
        <v>0</v>
      </c>
      <c r="P181" s="67">
        <f>'D3-Capex'!K147</f>
        <v>0</v>
      </c>
      <c r="Q181" s="714"/>
    </row>
    <row r="182" spans="1:17" x14ac:dyDescent="0.25">
      <c r="A182" s="267"/>
      <c r="B182" s="80"/>
      <c r="C182" s="80"/>
      <c r="D182" s="80"/>
      <c r="E182" s="80"/>
      <c r="F182" s="80"/>
      <c r="G182" s="80"/>
      <c r="H182" s="80"/>
      <c r="I182" s="80"/>
      <c r="J182" s="80"/>
      <c r="K182" s="80"/>
      <c r="L182" s="80"/>
      <c r="M182" s="530"/>
      <c r="N182" s="68"/>
      <c r="O182" s="66"/>
      <c r="P182" s="67"/>
      <c r="Q182" s="714"/>
    </row>
    <row r="183" spans="1:17" x14ac:dyDescent="0.25">
      <c r="A183" s="256" t="s">
        <v>956</v>
      </c>
      <c r="B183" s="66">
        <f t="shared" ref="B183:L183" si="105">SUM(B184:B184)</f>
        <v>211810.36106111083</v>
      </c>
      <c r="C183" s="66">
        <f t="shared" si="105"/>
        <v>211810.36106111083</v>
      </c>
      <c r="D183" s="66">
        <f t="shared" si="105"/>
        <v>211810.36106111083</v>
      </c>
      <c r="E183" s="66">
        <f t="shared" si="105"/>
        <v>211810.36106111083</v>
      </c>
      <c r="F183" s="66">
        <f t="shared" si="105"/>
        <v>211810.36106111083</v>
      </c>
      <c r="G183" s="66">
        <f t="shared" si="105"/>
        <v>211810.36106111083</v>
      </c>
      <c r="H183" s="66">
        <f t="shared" si="105"/>
        <v>211810.36106111083</v>
      </c>
      <c r="I183" s="66">
        <f t="shared" si="105"/>
        <v>211810.36106111083</v>
      </c>
      <c r="J183" s="66">
        <f t="shared" si="105"/>
        <v>211810.36106111083</v>
      </c>
      <c r="K183" s="66">
        <f t="shared" si="105"/>
        <v>211810.36106111083</v>
      </c>
      <c r="L183" s="66">
        <f t="shared" si="105"/>
        <v>211810.36106111083</v>
      </c>
      <c r="M183" s="530">
        <f t="shared" si="94"/>
        <v>211810.36106111109</v>
      </c>
      <c r="N183" s="68">
        <f>'D3-Capex'!I149</f>
        <v>2541724.3327333299</v>
      </c>
      <c r="O183" s="66">
        <f>'D3-Capex'!J149</f>
        <v>2648476.7547081332</v>
      </c>
      <c r="P183" s="67">
        <f>'D3-Capex'!K149</f>
        <v>2765009.7319152914</v>
      </c>
      <c r="Q183" s="714"/>
    </row>
    <row r="184" spans="1:17" x14ac:dyDescent="0.25">
      <c r="A184" s="235" t="s">
        <v>956</v>
      </c>
      <c r="B184" s="533">
        <v>211810.36106111083</v>
      </c>
      <c r="C184" s="533">
        <v>211810.36106111083</v>
      </c>
      <c r="D184" s="533">
        <v>211810.36106111083</v>
      </c>
      <c r="E184" s="533">
        <v>211810.36106111083</v>
      </c>
      <c r="F184" s="533">
        <v>211810.36106111083</v>
      </c>
      <c r="G184" s="533">
        <v>211810.36106111083</v>
      </c>
      <c r="H184" s="533">
        <v>211810.36106111083</v>
      </c>
      <c r="I184" s="533">
        <v>211810.36106111083</v>
      </c>
      <c r="J184" s="533">
        <v>211810.36106111083</v>
      </c>
      <c r="K184" s="533">
        <v>211810.36106111083</v>
      </c>
      <c r="L184" s="533">
        <v>211810.36106111083</v>
      </c>
      <c r="M184" s="530">
        <v>211810.36106111083</v>
      </c>
      <c r="N184" s="68">
        <f>'D3-Capex'!I150</f>
        <v>2541724.3327333299</v>
      </c>
      <c r="O184" s="66">
        <f>'D3-Capex'!J150</f>
        <v>2648476.7547081332</v>
      </c>
      <c r="P184" s="67">
        <f>'D3-Capex'!K150</f>
        <v>2765009.7319152914</v>
      </c>
      <c r="Q184" s="714"/>
    </row>
    <row r="185" spans="1:17" x14ac:dyDescent="0.25">
      <c r="A185" s="267"/>
      <c r="B185" s="66"/>
      <c r="C185" s="66"/>
      <c r="D185" s="66"/>
      <c r="E185" s="66"/>
      <c r="F185" s="66"/>
      <c r="G185" s="66"/>
      <c r="H185" s="66"/>
      <c r="I185" s="66"/>
      <c r="J185" s="66"/>
      <c r="K185" s="66"/>
      <c r="L185" s="66"/>
      <c r="M185" s="530"/>
      <c r="N185" s="68"/>
      <c r="O185" s="66"/>
      <c r="P185" s="67"/>
      <c r="Q185" s="714"/>
    </row>
    <row r="186" spans="1:17" x14ac:dyDescent="0.25">
      <c r="A186" s="256" t="s">
        <v>957</v>
      </c>
      <c r="B186" s="66">
        <f t="shared" ref="B186:L186" si="106">SUM(B187:B187)</f>
        <v>42925.011111111111</v>
      </c>
      <c r="C186" s="66">
        <f t="shared" si="106"/>
        <v>42925.011111111111</v>
      </c>
      <c r="D186" s="66">
        <f t="shared" si="106"/>
        <v>42925.011111111111</v>
      </c>
      <c r="E186" s="66">
        <f t="shared" si="106"/>
        <v>42925.011111111111</v>
      </c>
      <c r="F186" s="66">
        <f t="shared" si="106"/>
        <v>42925.011111111111</v>
      </c>
      <c r="G186" s="66">
        <f t="shared" si="106"/>
        <v>42925.011111111111</v>
      </c>
      <c r="H186" s="66">
        <f t="shared" si="106"/>
        <v>42925.011111111111</v>
      </c>
      <c r="I186" s="66">
        <f t="shared" si="106"/>
        <v>42925.011111111111</v>
      </c>
      <c r="J186" s="66">
        <f t="shared" si="106"/>
        <v>42925.011111111111</v>
      </c>
      <c r="K186" s="66">
        <f t="shared" si="106"/>
        <v>42925.011111111111</v>
      </c>
      <c r="L186" s="66">
        <f t="shared" si="106"/>
        <v>42925.011111111111</v>
      </c>
      <c r="M186" s="530">
        <f t="shared" si="94"/>
        <v>42925.011111111147</v>
      </c>
      <c r="N186" s="68">
        <f>'D3-Capex'!I152</f>
        <v>515100.1333333333</v>
      </c>
      <c r="O186" s="66">
        <f>'D3-Capex'!J152</f>
        <v>515734.33893333335</v>
      </c>
      <c r="P186" s="67">
        <f>'D3-Capex'!K152</f>
        <v>516426.64984640002</v>
      </c>
      <c r="Q186" s="714"/>
    </row>
    <row r="187" spans="1:17" x14ac:dyDescent="0.25">
      <c r="A187" s="235" t="s">
        <v>957</v>
      </c>
      <c r="B187" s="533">
        <v>42925.011111111111</v>
      </c>
      <c r="C187" s="533">
        <v>42925.011111111111</v>
      </c>
      <c r="D187" s="533">
        <v>42925.011111111111</v>
      </c>
      <c r="E187" s="533">
        <v>42925.011111111111</v>
      </c>
      <c r="F187" s="533">
        <v>42925.011111111111</v>
      </c>
      <c r="G187" s="533">
        <v>42925.011111111111</v>
      </c>
      <c r="H187" s="533">
        <v>42925.011111111111</v>
      </c>
      <c r="I187" s="533">
        <v>42925.011111111111</v>
      </c>
      <c r="J187" s="533">
        <v>42925.011111111111</v>
      </c>
      <c r="K187" s="533">
        <v>42925.011111111111</v>
      </c>
      <c r="L187" s="533">
        <v>42925.011111111111</v>
      </c>
      <c r="M187" s="530">
        <v>42925.011111111111</v>
      </c>
      <c r="N187" s="68">
        <f>'D3-Capex'!I153</f>
        <v>515100.1333333333</v>
      </c>
      <c r="O187" s="66">
        <f>'D3-Capex'!J153</f>
        <v>515734.33893333335</v>
      </c>
      <c r="P187" s="67">
        <f>'D3-Capex'!K153</f>
        <v>516426.64984640002</v>
      </c>
      <c r="Q187" s="714"/>
    </row>
    <row r="188" spans="1:17" x14ac:dyDescent="0.25">
      <c r="A188" s="267"/>
      <c r="B188" s="66"/>
      <c r="C188" s="66"/>
      <c r="D188" s="66"/>
      <c r="E188" s="66"/>
      <c r="F188" s="66"/>
      <c r="G188" s="66"/>
      <c r="H188" s="66"/>
      <c r="I188" s="66"/>
      <c r="J188" s="66"/>
      <c r="K188" s="66"/>
      <c r="L188" s="66"/>
      <c r="M188" s="530"/>
      <c r="N188" s="68"/>
      <c r="O188" s="66"/>
      <c r="P188" s="67"/>
      <c r="Q188" s="714"/>
    </row>
    <row r="189" spans="1:17" x14ac:dyDescent="0.25">
      <c r="A189" s="256" t="s">
        <v>958</v>
      </c>
      <c r="B189" s="66">
        <f t="shared" ref="B189:L189" si="107">SUM(B190:B190)</f>
        <v>0</v>
      </c>
      <c r="C189" s="66">
        <f t="shared" si="107"/>
        <v>0</v>
      </c>
      <c r="D189" s="66">
        <f t="shared" si="107"/>
        <v>0</v>
      </c>
      <c r="E189" s="66">
        <f t="shared" si="107"/>
        <v>0</v>
      </c>
      <c r="F189" s="66">
        <f t="shared" si="107"/>
        <v>0</v>
      </c>
      <c r="G189" s="66">
        <f t="shared" si="107"/>
        <v>0</v>
      </c>
      <c r="H189" s="66">
        <f t="shared" si="107"/>
        <v>0</v>
      </c>
      <c r="I189" s="66">
        <f t="shared" si="107"/>
        <v>0</v>
      </c>
      <c r="J189" s="66">
        <f t="shared" si="107"/>
        <v>0</v>
      </c>
      <c r="K189" s="66">
        <f t="shared" si="107"/>
        <v>0</v>
      </c>
      <c r="L189" s="66">
        <f t="shared" si="107"/>
        <v>0</v>
      </c>
      <c r="M189" s="530">
        <f t="shared" si="94"/>
        <v>0</v>
      </c>
      <c r="N189" s="68">
        <f>'D3-Capex'!I155</f>
        <v>0</v>
      </c>
      <c r="O189" s="66">
        <f>'D3-Capex'!J155</f>
        <v>0</v>
      </c>
      <c r="P189" s="67">
        <f>'D3-Capex'!K155</f>
        <v>0</v>
      </c>
      <c r="Q189" s="714"/>
    </row>
    <row r="190" spans="1:17" x14ac:dyDescent="0.25">
      <c r="A190" s="235" t="s">
        <v>958</v>
      </c>
      <c r="B190" s="533"/>
      <c r="C190" s="533"/>
      <c r="D190" s="533"/>
      <c r="E190" s="533"/>
      <c r="F190" s="533"/>
      <c r="G190" s="533"/>
      <c r="H190" s="533"/>
      <c r="I190" s="533"/>
      <c r="J190" s="533"/>
      <c r="K190" s="533"/>
      <c r="L190" s="533"/>
      <c r="M190" s="530">
        <f t="shared" si="94"/>
        <v>0</v>
      </c>
      <c r="N190" s="68">
        <f>'D3-Capex'!I156</f>
        <v>0</v>
      </c>
      <c r="O190" s="66">
        <f>'D3-Capex'!J156</f>
        <v>0</v>
      </c>
      <c r="P190" s="67">
        <f>'D3-Capex'!K156</f>
        <v>0</v>
      </c>
      <c r="Q190" s="714"/>
    </row>
    <row r="191" spans="1:17" x14ac:dyDescent="0.25">
      <c r="A191" s="267"/>
      <c r="B191" s="66"/>
      <c r="C191" s="66"/>
      <c r="D191" s="66"/>
      <c r="E191" s="66"/>
      <c r="F191" s="66"/>
      <c r="G191" s="66"/>
      <c r="H191" s="66"/>
      <c r="I191" s="66"/>
      <c r="J191" s="66"/>
      <c r="K191" s="66"/>
      <c r="L191" s="66"/>
      <c r="M191" s="530"/>
      <c r="N191" s="68"/>
      <c r="O191" s="66"/>
      <c r="P191" s="67"/>
      <c r="Q191" s="714"/>
    </row>
    <row r="192" spans="1:17" x14ac:dyDescent="0.25">
      <c r="A192" s="256" t="s">
        <v>959</v>
      </c>
      <c r="B192" s="66">
        <f t="shared" ref="B192:L192" si="108">SUM(B193:B193)</f>
        <v>2550000.0003888891</v>
      </c>
      <c r="C192" s="66">
        <f t="shared" si="108"/>
        <v>2550000.0003888891</v>
      </c>
      <c r="D192" s="66">
        <f t="shared" si="108"/>
        <v>2550000.0003888891</v>
      </c>
      <c r="E192" s="66">
        <f t="shared" si="108"/>
        <v>2550000.0003888891</v>
      </c>
      <c r="F192" s="66">
        <f t="shared" si="108"/>
        <v>2550000.0003888891</v>
      </c>
      <c r="G192" s="66">
        <f t="shared" si="108"/>
        <v>2550000.0003888891</v>
      </c>
      <c r="H192" s="66">
        <f t="shared" si="108"/>
        <v>2550000.0003888891</v>
      </c>
      <c r="I192" s="66">
        <f t="shared" si="108"/>
        <v>2550000.0003888891</v>
      </c>
      <c r="J192" s="66">
        <f t="shared" si="108"/>
        <v>2550000.0003888891</v>
      </c>
      <c r="K192" s="66">
        <f t="shared" si="108"/>
        <v>2550000.0003888891</v>
      </c>
      <c r="L192" s="66">
        <f t="shared" si="108"/>
        <v>2550000.0003888891</v>
      </c>
      <c r="M192" s="530">
        <f t="shared" si="94"/>
        <v>2550000.0003888831</v>
      </c>
      <c r="N192" s="68">
        <f>'D3-Capex'!I158</f>
        <v>30600000.004666667</v>
      </c>
      <c r="O192" s="66">
        <f>'D3-Capex'!J158</f>
        <v>619245.00364266662</v>
      </c>
      <c r="P192" s="67">
        <f>'D3-Capex'!K158</f>
        <v>639125.84352294402</v>
      </c>
      <c r="Q192" s="714"/>
    </row>
    <row r="193" spans="1:17" x14ac:dyDescent="0.25">
      <c r="A193" s="235" t="s">
        <v>959</v>
      </c>
      <c r="B193" s="533">
        <v>2550000.0003888891</v>
      </c>
      <c r="C193" s="533">
        <v>2550000.0003888891</v>
      </c>
      <c r="D193" s="533">
        <v>2550000.0003888891</v>
      </c>
      <c r="E193" s="533">
        <v>2550000.0003888891</v>
      </c>
      <c r="F193" s="533">
        <v>2550000.0003888891</v>
      </c>
      <c r="G193" s="533">
        <v>2550000.0003888891</v>
      </c>
      <c r="H193" s="533">
        <v>2550000.0003888891</v>
      </c>
      <c r="I193" s="533">
        <v>2550000.0003888891</v>
      </c>
      <c r="J193" s="533">
        <v>2550000.0003888891</v>
      </c>
      <c r="K193" s="533">
        <v>2550000.0003888891</v>
      </c>
      <c r="L193" s="533">
        <v>2550000.0003888891</v>
      </c>
      <c r="M193" s="530">
        <v>2550000.0003888891</v>
      </c>
      <c r="N193" s="68">
        <f>'D3-Capex'!I159</f>
        <v>30600000.004666667</v>
      </c>
      <c r="O193" s="66">
        <f>'D3-Capex'!J159</f>
        <v>619245.00364266662</v>
      </c>
      <c r="P193" s="67">
        <f>'D3-Capex'!K159</f>
        <v>639125.84352294402</v>
      </c>
      <c r="Q193" s="714"/>
    </row>
    <row r="194" spans="1:17" x14ac:dyDescent="0.25">
      <c r="A194" s="267"/>
      <c r="B194" s="66"/>
      <c r="C194" s="66"/>
      <c r="D194" s="66"/>
      <c r="E194" s="66"/>
      <c r="F194" s="66"/>
      <c r="G194" s="66"/>
      <c r="H194" s="66"/>
      <c r="I194" s="66"/>
      <c r="J194" s="66"/>
      <c r="K194" s="66"/>
      <c r="L194" s="66"/>
      <c r="M194" s="530"/>
      <c r="N194" s="68"/>
      <c r="O194" s="66"/>
      <c r="P194" s="67"/>
      <c r="Q194" s="714"/>
    </row>
    <row r="195" spans="1:17" x14ac:dyDescent="0.25">
      <c r="A195" s="256" t="s">
        <v>974</v>
      </c>
      <c r="B195" s="66">
        <f t="shared" ref="B195:L195" si="109">SUM(B196:B196)</f>
        <v>0</v>
      </c>
      <c r="C195" s="66">
        <f t="shared" si="109"/>
        <v>0</v>
      </c>
      <c r="D195" s="66">
        <f t="shared" si="109"/>
        <v>0</v>
      </c>
      <c r="E195" s="66">
        <f t="shared" si="109"/>
        <v>0</v>
      </c>
      <c r="F195" s="66">
        <f t="shared" si="109"/>
        <v>0</v>
      </c>
      <c r="G195" s="66">
        <f t="shared" si="109"/>
        <v>0</v>
      </c>
      <c r="H195" s="66">
        <f t="shared" si="109"/>
        <v>0</v>
      </c>
      <c r="I195" s="66">
        <f t="shared" si="109"/>
        <v>0</v>
      </c>
      <c r="J195" s="66">
        <f t="shared" si="109"/>
        <v>0</v>
      </c>
      <c r="K195" s="66">
        <f t="shared" si="109"/>
        <v>0</v>
      </c>
      <c r="L195" s="66">
        <f t="shared" si="109"/>
        <v>0</v>
      </c>
      <c r="M195" s="530">
        <f t="shared" si="94"/>
        <v>0</v>
      </c>
      <c r="N195" s="68">
        <f>'D3-Capex'!I161</f>
        <v>0</v>
      </c>
      <c r="O195" s="66">
        <f>'D3-Capex'!J161</f>
        <v>0</v>
      </c>
      <c r="P195" s="67">
        <f>'D3-Capex'!K161</f>
        <v>0</v>
      </c>
      <c r="Q195" s="714"/>
    </row>
    <row r="196" spans="1:17" x14ac:dyDescent="0.25">
      <c r="A196" s="235" t="s">
        <v>974</v>
      </c>
      <c r="B196" s="533"/>
      <c r="C196" s="533"/>
      <c r="D196" s="533"/>
      <c r="E196" s="533"/>
      <c r="F196" s="533"/>
      <c r="G196" s="533"/>
      <c r="H196" s="533"/>
      <c r="I196" s="533"/>
      <c r="J196" s="533"/>
      <c r="K196" s="533"/>
      <c r="L196" s="533"/>
      <c r="M196" s="530">
        <f t="shared" si="94"/>
        <v>0</v>
      </c>
      <c r="N196" s="68">
        <f>'D3-Capex'!I162</f>
        <v>0</v>
      </c>
      <c r="O196" s="66">
        <f>'D3-Capex'!J162</f>
        <v>0</v>
      </c>
      <c r="P196" s="67">
        <f>'D3-Capex'!K162</f>
        <v>0</v>
      </c>
      <c r="Q196" s="714"/>
    </row>
    <row r="197" spans="1:17" x14ac:dyDescent="0.25">
      <c r="A197" s="267"/>
      <c r="B197" s="66"/>
      <c r="C197" s="66"/>
      <c r="D197" s="66"/>
      <c r="E197" s="66"/>
      <c r="F197" s="66"/>
      <c r="G197" s="66"/>
      <c r="H197" s="66"/>
      <c r="I197" s="66"/>
      <c r="J197" s="66"/>
      <c r="K197" s="66"/>
      <c r="L197" s="66"/>
      <c r="M197" s="530"/>
      <c r="N197" s="68"/>
      <c r="O197" s="66"/>
      <c r="P197" s="67"/>
      <c r="Q197" s="714"/>
    </row>
    <row r="198" spans="1:17" x14ac:dyDescent="0.25">
      <c r="A198" s="256" t="s">
        <v>960</v>
      </c>
      <c r="B198" s="66">
        <f t="shared" ref="B198:L198" si="110">SUM(B199:B199)</f>
        <v>0</v>
      </c>
      <c r="C198" s="66">
        <f t="shared" si="110"/>
        <v>0</v>
      </c>
      <c r="D198" s="66">
        <f t="shared" si="110"/>
        <v>0</v>
      </c>
      <c r="E198" s="66">
        <f t="shared" si="110"/>
        <v>0</v>
      </c>
      <c r="F198" s="66">
        <f t="shared" si="110"/>
        <v>0</v>
      </c>
      <c r="G198" s="66">
        <f t="shared" si="110"/>
        <v>0</v>
      </c>
      <c r="H198" s="66">
        <f t="shared" si="110"/>
        <v>0</v>
      </c>
      <c r="I198" s="66">
        <f t="shared" si="110"/>
        <v>0</v>
      </c>
      <c r="J198" s="66">
        <f t="shared" si="110"/>
        <v>0</v>
      </c>
      <c r="K198" s="66">
        <f t="shared" si="110"/>
        <v>0</v>
      </c>
      <c r="L198" s="66">
        <f t="shared" si="110"/>
        <v>0</v>
      </c>
      <c r="M198" s="530">
        <f t="shared" si="94"/>
        <v>0</v>
      </c>
      <c r="N198" s="68">
        <f>'D3-Capex'!I164</f>
        <v>0</v>
      </c>
      <c r="O198" s="66">
        <f>'D3-Capex'!J164</f>
        <v>0</v>
      </c>
      <c r="P198" s="67">
        <f>'D3-Capex'!K164</f>
        <v>0</v>
      </c>
      <c r="Q198" s="714"/>
    </row>
    <row r="199" spans="1:17" x14ac:dyDescent="0.25">
      <c r="A199" s="235" t="s">
        <v>960</v>
      </c>
      <c r="B199" s="533"/>
      <c r="C199" s="533"/>
      <c r="D199" s="533"/>
      <c r="E199" s="533"/>
      <c r="F199" s="533"/>
      <c r="G199" s="533"/>
      <c r="H199" s="533"/>
      <c r="I199" s="533"/>
      <c r="J199" s="533"/>
      <c r="K199" s="533"/>
      <c r="L199" s="533"/>
      <c r="M199" s="530">
        <f t="shared" si="94"/>
        <v>0</v>
      </c>
      <c r="N199" s="68">
        <f>'D3-Capex'!I165</f>
        <v>0</v>
      </c>
      <c r="O199" s="66">
        <f>'D3-Capex'!J165</f>
        <v>0</v>
      </c>
      <c r="P199" s="67">
        <f>'D3-Capex'!K165</f>
        <v>0</v>
      </c>
      <c r="Q199" s="714"/>
    </row>
    <row r="200" spans="1:17" x14ac:dyDescent="0.25">
      <c r="A200" s="267"/>
      <c r="B200" s="66"/>
      <c r="C200" s="66"/>
      <c r="D200" s="66"/>
      <c r="E200" s="66"/>
      <c r="F200" s="66"/>
      <c r="G200" s="66"/>
      <c r="H200" s="66"/>
      <c r="I200" s="66"/>
      <c r="J200" s="66"/>
      <c r="K200" s="66"/>
      <c r="L200" s="66"/>
      <c r="M200" s="530"/>
      <c r="N200" s="68"/>
      <c r="O200" s="66"/>
      <c r="P200" s="67"/>
      <c r="Q200" s="714"/>
    </row>
    <row r="201" spans="1:17" x14ac:dyDescent="0.25">
      <c r="A201" s="248" t="s">
        <v>1013</v>
      </c>
      <c r="B201" s="251">
        <f>B40+B108+B137+B144+B152+B170+B173+B183+B186+B189+B192+B195+B198</f>
        <v>18145985.496940557</v>
      </c>
      <c r="C201" s="251">
        <f t="shared" ref="C201" si="111">C40+C108+C137+C144+C152+C170+C173+C183+C186+C189+C192+C195+C198</f>
        <v>18145985.496940557</v>
      </c>
      <c r="D201" s="251">
        <f>D40+D108+D137+D144+D152+D170+D173+D183+D186+D189+D192+D195+D198</f>
        <v>18145985.496940557</v>
      </c>
      <c r="E201" s="251">
        <f t="shared" ref="E201" si="112">E40+E108+E137+E144+E152+E170+E173+E183+E186+E189+E192+E195+E198</f>
        <v>18145985.496940557</v>
      </c>
      <c r="F201" s="251">
        <f>F40+F108+F137+F144+F152+F170+F173+F183+F186+F189+F192+F195+F198</f>
        <v>18145985.496940557</v>
      </c>
      <c r="G201" s="251">
        <f t="shared" ref="G201" si="113">G40+G108+G137+G144+G152+G170+G173+G183+G186+G189+G192+G195+G198</f>
        <v>18145985.496940557</v>
      </c>
      <c r="H201" s="251">
        <f>H40+H108+H137+H144+H152+H170+H173+H183+H186+H189+H192+H195+H198</f>
        <v>18145985.496940557</v>
      </c>
      <c r="I201" s="251">
        <f t="shared" ref="I201" si="114">I40+I108+I137+I144+I152+I170+I173+I183+I186+I189+I192+I195+I198</f>
        <v>18145985.496940557</v>
      </c>
      <c r="J201" s="251">
        <f>J40+J108+J137+J144+J152+J170+J173+J183+J186+J189+J192+J195+J198</f>
        <v>18145985.496940557</v>
      </c>
      <c r="K201" s="251">
        <f t="shared" ref="K201:L201" si="115">K40+K108+K137+K144+K152+K170+K173+K183+K186+K189+K192+K195+K198</f>
        <v>18145985.496940557</v>
      </c>
      <c r="L201" s="251">
        <f t="shared" si="115"/>
        <v>18145985.496940557</v>
      </c>
      <c r="M201" s="534">
        <f t="shared" si="94"/>
        <v>18145985.496940553</v>
      </c>
      <c r="N201" s="535">
        <f>'D3-Capex'!I167</f>
        <v>217751825.96328667</v>
      </c>
      <c r="O201" s="536">
        <f>'D3-Capex'!J167</f>
        <v>143462010.80420658</v>
      </c>
      <c r="P201" s="537">
        <f>'D3-Capex'!K167</f>
        <v>126391958.95704556</v>
      </c>
      <c r="Q201" s="714"/>
    </row>
    <row r="202" spans="1:17" x14ac:dyDescent="0.25">
      <c r="Q202" s="714"/>
    </row>
    <row r="203" spans="1:17" x14ac:dyDescent="0.25">
      <c r="A203" s="79" t="s">
        <v>309</v>
      </c>
    </row>
    <row r="204" spans="1:17" x14ac:dyDescent="0.25">
      <c r="A204" s="456" t="s">
        <v>335</v>
      </c>
      <c r="B204" s="538"/>
      <c r="C204" s="539"/>
      <c r="D204" s="539"/>
      <c r="E204" s="539"/>
      <c r="F204" s="539"/>
      <c r="G204" s="539"/>
      <c r="H204" s="539"/>
      <c r="I204" s="539"/>
      <c r="J204" s="539"/>
      <c r="K204" s="539"/>
      <c r="L204" s="539"/>
      <c r="M204" s="540"/>
      <c r="N204" s="541"/>
      <c r="O204" s="539"/>
      <c r="P204" s="540"/>
    </row>
    <row r="205" spans="1:17" x14ac:dyDescent="0.25">
      <c r="A205" s="239" t="s">
        <v>357</v>
      </c>
      <c r="B205" s="236"/>
      <c r="C205" s="237"/>
      <c r="D205" s="237"/>
      <c r="E205" s="237"/>
      <c r="F205" s="237"/>
      <c r="G205" s="237"/>
      <c r="H205" s="237"/>
      <c r="I205" s="237"/>
      <c r="J205" s="237"/>
      <c r="K205" s="237"/>
      <c r="L205" s="237"/>
      <c r="M205" s="270">
        <f t="shared" ref="M205:M240" si="116">N205-SUM(B205:L205)</f>
        <v>0</v>
      </c>
      <c r="N205" s="68">
        <f>'D5-CFlow'!I6</f>
        <v>0</v>
      </c>
      <c r="O205" s="66">
        <f>'D5-CFlow'!J6</f>
        <v>0</v>
      </c>
      <c r="P205" s="67">
        <f>'D5-CFlow'!K6</f>
        <v>0</v>
      </c>
    </row>
    <row r="206" spans="1:17" x14ac:dyDescent="0.25">
      <c r="A206" s="239" t="s">
        <v>401</v>
      </c>
      <c r="B206" s="236">
        <v>311426976.784266</v>
      </c>
      <c r="C206" s="237">
        <v>283008446.95926601</v>
      </c>
      <c r="D206" s="237">
        <v>239881754.84111997</v>
      </c>
      <c r="E206" s="237">
        <v>220580923.99183449</v>
      </c>
      <c r="F206" s="237">
        <v>204037354.69244689</v>
      </c>
      <c r="G206" s="237">
        <v>201280093.14254895</v>
      </c>
      <c r="H206" s="237">
        <v>202512694.40580541</v>
      </c>
      <c r="I206" s="237">
        <v>201283874.41252306</v>
      </c>
      <c r="J206" s="237">
        <v>198526612.86262503</v>
      </c>
      <c r="K206" s="237">
        <v>184740305.1131354</v>
      </c>
      <c r="L206" s="237">
        <v>252014994.68140039</v>
      </c>
      <c r="M206" s="270">
        <v>342558950.61302805</v>
      </c>
      <c r="N206" s="68">
        <v>2841852982.5</v>
      </c>
      <c r="O206" s="66">
        <v>2914320807.7649999</v>
      </c>
      <c r="P206" s="67">
        <v>3042550923.3090005</v>
      </c>
    </row>
    <row r="207" spans="1:17" x14ac:dyDescent="0.25">
      <c r="A207" s="239" t="s">
        <v>20</v>
      </c>
      <c r="B207" s="236">
        <v>948239.6989199979</v>
      </c>
      <c r="C207" s="237">
        <v>948239.6989199979</v>
      </c>
      <c r="D207" s="237">
        <v>948239.6989199979</v>
      </c>
      <c r="E207" s="237">
        <v>948239.6989199979</v>
      </c>
      <c r="F207" s="237">
        <v>948239.6989199979</v>
      </c>
      <c r="G207" s="237">
        <v>948239.6989199979</v>
      </c>
      <c r="H207" s="237">
        <v>948239.6989199979</v>
      </c>
      <c r="I207" s="237">
        <v>948239.6989199979</v>
      </c>
      <c r="J207" s="237">
        <v>948239.6989199979</v>
      </c>
      <c r="K207" s="237">
        <v>948239.6989199979</v>
      </c>
      <c r="L207" s="237">
        <v>948239.6989199979</v>
      </c>
      <c r="M207" s="270">
        <v>948239.6989199979</v>
      </c>
      <c r="N207" s="68">
        <v>11378876.387039974</v>
      </c>
      <c r="O207" s="66">
        <v>12061608.970262371</v>
      </c>
      <c r="P207" s="67">
        <v>12785305.508478152</v>
      </c>
      <c r="Q207" s="714"/>
    </row>
    <row r="208" spans="1:17" x14ac:dyDescent="0.25">
      <c r="A208" s="70" t="s">
        <v>202</v>
      </c>
      <c r="B208" s="236"/>
      <c r="C208" s="237"/>
      <c r="D208" s="237"/>
      <c r="E208" s="237"/>
      <c r="F208" s="237"/>
      <c r="G208" s="237"/>
      <c r="H208" s="237"/>
      <c r="I208" s="237"/>
      <c r="J208" s="237"/>
      <c r="K208" s="237"/>
      <c r="L208" s="237"/>
      <c r="M208" s="530">
        <f t="shared" si="116"/>
        <v>0</v>
      </c>
      <c r="N208" s="68"/>
      <c r="O208" s="66"/>
      <c r="P208" s="67"/>
      <c r="Q208" s="714"/>
    </row>
    <row r="209" spans="1:17" x14ac:dyDescent="0.25">
      <c r="A209" s="70" t="s">
        <v>203</v>
      </c>
      <c r="B209" s="236"/>
      <c r="C209" s="237"/>
      <c r="D209" s="237">
        <v>8366507.5299916668</v>
      </c>
      <c r="E209" s="237"/>
      <c r="F209" s="237"/>
      <c r="G209" s="237">
        <v>8366507.5299916668</v>
      </c>
      <c r="H209" s="237"/>
      <c r="I209" s="237"/>
      <c r="J209" s="237">
        <v>8366507.5299916668</v>
      </c>
      <c r="K209" s="237"/>
      <c r="L209" s="237"/>
      <c r="M209" s="530">
        <f t="shared" si="116"/>
        <v>8366507.5299916677</v>
      </c>
      <c r="N209" s="68">
        <v>33466030.119966667</v>
      </c>
      <c r="O209" s="66">
        <v>41007035.464432001</v>
      </c>
      <c r="P209" s="67">
        <v>42975373.166724697</v>
      </c>
      <c r="Q209" s="714"/>
    </row>
    <row r="210" spans="1:17" x14ac:dyDescent="0.25">
      <c r="A210" s="70" t="s">
        <v>324</v>
      </c>
      <c r="B210" s="236">
        <v>2442306.7450199998</v>
      </c>
      <c r="C210" s="237">
        <v>2442306.7450199998</v>
      </c>
      <c r="D210" s="237">
        <v>2442306.7450199998</v>
      </c>
      <c r="E210" s="237">
        <v>2442306.7450199998</v>
      </c>
      <c r="F210" s="237">
        <v>2442306.7450199998</v>
      </c>
      <c r="G210" s="237">
        <v>2442306.7450199998</v>
      </c>
      <c r="H210" s="237">
        <v>2442306.7450199998</v>
      </c>
      <c r="I210" s="237">
        <v>2442306.7450199998</v>
      </c>
      <c r="J210" s="237">
        <v>2442306.7450199998</v>
      </c>
      <c r="K210" s="237">
        <v>2442306.7450199998</v>
      </c>
      <c r="L210" s="237">
        <v>2442306.7450199998</v>
      </c>
      <c r="M210" s="530">
        <v>2442306.7450199998</v>
      </c>
      <c r="N210" s="68">
        <v>29307680.940239999</v>
      </c>
      <c r="O210" s="66">
        <v>31066141.796654403</v>
      </c>
      <c r="P210" s="67">
        <v>37663189.604453683</v>
      </c>
      <c r="Q210" s="714"/>
    </row>
    <row r="211" spans="1:17" x14ac:dyDescent="0.25">
      <c r="A211" s="70" t="s">
        <v>182</v>
      </c>
      <c r="B211" s="236"/>
      <c r="C211" s="237"/>
      <c r="D211" s="237"/>
      <c r="E211" s="237"/>
      <c r="F211" s="237"/>
      <c r="G211" s="237"/>
      <c r="H211" s="237"/>
      <c r="I211" s="237"/>
      <c r="J211" s="237"/>
      <c r="K211" s="237"/>
      <c r="L211" s="237"/>
      <c r="M211" s="530">
        <f t="shared" si="116"/>
        <v>0</v>
      </c>
      <c r="N211" s="68">
        <f>'D5-CFlow'!I12</f>
        <v>0</v>
      </c>
      <c r="O211" s="66">
        <f>'D5-CFlow'!J12</f>
        <v>0</v>
      </c>
      <c r="P211" s="67">
        <f>'D5-CFlow'!K12</f>
        <v>0</v>
      </c>
      <c r="Q211" s="714"/>
    </row>
    <row r="212" spans="1:17" x14ac:dyDescent="0.25">
      <c r="A212" s="79" t="s">
        <v>336</v>
      </c>
      <c r="B212" s="157"/>
      <c r="C212" s="155"/>
      <c r="D212" s="155"/>
      <c r="E212" s="155"/>
      <c r="F212" s="155"/>
      <c r="G212" s="155"/>
      <c r="H212" s="155"/>
      <c r="I212" s="155"/>
      <c r="J212" s="155"/>
      <c r="K212" s="155"/>
      <c r="L212" s="155"/>
      <c r="M212" s="530"/>
      <c r="N212" s="68"/>
      <c r="O212" s="66"/>
      <c r="P212" s="67"/>
      <c r="Q212" s="714"/>
    </row>
    <row r="213" spans="1:17" x14ac:dyDescent="0.25">
      <c r="A213" s="241" t="s">
        <v>204</v>
      </c>
      <c r="B213" s="236">
        <v>-278904070.64879692</v>
      </c>
      <c r="C213" s="237">
        <v>-252100006.05650562</v>
      </c>
      <c r="D213" s="237">
        <v>-226254000.14948049</v>
      </c>
      <c r="E213" s="237">
        <v>-208049655.30986714</v>
      </c>
      <c r="F213" s="237">
        <v>-192445931.16162708</v>
      </c>
      <c r="G213" s="237">
        <v>-189845310.47025377</v>
      </c>
      <c r="H213" s="237">
        <v>-191007887.28475884</v>
      </c>
      <c r="I213" s="237">
        <v>-189848876.92514253</v>
      </c>
      <c r="J213" s="237">
        <v>-187248256.23376912</v>
      </c>
      <c r="K213" s="237">
        <v>-174245152.77690244</v>
      </c>
      <c r="L213" s="237">
        <v>-282189884.53771603</v>
      </c>
      <c r="M213" s="530">
        <v>-308267427.67430955</v>
      </c>
      <c r="N213" s="68">
        <f>'D5-CFlow'!I14</f>
        <v>-2680406459.2291298</v>
      </c>
      <c r="O213" s="66">
        <f>'D5-CFlow'!J14</f>
        <v>-2735458248.9885302</v>
      </c>
      <c r="P213" s="67">
        <f>'D5-CFlow'!K14</f>
        <v>-2889273943.6862502</v>
      </c>
      <c r="Q213" s="714"/>
    </row>
    <row r="214" spans="1:17" x14ac:dyDescent="0.25">
      <c r="A214" s="70" t="s">
        <v>19</v>
      </c>
      <c r="B214" s="236">
        <v>-4905.3371900000002</v>
      </c>
      <c r="C214" s="237">
        <v>-4905.3371900000002</v>
      </c>
      <c r="D214" s="237">
        <v>-4905.3371900000002</v>
      </c>
      <c r="E214" s="237">
        <v>-4905.3371900000002</v>
      </c>
      <c r="F214" s="237">
        <v>-4905.3371900000002</v>
      </c>
      <c r="G214" s="237">
        <v>-4905.3371900000002</v>
      </c>
      <c r="H214" s="237">
        <v>-4905.3371900000002</v>
      </c>
      <c r="I214" s="237">
        <v>-4905.3371900000002</v>
      </c>
      <c r="J214" s="237">
        <v>-4905.3371900000002</v>
      </c>
      <c r="K214" s="237">
        <v>-4905.3371900000002</v>
      </c>
      <c r="L214" s="237">
        <v>-4905.3371900000002</v>
      </c>
      <c r="M214" s="530">
        <v>-4905.3371900000002</v>
      </c>
      <c r="N214" s="68">
        <v>-58864.046280000002</v>
      </c>
      <c r="O214" s="66">
        <v>-61336.336223760001</v>
      </c>
      <c r="P214" s="67">
        <v>-64035.135017605397</v>
      </c>
      <c r="Q214" s="714"/>
    </row>
    <row r="215" spans="1:17" x14ac:dyDescent="0.25">
      <c r="A215" s="241" t="s">
        <v>326</v>
      </c>
      <c r="B215" s="236">
        <v>-9999999.9997222498</v>
      </c>
      <c r="C215" s="237">
        <v>-9999999.9997222498</v>
      </c>
      <c r="D215" s="237">
        <v>-9999999.9997222498</v>
      </c>
      <c r="E215" s="237">
        <v>-9999999.9997222498</v>
      </c>
      <c r="F215" s="237">
        <v>-9999999.9997222498</v>
      </c>
      <c r="G215" s="237">
        <v>-9999999.9997222498</v>
      </c>
      <c r="H215" s="237">
        <v>-9999999.9997222498</v>
      </c>
      <c r="I215" s="237">
        <v>-9999999.9997222498</v>
      </c>
      <c r="J215" s="237">
        <v>-9999999.9997222498</v>
      </c>
      <c r="K215" s="237">
        <v>-9999999.9997222498</v>
      </c>
      <c r="L215" s="237">
        <v>-9999999.9997222498</v>
      </c>
      <c r="M215" s="530">
        <v>-9999999.9997222498</v>
      </c>
      <c r="N215" s="68">
        <v>-119999999.996667</v>
      </c>
      <c r="O215" s="66">
        <v>-119999999.996667</v>
      </c>
      <c r="P215" s="67">
        <v>-119999999.996667</v>
      </c>
      <c r="Q215" s="714"/>
    </row>
    <row r="216" spans="1:17" x14ac:dyDescent="0.25">
      <c r="A216" s="241" t="s">
        <v>763</v>
      </c>
      <c r="B216" s="236"/>
      <c r="C216" s="237"/>
      <c r="D216" s="237"/>
      <c r="E216" s="237"/>
      <c r="F216" s="237"/>
      <c r="G216" s="237"/>
      <c r="H216" s="237"/>
      <c r="I216" s="237"/>
      <c r="J216" s="237"/>
      <c r="K216" s="237"/>
      <c r="L216" s="237"/>
      <c r="M216" s="530">
        <f t="shared" si="116"/>
        <v>0</v>
      </c>
      <c r="N216" s="68">
        <f>'D5-CFlow'!I17</f>
        <v>0</v>
      </c>
      <c r="O216" s="66">
        <f>'D5-CFlow'!J17</f>
        <v>0</v>
      </c>
      <c r="P216" s="67">
        <f>'D5-CFlow'!K17</f>
        <v>0</v>
      </c>
      <c r="Q216" s="714"/>
    </row>
    <row r="217" spans="1:17" x14ac:dyDescent="0.25">
      <c r="A217" s="135" t="s">
        <v>329</v>
      </c>
      <c r="B217" s="76">
        <f t="shared" ref="B217:L217" si="117">SUM(B205:B211)+SUM(B213:B216)</f>
        <v>25908547.242496848</v>
      </c>
      <c r="C217" s="74">
        <f t="shared" si="117"/>
        <v>24294082.009788126</v>
      </c>
      <c r="D217" s="74">
        <f t="shared" si="117"/>
        <v>15379903.328658909</v>
      </c>
      <c r="E217" s="74">
        <f t="shared" si="117"/>
        <v>5916909.7889951169</v>
      </c>
      <c r="F217" s="74">
        <f t="shared" si="117"/>
        <v>4977064.6378475726</v>
      </c>
      <c r="G217" s="74">
        <f t="shared" si="117"/>
        <v>13186931.309314609</v>
      </c>
      <c r="H217" s="74">
        <f t="shared" si="117"/>
        <v>4890448.228074342</v>
      </c>
      <c r="I217" s="74">
        <f t="shared" si="117"/>
        <v>4820638.5944083035</v>
      </c>
      <c r="J217" s="74">
        <f t="shared" si="117"/>
        <v>13030505.26587534</v>
      </c>
      <c r="K217" s="74">
        <f t="shared" si="117"/>
        <v>3880793.4432607293</v>
      </c>
      <c r="L217" s="74">
        <f t="shared" si="117"/>
        <v>-36789248.749287844</v>
      </c>
      <c r="M217" s="542">
        <f t="shared" si="116"/>
        <v>36043671.575737894</v>
      </c>
      <c r="N217" s="543">
        <f>'D5-CFlow'!I18</f>
        <v>115540246.67516994</v>
      </c>
      <c r="O217" s="544">
        <f>'D5-CFlow'!J18</f>
        <v>142936008.67492819</v>
      </c>
      <c r="P217" s="545">
        <f>'D5-CFlow'!K18</f>
        <v>126636812.77072239</v>
      </c>
      <c r="Q217" s="714"/>
    </row>
    <row r="218" spans="1:17" x14ac:dyDescent="0.25">
      <c r="A218" s="78"/>
      <c r="B218" s="68"/>
      <c r="C218" s="66"/>
      <c r="D218" s="66"/>
      <c r="E218" s="66"/>
      <c r="F218" s="66"/>
      <c r="G218" s="66"/>
      <c r="H218" s="66"/>
      <c r="I218" s="66"/>
      <c r="J218" s="66"/>
      <c r="K218" s="66"/>
      <c r="L218" s="66"/>
      <c r="M218" s="530"/>
      <c r="N218" s="68"/>
      <c r="O218" s="66"/>
      <c r="P218" s="67"/>
      <c r="Q218" s="714"/>
    </row>
    <row r="219" spans="1:17" x14ac:dyDescent="0.25">
      <c r="A219" s="79" t="s">
        <v>230</v>
      </c>
      <c r="B219" s="68"/>
      <c r="C219" s="66"/>
      <c r="D219" s="66"/>
      <c r="E219" s="66"/>
      <c r="F219" s="66"/>
      <c r="G219" s="66"/>
      <c r="H219" s="66"/>
      <c r="I219" s="66"/>
      <c r="J219" s="66"/>
      <c r="K219" s="66"/>
      <c r="L219" s="66"/>
      <c r="M219" s="530"/>
      <c r="N219" s="68"/>
      <c r="O219" s="66"/>
      <c r="P219" s="67"/>
      <c r="Q219" s="714"/>
    </row>
    <row r="220" spans="1:17" x14ac:dyDescent="0.25">
      <c r="A220" s="79" t="s">
        <v>335</v>
      </c>
      <c r="B220" s="68"/>
      <c r="C220" s="66"/>
      <c r="D220" s="66"/>
      <c r="E220" s="66"/>
      <c r="F220" s="66"/>
      <c r="G220" s="66"/>
      <c r="H220" s="66"/>
      <c r="I220" s="66"/>
      <c r="J220" s="66"/>
      <c r="K220" s="66"/>
      <c r="L220" s="66"/>
      <c r="M220" s="530"/>
      <c r="N220" s="68"/>
      <c r="O220" s="66"/>
      <c r="P220" s="67"/>
      <c r="Q220" s="714"/>
    </row>
    <row r="221" spans="1:17" x14ac:dyDescent="0.25">
      <c r="A221" s="70" t="s">
        <v>354</v>
      </c>
      <c r="B221" s="236">
        <v>10151.3115</v>
      </c>
      <c r="C221" s="237">
        <v>10151.3115</v>
      </c>
      <c r="D221" s="237">
        <v>10151.3115</v>
      </c>
      <c r="E221" s="237">
        <v>10151.3115</v>
      </c>
      <c r="F221" s="237">
        <v>10151.3115</v>
      </c>
      <c r="G221" s="237">
        <v>10151.3115</v>
      </c>
      <c r="H221" s="237">
        <v>10151.3115</v>
      </c>
      <c r="I221" s="237">
        <v>10151.3115</v>
      </c>
      <c r="J221" s="237">
        <v>10151.3115</v>
      </c>
      <c r="K221" s="237">
        <v>10151.3115</v>
      </c>
      <c r="L221" s="237">
        <v>10151.3115</v>
      </c>
      <c r="M221" s="530">
        <v>10151.3115</v>
      </c>
      <c r="N221" s="68">
        <f>'D5-CFlow'!I22</f>
        <v>121815.738</v>
      </c>
      <c r="O221" s="66">
        <f>'D5-CFlow'!J22</f>
        <v>127175.630472</v>
      </c>
      <c r="P221" s="67">
        <f>'D5-CFlow'!K22</f>
        <v>132898.53384324</v>
      </c>
      <c r="Q221" s="714"/>
    </row>
    <row r="222" spans="1:17" x14ac:dyDescent="0.25">
      <c r="A222" s="70" t="s">
        <v>9</v>
      </c>
      <c r="B222" s="236"/>
      <c r="C222" s="237"/>
      <c r="D222" s="237"/>
      <c r="E222" s="237"/>
      <c r="F222" s="237"/>
      <c r="G222" s="237"/>
      <c r="H222" s="237"/>
      <c r="I222" s="237"/>
      <c r="J222" s="237"/>
      <c r="K222" s="237"/>
      <c r="L222" s="237"/>
      <c r="M222" s="530"/>
      <c r="N222" s="68"/>
      <c r="O222" s="66"/>
      <c r="P222" s="67"/>
      <c r="Q222" s="714"/>
    </row>
    <row r="223" spans="1:17" x14ac:dyDescent="0.25">
      <c r="A223" s="70" t="s">
        <v>327</v>
      </c>
      <c r="B223" s="236"/>
      <c r="C223" s="237"/>
      <c r="D223" s="237"/>
      <c r="E223" s="237"/>
      <c r="F223" s="237"/>
      <c r="G223" s="237"/>
      <c r="H223" s="237"/>
      <c r="I223" s="237"/>
      <c r="J223" s="237"/>
      <c r="K223" s="237"/>
      <c r="L223" s="237"/>
      <c r="M223" s="530">
        <f t="shared" si="116"/>
        <v>0</v>
      </c>
      <c r="N223" s="68">
        <f>'D5-CFlow'!I24</f>
        <v>0</v>
      </c>
      <c r="O223" s="66">
        <f>'D5-CFlow'!J24</f>
        <v>0</v>
      </c>
      <c r="P223" s="67">
        <f>'D5-CFlow'!K24</f>
        <v>0</v>
      </c>
      <c r="Q223" s="714"/>
    </row>
    <row r="224" spans="1:17" x14ac:dyDescent="0.25">
      <c r="A224" s="70" t="s">
        <v>328</v>
      </c>
      <c r="B224" s="236"/>
      <c r="C224" s="237"/>
      <c r="D224" s="237"/>
      <c r="E224" s="237"/>
      <c r="F224" s="237"/>
      <c r="G224" s="237"/>
      <c r="H224" s="237"/>
      <c r="I224" s="237"/>
      <c r="J224" s="237"/>
      <c r="K224" s="237"/>
      <c r="L224" s="237"/>
      <c r="M224" s="530">
        <f t="shared" si="116"/>
        <v>0</v>
      </c>
      <c r="N224" s="68">
        <f>'D5-CFlow'!I25</f>
        <v>0</v>
      </c>
      <c r="O224" s="66">
        <f>'D5-CFlow'!J25</f>
        <v>0</v>
      </c>
      <c r="P224" s="67">
        <f>'D5-CFlow'!K25</f>
        <v>0</v>
      </c>
      <c r="Q224" s="714"/>
    </row>
    <row r="225" spans="1:17" x14ac:dyDescent="0.25">
      <c r="A225" s="79" t="s">
        <v>336</v>
      </c>
      <c r="B225" s="68"/>
      <c r="C225" s="66"/>
      <c r="D225" s="66"/>
      <c r="E225" s="66"/>
      <c r="F225" s="66"/>
      <c r="G225" s="66"/>
      <c r="H225" s="66"/>
      <c r="I225" s="66"/>
      <c r="J225" s="66"/>
      <c r="K225" s="66"/>
      <c r="L225" s="66"/>
      <c r="M225" s="530"/>
      <c r="N225" s="68"/>
      <c r="O225" s="66"/>
      <c r="P225" s="67"/>
      <c r="Q225" s="714"/>
    </row>
    <row r="226" spans="1:17" x14ac:dyDescent="0.25">
      <c r="A226" s="70" t="s">
        <v>205</v>
      </c>
      <c r="B226" s="236">
        <v>-17601605.932032365</v>
      </c>
      <c r="C226" s="237">
        <v>-17601605.932032365</v>
      </c>
      <c r="D226" s="237">
        <v>-17601605.932032365</v>
      </c>
      <c r="E226" s="237">
        <v>-17601605.932032365</v>
      </c>
      <c r="F226" s="237">
        <v>-17601605.932032365</v>
      </c>
      <c r="G226" s="237">
        <v>-17601605.932032365</v>
      </c>
      <c r="H226" s="237">
        <v>-17601605.932032365</v>
      </c>
      <c r="I226" s="237">
        <v>-17601605.932032365</v>
      </c>
      <c r="J226" s="237">
        <v>-17601605.932032365</v>
      </c>
      <c r="K226" s="237">
        <v>-17601605.932032365</v>
      </c>
      <c r="L226" s="237">
        <v>-17601605.932032365</v>
      </c>
      <c r="M226" s="530">
        <v>-17601605.932032365</v>
      </c>
      <c r="N226" s="68">
        <v>-211219271.18438837</v>
      </c>
      <c r="O226" s="66">
        <v>-139158150.48008078</v>
      </c>
      <c r="P226" s="67">
        <v>-122600200.18833461</v>
      </c>
      <c r="Q226" s="714"/>
    </row>
    <row r="227" spans="1:17" x14ac:dyDescent="0.25">
      <c r="A227" s="135" t="s">
        <v>330</v>
      </c>
      <c r="B227" s="76">
        <f t="shared" ref="B227:L227" si="118">SUM(B221:B224)+B226</f>
        <v>-17591454.620532364</v>
      </c>
      <c r="C227" s="74">
        <f t="shared" si="118"/>
        <v>-17591454.620532364</v>
      </c>
      <c r="D227" s="74">
        <f t="shared" si="118"/>
        <v>-17591454.620532364</v>
      </c>
      <c r="E227" s="74">
        <f t="shared" si="118"/>
        <v>-17591454.620532364</v>
      </c>
      <c r="F227" s="74">
        <f t="shared" si="118"/>
        <v>-17591454.620532364</v>
      </c>
      <c r="G227" s="74">
        <f t="shared" si="118"/>
        <v>-17591454.620532364</v>
      </c>
      <c r="H227" s="74">
        <f t="shared" si="118"/>
        <v>-17591454.620532364</v>
      </c>
      <c r="I227" s="74">
        <f t="shared" si="118"/>
        <v>-17591454.620532364</v>
      </c>
      <c r="J227" s="74">
        <f t="shared" si="118"/>
        <v>-17591454.620532364</v>
      </c>
      <c r="K227" s="74">
        <f t="shared" si="118"/>
        <v>-17591454.620532364</v>
      </c>
      <c r="L227" s="74">
        <f t="shared" si="118"/>
        <v>-17591454.620532364</v>
      </c>
      <c r="M227" s="542">
        <f t="shared" si="116"/>
        <v>-17591454.620532364</v>
      </c>
      <c r="N227" s="543">
        <f>'D5-CFlow'!I28</f>
        <v>-211097455.44638836</v>
      </c>
      <c r="O227" s="544">
        <f>'D5-CFlow'!J28</f>
        <v>-139030974.84960878</v>
      </c>
      <c r="P227" s="545">
        <f>'D5-CFlow'!K28</f>
        <v>-122467301.65449138</v>
      </c>
      <c r="Q227" s="714"/>
    </row>
    <row r="228" spans="1:17" x14ac:dyDescent="0.25">
      <c r="A228" s="78"/>
      <c r="B228" s="68"/>
      <c r="C228" s="66"/>
      <c r="D228" s="66"/>
      <c r="E228" s="66"/>
      <c r="F228" s="66"/>
      <c r="G228" s="66"/>
      <c r="H228" s="66"/>
      <c r="I228" s="66"/>
      <c r="J228" s="66"/>
      <c r="K228" s="66"/>
      <c r="L228" s="66"/>
      <c r="M228" s="530"/>
      <c r="N228" s="68"/>
      <c r="O228" s="66"/>
      <c r="P228" s="67"/>
      <c r="Q228" s="714"/>
    </row>
    <row r="229" spans="1:17" x14ac:dyDescent="0.25">
      <c r="A229" s="79" t="s">
        <v>239</v>
      </c>
      <c r="B229" s="68"/>
      <c r="C229" s="66"/>
      <c r="D229" s="66"/>
      <c r="E229" s="66"/>
      <c r="F229" s="66"/>
      <c r="G229" s="66"/>
      <c r="H229" s="66"/>
      <c r="I229" s="66"/>
      <c r="J229" s="66"/>
      <c r="K229" s="66"/>
      <c r="L229" s="66"/>
      <c r="M229" s="530"/>
      <c r="N229" s="68"/>
      <c r="O229" s="66"/>
      <c r="P229" s="67"/>
      <c r="Q229" s="714"/>
    </row>
    <row r="230" spans="1:17" x14ac:dyDescent="0.25">
      <c r="A230" s="79" t="s">
        <v>335</v>
      </c>
      <c r="B230" s="68"/>
      <c r="C230" s="66"/>
      <c r="D230" s="66"/>
      <c r="E230" s="66"/>
      <c r="F230" s="66"/>
      <c r="G230" s="66"/>
      <c r="H230" s="66"/>
      <c r="I230" s="66"/>
      <c r="J230" s="66"/>
      <c r="K230" s="66"/>
      <c r="L230" s="66"/>
      <c r="M230" s="530"/>
      <c r="N230" s="68"/>
      <c r="O230" s="66"/>
      <c r="P230" s="67"/>
      <c r="Q230" s="714"/>
    </row>
    <row r="231" spans="1:17" x14ac:dyDescent="0.25">
      <c r="A231" s="70" t="s">
        <v>338</v>
      </c>
      <c r="B231" s="236"/>
      <c r="C231" s="237"/>
      <c r="D231" s="237"/>
      <c r="E231" s="237"/>
      <c r="F231" s="237"/>
      <c r="G231" s="237"/>
      <c r="H231" s="237"/>
      <c r="I231" s="237"/>
      <c r="J231" s="237"/>
      <c r="K231" s="237"/>
      <c r="L231" s="237"/>
      <c r="M231" s="530">
        <f t="shared" si="116"/>
        <v>0</v>
      </c>
      <c r="N231" s="68">
        <f>'D5-CFlow'!I32</f>
        <v>0</v>
      </c>
      <c r="O231" s="66">
        <f>'D5-CFlow'!J32</f>
        <v>0</v>
      </c>
      <c r="P231" s="67">
        <f>'D5-CFlow'!K32</f>
        <v>0</v>
      </c>
      <c r="Q231" s="714"/>
    </row>
    <row r="232" spans="1:17" x14ac:dyDescent="0.25">
      <c r="A232" s="70" t="s">
        <v>382</v>
      </c>
      <c r="B232" s="236"/>
      <c r="C232" s="237"/>
      <c r="D232" s="237"/>
      <c r="E232" s="237"/>
      <c r="F232" s="237"/>
      <c r="G232" s="237"/>
      <c r="H232" s="237"/>
      <c r="I232" s="237"/>
      <c r="J232" s="237"/>
      <c r="K232" s="237"/>
      <c r="L232" s="237"/>
      <c r="M232" s="530">
        <f t="shared" si="116"/>
        <v>0</v>
      </c>
      <c r="N232" s="68">
        <f>'D5-CFlow'!I33</f>
        <v>0</v>
      </c>
      <c r="O232" s="66">
        <f>'D5-CFlow'!J33</f>
        <v>0</v>
      </c>
      <c r="P232" s="67">
        <f>'D5-CFlow'!K33</f>
        <v>0</v>
      </c>
      <c r="Q232" s="714"/>
    </row>
    <row r="233" spans="1:17" x14ac:dyDescent="0.25">
      <c r="A233" s="70" t="s">
        <v>764</v>
      </c>
      <c r="B233" s="236"/>
      <c r="C233" s="237"/>
      <c r="D233" s="237"/>
      <c r="E233" s="237"/>
      <c r="F233" s="237"/>
      <c r="G233" s="237"/>
      <c r="H233" s="237"/>
      <c r="I233" s="237"/>
      <c r="J233" s="237"/>
      <c r="K233" s="237"/>
      <c r="L233" s="237"/>
      <c r="M233" s="530">
        <f t="shared" si="116"/>
        <v>0</v>
      </c>
      <c r="N233" s="68">
        <f>'D5-CFlow'!I34</f>
        <v>0</v>
      </c>
      <c r="O233" s="66">
        <f>'D5-CFlow'!J34</f>
        <v>0</v>
      </c>
      <c r="P233" s="67">
        <f>'D5-CFlow'!K34</f>
        <v>0</v>
      </c>
      <c r="Q233" s="714"/>
    </row>
    <row r="234" spans="1:17" x14ac:dyDescent="0.25">
      <c r="A234" s="79" t="s">
        <v>336</v>
      </c>
      <c r="B234" s="68"/>
      <c r="C234" s="66"/>
      <c r="D234" s="66"/>
      <c r="E234" s="66"/>
      <c r="F234" s="66"/>
      <c r="G234" s="66"/>
      <c r="H234" s="66"/>
      <c r="I234" s="66"/>
      <c r="J234" s="66"/>
      <c r="K234" s="66"/>
      <c r="L234" s="66"/>
      <c r="M234" s="530"/>
      <c r="N234" s="68"/>
      <c r="O234" s="66"/>
      <c r="P234" s="67"/>
      <c r="Q234" s="714"/>
    </row>
    <row r="235" spans="1:17" x14ac:dyDescent="0.25">
      <c r="A235" s="70" t="s">
        <v>337</v>
      </c>
      <c r="B235" s="236"/>
      <c r="C235" s="237"/>
      <c r="D235" s="237"/>
      <c r="E235" s="237"/>
      <c r="F235" s="237"/>
      <c r="G235" s="237"/>
      <c r="H235" s="237"/>
      <c r="I235" s="237"/>
      <c r="J235" s="237"/>
      <c r="K235" s="237"/>
      <c r="L235" s="237"/>
      <c r="M235" s="530">
        <f t="shared" si="116"/>
        <v>0</v>
      </c>
      <c r="N235" s="68">
        <f>'D5-CFlow'!I36</f>
        <v>0</v>
      </c>
      <c r="O235" s="66">
        <f>'D5-CFlow'!J36</f>
        <v>0</v>
      </c>
      <c r="P235" s="67">
        <f>'D5-CFlow'!K36</f>
        <v>0</v>
      </c>
      <c r="Q235" s="714"/>
    </row>
    <row r="236" spans="1:17" x14ac:dyDescent="0.25">
      <c r="A236" s="135" t="s">
        <v>331</v>
      </c>
      <c r="B236" s="76">
        <f t="shared" ref="B236:L236" si="119">SUM(B230:B233)+B235</f>
        <v>0</v>
      </c>
      <c r="C236" s="74">
        <f t="shared" si="119"/>
        <v>0</v>
      </c>
      <c r="D236" s="74">
        <f t="shared" si="119"/>
        <v>0</v>
      </c>
      <c r="E236" s="74">
        <f t="shared" si="119"/>
        <v>0</v>
      </c>
      <c r="F236" s="74">
        <f t="shared" si="119"/>
        <v>0</v>
      </c>
      <c r="G236" s="74">
        <f t="shared" si="119"/>
        <v>0</v>
      </c>
      <c r="H236" s="74">
        <f t="shared" si="119"/>
        <v>0</v>
      </c>
      <c r="I236" s="74">
        <f t="shared" si="119"/>
        <v>0</v>
      </c>
      <c r="J236" s="74">
        <f t="shared" si="119"/>
        <v>0</v>
      </c>
      <c r="K236" s="74">
        <f t="shared" si="119"/>
        <v>0</v>
      </c>
      <c r="L236" s="74">
        <f t="shared" si="119"/>
        <v>0</v>
      </c>
      <c r="M236" s="542">
        <f t="shared" si="116"/>
        <v>0</v>
      </c>
      <c r="N236" s="543">
        <f>'D5-CFlow'!I37</f>
        <v>0</v>
      </c>
      <c r="O236" s="544">
        <f>'D5-CFlow'!J37</f>
        <v>0</v>
      </c>
      <c r="P236" s="545">
        <f>'D5-CFlow'!K37</f>
        <v>0</v>
      </c>
      <c r="Q236" s="714"/>
    </row>
    <row r="237" spans="1:17" x14ac:dyDescent="0.25">
      <c r="A237" s="78"/>
      <c r="B237" s="68"/>
      <c r="C237" s="66"/>
      <c r="D237" s="66"/>
      <c r="E237" s="66"/>
      <c r="F237" s="66"/>
      <c r="G237" s="66"/>
      <c r="H237" s="66"/>
      <c r="I237" s="66"/>
      <c r="J237" s="66"/>
      <c r="K237" s="66"/>
      <c r="L237" s="66"/>
      <c r="M237" s="530"/>
      <c r="N237" s="68"/>
      <c r="O237" s="66"/>
      <c r="P237" s="67"/>
      <c r="Q237" s="714"/>
    </row>
    <row r="238" spans="1:17" x14ac:dyDescent="0.25">
      <c r="A238" s="315" t="s">
        <v>339</v>
      </c>
      <c r="B238" s="316">
        <f t="shared" ref="B238:L238" si="120">B217+B227+B236</f>
        <v>8317092.6219644845</v>
      </c>
      <c r="C238" s="317">
        <f t="shared" si="120"/>
        <v>6702627.3892557621</v>
      </c>
      <c r="D238" s="317">
        <f t="shared" si="120"/>
        <v>-2211551.291873455</v>
      </c>
      <c r="E238" s="317">
        <f t="shared" si="120"/>
        <v>-11674544.831537247</v>
      </c>
      <c r="F238" s="317">
        <f t="shared" si="120"/>
        <v>-12614389.982684791</v>
      </c>
      <c r="G238" s="317">
        <f t="shared" si="120"/>
        <v>-4404523.3112177551</v>
      </c>
      <c r="H238" s="317">
        <f t="shared" si="120"/>
        <v>-12701006.392458022</v>
      </c>
      <c r="I238" s="317">
        <f t="shared" si="120"/>
        <v>-12770816.02612406</v>
      </c>
      <c r="J238" s="317">
        <f t="shared" si="120"/>
        <v>-4560949.3546570241</v>
      </c>
      <c r="K238" s="317">
        <f t="shared" si="120"/>
        <v>-13710661.177271634</v>
      </c>
      <c r="L238" s="317">
        <f t="shared" si="120"/>
        <v>-54380703.369820207</v>
      </c>
      <c r="M238" s="530">
        <f t="shared" si="116"/>
        <v>18452216.95520553</v>
      </c>
      <c r="N238" s="68">
        <f>'D5-CFlow'!I39</f>
        <v>-95557208.771218419</v>
      </c>
      <c r="O238" s="66">
        <f>'D5-CFlow'!J39</f>
        <v>3905033.8253194094</v>
      </c>
      <c r="P238" s="67">
        <f>'D5-CFlow'!K39</f>
        <v>4169511.1162310094</v>
      </c>
      <c r="Q238" s="714"/>
    </row>
    <row r="239" spans="1:17" x14ac:dyDescent="0.25">
      <c r="A239" s="70" t="s">
        <v>310</v>
      </c>
      <c r="B239" s="324">
        <v>152966117.49000025</v>
      </c>
      <c r="C239" s="145">
        <f t="shared" ref="C239:L239" si="121">B240</f>
        <v>161283210.11196473</v>
      </c>
      <c r="D239" s="145">
        <f t="shared" si="121"/>
        <v>167985837.50122049</v>
      </c>
      <c r="E239" s="145">
        <f t="shared" si="121"/>
        <v>165774286.20934704</v>
      </c>
      <c r="F239" s="145">
        <f t="shared" si="121"/>
        <v>154099741.37780979</v>
      </c>
      <c r="G239" s="145">
        <f t="shared" si="121"/>
        <v>141485351.395125</v>
      </c>
      <c r="H239" s="145">
        <f t="shared" si="121"/>
        <v>137080828.08390725</v>
      </c>
      <c r="I239" s="145">
        <f t="shared" si="121"/>
        <v>124379821.69144922</v>
      </c>
      <c r="J239" s="145">
        <f t="shared" si="121"/>
        <v>111609005.66532516</v>
      </c>
      <c r="K239" s="145">
        <f t="shared" si="121"/>
        <v>107048056.31066814</v>
      </c>
      <c r="L239" s="145">
        <f t="shared" si="121"/>
        <v>93337395.133396506</v>
      </c>
      <c r="M239" s="546">
        <f t="shared" si="116"/>
        <v>-1332741673.4415927</v>
      </c>
      <c r="N239" s="527">
        <f>'D5-CFlow'!I40</f>
        <v>184307977.52862069</v>
      </c>
      <c r="O239" s="528">
        <f>'D5-CFlow'!J40</f>
        <v>88750768.757402271</v>
      </c>
      <c r="P239" s="529">
        <f>'D5-CFlow'!K40</f>
        <v>92655802.58272168</v>
      </c>
      <c r="Q239" s="714"/>
    </row>
    <row r="240" spans="1:17" x14ac:dyDescent="0.25">
      <c r="A240" s="325" t="s">
        <v>268</v>
      </c>
      <c r="B240" s="327">
        <f t="shared" ref="B240:L240" si="122">B238+B239</f>
        <v>161283210.11196473</v>
      </c>
      <c r="C240" s="328">
        <f t="shared" si="122"/>
        <v>167985837.50122049</v>
      </c>
      <c r="D240" s="328">
        <f t="shared" si="122"/>
        <v>165774286.20934704</v>
      </c>
      <c r="E240" s="328">
        <f t="shared" si="122"/>
        <v>154099741.37780979</v>
      </c>
      <c r="F240" s="328">
        <f t="shared" si="122"/>
        <v>141485351.395125</v>
      </c>
      <c r="G240" s="328">
        <f t="shared" si="122"/>
        <v>137080828.08390725</v>
      </c>
      <c r="H240" s="328">
        <f t="shared" si="122"/>
        <v>124379821.69144922</v>
      </c>
      <c r="I240" s="328">
        <f t="shared" si="122"/>
        <v>111609005.66532516</v>
      </c>
      <c r="J240" s="328">
        <f t="shared" si="122"/>
        <v>107048056.31066814</v>
      </c>
      <c r="K240" s="328">
        <f t="shared" si="122"/>
        <v>93337395.133396506</v>
      </c>
      <c r="L240" s="328">
        <f t="shared" si="122"/>
        <v>38956691.763576299</v>
      </c>
      <c r="M240" s="547">
        <f t="shared" si="116"/>
        <v>-1314289456.4863877</v>
      </c>
      <c r="N240" s="548">
        <f>'D5-CFlow'!I41</f>
        <v>88750768.757402271</v>
      </c>
      <c r="O240" s="549">
        <f>'D5-CFlow'!J41</f>
        <v>92655802.58272168</v>
      </c>
      <c r="P240" s="550">
        <f>'D5-CFlow'!K41</f>
        <v>96825313.69895269</v>
      </c>
      <c r="Q240" s="714"/>
    </row>
  </sheetData>
  <mergeCells count="4">
    <mergeCell ref="A2:A3"/>
    <mergeCell ref="N3:N4"/>
    <mergeCell ref="O3:O4"/>
    <mergeCell ref="P3:P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7">
    <tabColor rgb="FFCCFFCC"/>
    <pageSetUpPr fitToPage="1"/>
  </sheetPr>
  <dimension ref="A1:O205"/>
  <sheetViews>
    <sheetView showGridLines="0" zoomScaleNormal="100" workbookViewId="0">
      <pane xSplit="2" ySplit="3" topLeftCell="C145" activePane="bottomRight" state="frozen"/>
      <selection activeCell="A23" sqref="A23"/>
      <selection pane="topRight" activeCell="A23" sqref="A23"/>
      <selection pane="bottomLeft" activeCell="A23" sqref="A23"/>
      <selection pane="bottomRight" activeCell="J162" sqref="J162"/>
    </sheetView>
  </sheetViews>
  <sheetFormatPr defaultColWidth="9.109375" defaultRowHeight="10.199999999999999" x14ac:dyDescent="0.2"/>
  <cols>
    <col min="1" max="1" width="35.6640625" style="59" customWidth="1"/>
    <col min="2" max="2" width="3.109375"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2" ht="13.8" x14ac:dyDescent="0.3">
      <c r="A1" s="57" t="str">
        <f>MEB9a</f>
        <v>Centlec (Soc) Ltd - Supporting Table SD7a Capital expenditure on new assets by asset class</v>
      </c>
    </row>
    <row r="2" spans="1:12" ht="20.399999999999999" x14ac:dyDescent="0.2">
      <c r="A2" s="551" t="str">
        <f>desc</f>
        <v>Description</v>
      </c>
      <c r="B2" s="552"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2" ht="20.399999999999999" x14ac:dyDescent="0.2">
      <c r="A3" s="234" t="s">
        <v>817</v>
      </c>
      <c r="B3" s="468">
        <v>1</v>
      </c>
      <c r="C3" s="469" t="str">
        <f>Head5</f>
        <v>Audited Outcome</v>
      </c>
      <c r="D3" s="470" t="str">
        <f>Head5</f>
        <v>Audited Outcome</v>
      </c>
      <c r="E3" s="471" t="str">
        <f>Head5</f>
        <v>Audited Outcome</v>
      </c>
      <c r="F3" s="553" t="str">
        <f>Head6</f>
        <v>Original Budget</v>
      </c>
      <c r="G3" s="469" t="str">
        <f>Head7</f>
        <v>Adjusted Budget</v>
      </c>
      <c r="H3" s="554" t="str">
        <f>Head8</f>
        <v>Full Year Forecast</v>
      </c>
      <c r="I3" s="553" t="str">
        <f>Head9</f>
        <v>Budget Year 2021/22</v>
      </c>
      <c r="J3" s="469" t="str">
        <f>Head10</f>
        <v>Budget Year +1 2022/23</v>
      </c>
      <c r="K3" s="471" t="str">
        <f>Head11</f>
        <v>Budget Year +2 2023/24</v>
      </c>
    </row>
    <row r="4" spans="1:12" ht="12.75" customHeight="1" x14ac:dyDescent="0.2">
      <c r="A4" s="65" t="s">
        <v>818</v>
      </c>
      <c r="B4" s="255"/>
      <c r="C4" s="68"/>
      <c r="D4" s="66"/>
      <c r="E4" s="67"/>
      <c r="F4" s="68"/>
      <c r="G4" s="66"/>
      <c r="H4" s="67"/>
      <c r="I4" s="68"/>
      <c r="J4" s="66"/>
      <c r="K4" s="67"/>
    </row>
    <row r="5" spans="1:12" ht="5.0999999999999996" customHeight="1" x14ac:dyDescent="0.2">
      <c r="A5" s="65"/>
      <c r="B5" s="255"/>
      <c r="C5" s="68"/>
      <c r="D5" s="66"/>
      <c r="E5" s="67"/>
      <c r="F5" s="68"/>
      <c r="G5" s="66"/>
      <c r="H5" s="67"/>
      <c r="I5" s="68"/>
      <c r="J5" s="66"/>
      <c r="K5" s="67"/>
    </row>
    <row r="6" spans="1:12" ht="13.35" customHeight="1" x14ac:dyDescent="0.2">
      <c r="A6" s="256" t="s">
        <v>159</v>
      </c>
      <c r="B6" s="257"/>
      <c r="C6" s="145">
        <f>C7+C12+C16+C26+C37+C44+C52+C62+C68</f>
        <v>71329572.799999997</v>
      </c>
      <c r="D6" s="145">
        <f t="shared" ref="D6:K6" si="0">D7+D12+D16+D26+D37+D44+D52+D62+D68</f>
        <v>121904434.13</v>
      </c>
      <c r="E6" s="258">
        <f t="shared" si="0"/>
        <v>69236316.430000007</v>
      </c>
      <c r="F6" s="259">
        <f t="shared" si="0"/>
        <v>109811858</v>
      </c>
      <c r="G6" s="145">
        <f t="shared" si="0"/>
        <v>117803931</v>
      </c>
      <c r="H6" s="260">
        <f t="shared" si="0"/>
        <v>117803931</v>
      </c>
      <c r="I6" s="259">
        <f t="shared" si="0"/>
        <v>126189943.40836668</v>
      </c>
      <c r="J6" s="145">
        <f t="shared" si="0"/>
        <v>89551352.706419945</v>
      </c>
      <c r="K6" s="258">
        <f t="shared" si="0"/>
        <v>71010645.489076287</v>
      </c>
      <c r="L6" s="261"/>
    </row>
    <row r="7" spans="1:12" s="262" customFormat="1" ht="13.35" customHeight="1" x14ac:dyDescent="0.25">
      <c r="A7" s="235" t="s">
        <v>849</v>
      </c>
      <c r="B7" s="257"/>
      <c r="C7" s="150">
        <f t="shared" ref="C7:K7" si="1">SUM(C8:C11)</f>
        <v>0</v>
      </c>
      <c r="D7" s="150">
        <f t="shared" si="1"/>
        <v>0</v>
      </c>
      <c r="E7" s="151">
        <f t="shared" si="1"/>
        <v>0</v>
      </c>
      <c r="F7" s="152">
        <f t="shared" si="1"/>
        <v>0</v>
      </c>
      <c r="G7" s="150">
        <f t="shared" si="1"/>
        <v>0</v>
      </c>
      <c r="H7" s="153">
        <f t="shared" si="1"/>
        <v>0</v>
      </c>
      <c r="I7" s="152">
        <f t="shared" si="1"/>
        <v>0</v>
      </c>
      <c r="J7" s="150">
        <f t="shared" si="1"/>
        <v>0</v>
      </c>
      <c r="K7" s="153">
        <f t="shared" si="1"/>
        <v>0</v>
      </c>
      <c r="L7" s="73"/>
    </row>
    <row r="8" spans="1:12" s="262" customFormat="1" ht="13.35" customHeight="1" x14ac:dyDescent="0.25">
      <c r="A8" s="263" t="s">
        <v>504</v>
      </c>
      <c r="B8" s="257"/>
      <c r="C8" s="295"/>
      <c r="D8" s="295"/>
      <c r="E8" s="555"/>
      <c r="F8" s="556"/>
      <c r="G8" s="295"/>
      <c r="H8" s="294"/>
      <c r="I8" s="556"/>
      <c r="J8" s="295"/>
      <c r="K8" s="555"/>
      <c r="L8" s="261"/>
    </row>
    <row r="9" spans="1:12" s="262" customFormat="1" ht="13.35" customHeight="1" x14ac:dyDescent="0.25">
      <c r="A9" s="263" t="s">
        <v>850</v>
      </c>
      <c r="B9" s="257"/>
      <c r="C9" s="295"/>
      <c r="D9" s="295"/>
      <c r="E9" s="555"/>
      <c r="F9" s="556"/>
      <c r="G9" s="295"/>
      <c r="H9" s="294"/>
      <c r="I9" s="556"/>
      <c r="J9" s="295"/>
      <c r="K9" s="555"/>
      <c r="L9" s="265"/>
    </row>
    <row r="10" spans="1:12" s="262" customFormat="1" ht="13.35" customHeight="1" x14ac:dyDescent="0.25">
      <c r="A10" s="263" t="s">
        <v>851</v>
      </c>
      <c r="B10" s="257"/>
      <c r="C10" s="295"/>
      <c r="D10" s="295"/>
      <c r="E10" s="555"/>
      <c r="F10" s="556"/>
      <c r="G10" s="295"/>
      <c r="H10" s="294"/>
      <c r="I10" s="556"/>
      <c r="J10" s="295"/>
      <c r="K10" s="555"/>
      <c r="L10" s="265"/>
    </row>
    <row r="11" spans="1:12" s="262" customFormat="1" ht="13.35" customHeight="1" x14ac:dyDescent="0.25">
      <c r="A11" s="263" t="s">
        <v>852</v>
      </c>
      <c r="B11" s="257"/>
      <c r="C11" s="295"/>
      <c r="D11" s="295"/>
      <c r="E11" s="555"/>
      <c r="F11" s="556"/>
      <c r="G11" s="295"/>
      <c r="H11" s="294"/>
      <c r="I11" s="556"/>
      <c r="J11" s="295"/>
      <c r="K11" s="555"/>
      <c r="L11" s="265"/>
    </row>
    <row r="12" spans="1:12" s="262" customFormat="1" ht="13.35" customHeight="1" x14ac:dyDescent="0.25">
      <c r="A12" s="235" t="s">
        <v>853</v>
      </c>
      <c r="B12" s="257"/>
      <c r="C12" s="155">
        <f>SUM(C13:C15)</f>
        <v>0</v>
      </c>
      <c r="D12" s="155">
        <f t="shared" ref="D12:K12" si="2">SUM(D13:D15)</f>
        <v>0</v>
      </c>
      <c r="E12" s="156">
        <f t="shared" si="2"/>
        <v>0</v>
      </c>
      <c r="F12" s="157">
        <f t="shared" si="2"/>
        <v>0</v>
      </c>
      <c r="G12" s="155">
        <f t="shared" si="2"/>
        <v>0</v>
      </c>
      <c r="H12" s="158">
        <f t="shared" si="2"/>
        <v>0</v>
      </c>
      <c r="I12" s="159">
        <f t="shared" si="2"/>
        <v>0</v>
      </c>
      <c r="J12" s="155">
        <f t="shared" si="2"/>
        <v>0</v>
      </c>
      <c r="K12" s="158">
        <f t="shared" si="2"/>
        <v>0</v>
      </c>
      <c r="L12" s="265"/>
    </row>
    <row r="13" spans="1:12" s="262" customFormat="1" ht="13.35" customHeight="1" x14ac:dyDescent="0.25">
      <c r="A13" s="263" t="s">
        <v>854</v>
      </c>
      <c r="B13" s="257"/>
      <c r="C13" s="295"/>
      <c r="D13" s="295"/>
      <c r="E13" s="296"/>
      <c r="F13" s="297"/>
      <c r="G13" s="295"/>
      <c r="H13" s="298"/>
      <c r="I13" s="557"/>
      <c r="J13" s="295"/>
      <c r="K13" s="298"/>
      <c r="L13" s="265"/>
    </row>
    <row r="14" spans="1:12" s="262" customFormat="1" ht="13.35" customHeight="1" x14ac:dyDescent="0.25">
      <c r="A14" s="263" t="s">
        <v>855</v>
      </c>
      <c r="B14" s="257"/>
      <c r="C14" s="295"/>
      <c r="D14" s="295"/>
      <c r="E14" s="296"/>
      <c r="F14" s="297"/>
      <c r="G14" s="295"/>
      <c r="H14" s="298"/>
      <c r="I14" s="557"/>
      <c r="J14" s="295"/>
      <c r="K14" s="298"/>
      <c r="L14" s="265"/>
    </row>
    <row r="15" spans="1:12" s="262" customFormat="1" ht="13.35" customHeight="1" x14ac:dyDescent="0.25">
      <c r="A15" s="263" t="s">
        <v>856</v>
      </c>
      <c r="B15" s="257"/>
      <c r="C15" s="295"/>
      <c r="D15" s="295"/>
      <c r="E15" s="296"/>
      <c r="F15" s="297"/>
      <c r="G15" s="295"/>
      <c r="H15" s="298"/>
      <c r="I15" s="557"/>
      <c r="J15" s="295"/>
      <c r="K15" s="298"/>
      <c r="L15" s="265"/>
    </row>
    <row r="16" spans="1:12" s="262" customFormat="1" ht="13.35" customHeight="1" x14ac:dyDescent="0.25">
      <c r="A16" s="235" t="s">
        <v>857</v>
      </c>
      <c r="B16" s="257"/>
      <c r="C16" s="155">
        <f t="shared" ref="C16:K16" si="3">SUM(C17:C25)</f>
        <v>71329572.799999997</v>
      </c>
      <c r="D16" s="155">
        <f t="shared" si="3"/>
        <v>121904434.13</v>
      </c>
      <c r="E16" s="156">
        <f t="shared" si="3"/>
        <v>69236316.430000007</v>
      </c>
      <c r="F16" s="157">
        <f t="shared" si="3"/>
        <v>109811858</v>
      </c>
      <c r="G16" s="155">
        <f t="shared" si="3"/>
        <v>117803931</v>
      </c>
      <c r="H16" s="158">
        <f t="shared" si="3"/>
        <v>117803931</v>
      </c>
      <c r="I16" s="159">
        <f t="shared" si="3"/>
        <v>126189943.40836668</v>
      </c>
      <c r="J16" s="155">
        <f t="shared" si="3"/>
        <v>89551352.706419945</v>
      </c>
      <c r="K16" s="158">
        <f t="shared" si="3"/>
        <v>71010645.489076287</v>
      </c>
      <c r="L16" s="265"/>
    </row>
    <row r="17" spans="1:12" s="262" customFormat="1" ht="13.35" customHeight="1" x14ac:dyDescent="0.25">
      <c r="A17" s="263" t="s">
        <v>858</v>
      </c>
      <c r="B17" s="257"/>
      <c r="C17" s="295">
        <v>58297.42</v>
      </c>
      <c r="D17" s="295">
        <v>591000</v>
      </c>
      <c r="E17" s="296"/>
      <c r="F17" s="297">
        <v>1000000</v>
      </c>
      <c r="G17" s="295">
        <v>1000000</v>
      </c>
      <c r="H17" s="298">
        <v>1000000</v>
      </c>
      <c r="I17" s="557">
        <v>2718850.1103600003</v>
      </c>
      <c r="J17" s="295">
        <v>2770041.8149951203</v>
      </c>
      <c r="K17" s="298">
        <v>2825923.6548549053</v>
      </c>
      <c r="L17" s="265"/>
    </row>
    <row r="18" spans="1:12" s="262" customFormat="1" ht="13.35" customHeight="1" x14ac:dyDescent="0.25">
      <c r="A18" s="263" t="s">
        <v>859</v>
      </c>
      <c r="B18" s="257"/>
      <c r="C18" s="295">
        <v>23087009.789999999</v>
      </c>
      <c r="D18" s="295">
        <v>72955516.819999993</v>
      </c>
      <c r="E18" s="296"/>
      <c r="F18" s="297">
        <v>7026214</v>
      </c>
      <c r="G18" s="295">
        <v>7026214</v>
      </c>
      <c r="H18" s="298">
        <v>7026214</v>
      </c>
      <c r="I18" s="557">
        <v>1034487.56856</v>
      </c>
      <c r="J18" s="295">
        <v>1035936.0464395201</v>
      </c>
      <c r="K18" s="298">
        <v>1037517.2324828589</v>
      </c>
      <c r="L18" s="265"/>
    </row>
    <row r="19" spans="1:12" s="262" customFormat="1" ht="13.35" customHeight="1" x14ac:dyDescent="0.25">
      <c r="A19" s="263" t="s">
        <v>860</v>
      </c>
      <c r="B19" s="257"/>
      <c r="C19" s="295"/>
      <c r="D19" s="295"/>
      <c r="E19" s="296"/>
      <c r="F19" s="297"/>
      <c r="G19" s="295">
        <v>0</v>
      </c>
      <c r="H19" s="298">
        <v>0</v>
      </c>
      <c r="I19" s="557"/>
      <c r="J19" s="295"/>
      <c r="K19" s="298"/>
      <c r="L19" s="265"/>
    </row>
    <row r="20" spans="1:12" s="262" customFormat="1" ht="13.35" customHeight="1" x14ac:dyDescent="0.25">
      <c r="A20" s="263" t="s">
        <v>861</v>
      </c>
      <c r="B20" s="257"/>
      <c r="C20" s="295"/>
      <c r="D20" s="295"/>
      <c r="E20" s="296"/>
      <c r="F20" s="297"/>
      <c r="G20" s="295">
        <v>0</v>
      </c>
      <c r="H20" s="298">
        <v>0</v>
      </c>
      <c r="I20" s="557"/>
      <c r="J20" s="295"/>
      <c r="K20" s="298"/>
      <c r="L20" s="265"/>
    </row>
    <row r="21" spans="1:12" s="262" customFormat="1" ht="13.35" customHeight="1" x14ac:dyDescent="0.25">
      <c r="A21" s="263" t="s">
        <v>862</v>
      </c>
      <c r="B21" s="257"/>
      <c r="C21" s="295"/>
      <c r="D21" s="295"/>
      <c r="E21" s="296"/>
      <c r="F21" s="297"/>
      <c r="G21" s="295">
        <v>0</v>
      </c>
      <c r="H21" s="298">
        <v>0</v>
      </c>
      <c r="I21" s="557"/>
      <c r="J21" s="295"/>
      <c r="K21" s="298"/>
      <c r="L21" s="265"/>
    </row>
    <row r="22" spans="1:12" s="262" customFormat="1" ht="13.35" customHeight="1" x14ac:dyDescent="0.25">
      <c r="A22" s="263" t="s">
        <v>863</v>
      </c>
      <c r="B22" s="257"/>
      <c r="C22" s="295"/>
      <c r="D22" s="295"/>
      <c r="E22" s="296"/>
      <c r="F22" s="297"/>
      <c r="G22" s="295">
        <v>0</v>
      </c>
      <c r="H22" s="298">
        <v>0</v>
      </c>
      <c r="I22" s="557"/>
      <c r="J22" s="295"/>
      <c r="K22" s="298"/>
      <c r="L22" s="261"/>
    </row>
    <row r="23" spans="1:12" s="262" customFormat="1" ht="13.35" customHeight="1" x14ac:dyDescent="0.25">
      <c r="A23" s="263" t="s">
        <v>864</v>
      </c>
      <c r="B23" s="257"/>
      <c r="C23" s="295">
        <v>39325437.079999998</v>
      </c>
      <c r="D23" s="295">
        <v>17103633.550000001</v>
      </c>
      <c r="E23" s="296">
        <v>11604445.890000001</v>
      </c>
      <c r="F23" s="297">
        <v>12000000</v>
      </c>
      <c r="G23" s="295">
        <v>12000000</v>
      </c>
      <c r="H23" s="298">
        <v>12000000</v>
      </c>
      <c r="I23" s="557">
        <v>25000000.004266672</v>
      </c>
      <c r="J23" s="295">
        <v>24160450.001865868</v>
      </c>
      <c r="K23" s="298">
        <v>8326048.8367879642</v>
      </c>
      <c r="L23" s="265"/>
    </row>
    <row r="24" spans="1:12" s="262" customFormat="1" ht="13.35" customHeight="1" x14ac:dyDescent="0.25">
      <c r="A24" s="263" t="s">
        <v>865</v>
      </c>
      <c r="B24" s="257"/>
      <c r="C24" s="295">
        <v>8858828.5099999998</v>
      </c>
      <c r="D24" s="295">
        <v>31254283.760000002</v>
      </c>
      <c r="E24" s="296">
        <v>57631870.539999999</v>
      </c>
      <c r="F24" s="297">
        <v>89785644</v>
      </c>
      <c r="G24" s="295">
        <v>97777717</v>
      </c>
      <c r="H24" s="298">
        <v>97777717</v>
      </c>
      <c r="I24" s="557">
        <v>97436605.72518</v>
      </c>
      <c r="J24" s="295">
        <v>61584924.843119428</v>
      </c>
      <c r="K24" s="298">
        <v>58821155.764950566</v>
      </c>
      <c r="L24" s="265"/>
    </row>
    <row r="25" spans="1:12" s="262" customFormat="1" ht="13.35" customHeight="1" x14ac:dyDescent="0.25">
      <c r="A25" s="263" t="s">
        <v>852</v>
      </c>
      <c r="B25" s="257"/>
      <c r="C25" s="295"/>
      <c r="D25" s="295"/>
      <c r="E25" s="296"/>
      <c r="F25" s="297"/>
      <c r="G25" s="295"/>
      <c r="H25" s="298"/>
      <c r="I25" s="557"/>
      <c r="J25" s="295"/>
      <c r="K25" s="298"/>
      <c r="L25" s="265"/>
    </row>
    <row r="26" spans="1:12" ht="13.35" customHeight="1" x14ac:dyDescent="0.2">
      <c r="A26" s="239" t="s">
        <v>866</v>
      </c>
      <c r="B26" s="266"/>
      <c r="C26" s="155">
        <f>SUM(C27:C36)</f>
        <v>0</v>
      </c>
      <c r="D26" s="155">
        <f t="shared" ref="D26:K26" si="4">SUM(D27:D36)</f>
        <v>0</v>
      </c>
      <c r="E26" s="156">
        <f t="shared" si="4"/>
        <v>0</v>
      </c>
      <c r="F26" s="157">
        <f t="shared" si="4"/>
        <v>0</v>
      </c>
      <c r="G26" s="155">
        <f t="shared" si="4"/>
        <v>0</v>
      </c>
      <c r="H26" s="158">
        <f t="shared" si="4"/>
        <v>0</v>
      </c>
      <c r="I26" s="159">
        <f t="shared" si="4"/>
        <v>0</v>
      </c>
      <c r="J26" s="155">
        <f t="shared" si="4"/>
        <v>0</v>
      </c>
      <c r="K26" s="158">
        <f t="shared" si="4"/>
        <v>0</v>
      </c>
      <c r="L26" s="73"/>
    </row>
    <row r="27" spans="1:12" ht="13.35" customHeight="1" x14ac:dyDescent="0.2">
      <c r="A27" s="263" t="s">
        <v>867</v>
      </c>
      <c r="B27" s="257"/>
      <c r="C27" s="295"/>
      <c r="D27" s="295"/>
      <c r="E27" s="296"/>
      <c r="F27" s="297"/>
      <c r="G27" s="295"/>
      <c r="H27" s="298"/>
      <c r="I27" s="557"/>
      <c r="J27" s="295"/>
      <c r="K27" s="298"/>
      <c r="L27" s="73"/>
    </row>
    <row r="28" spans="1:12" ht="13.35" customHeight="1" x14ac:dyDescent="0.2">
      <c r="A28" s="263" t="s">
        <v>868</v>
      </c>
      <c r="B28" s="257"/>
      <c r="C28" s="295"/>
      <c r="D28" s="295"/>
      <c r="E28" s="296"/>
      <c r="F28" s="297"/>
      <c r="G28" s="295"/>
      <c r="H28" s="298"/>
      <c r="I28" s="557"/>
      <c r="J28" s="295"/>
      <c r="K28" s="298"/>
      <c r="L28" s="265"/>
    </row>
    <row r="29" spans="1:12" ht="13.35" customHeight="1" x14ac:dyDescent="0.2">
      <c r="A29" s="263" t="s">
        <v>869</v>
      </c>
      <c r="B29" s="257"/>
      <c r="C29" s="295"/>
      <c r="D29" s="295"/>
      <c r="E29" s="296"/>
      <c r="F29" s="297"/>
      <c r="G29" s="295"/>
      <c r="H29" s="298"/>
      <c r="I29" s="557"/>
      <c r="J29" s="295"/>
      <c r="K29" s="298"/>
      <c r="L29" s="265"/>
    </row>
    <row r="30" spans="1:12" ht="13.35" customHeight="1" x14ac:dyDescent="0.2">
      <c r="A30" s="263" t="s">
        <v>870</v>
      </c>
      <c r="B30" s="257"/>
      <c r="C30" s="295"/>
      <c r="D30" s="295"/>
      <c r="E30" s="296"/>
      <c r="F30" s="297"/>
      <c r="G30" s="295"/>
      <c r="H30" s="298"/>
      <c r="I30" s="557"/>
      <c r="J30" s="295"/>
      <c r="K30" s="298"/>
      <c r="L30" s="265"/>
    </row>
    <row r="31" spans="1:12" ht="13.35" customHeight="1" x14ac:dyDescent="0.2">
      <c r="A31" s="263" t="s">
        <v>871</v>
      </c>
      <c r="B31" s="257"/>
      <c r="C31" s="295"/>
      <c r="D31" s="295"/>
      <c r="E31" s="296"/>
      <c r="F31" s="297"/>
      <c r="G31" s="295"/>
      <c r="H31" s="298"/>
      <c r="I31" s="557"/>
      <c r="J31" s="295"/>
      <c r="K31" s="298"/>
      <c r="L31" s="265"/>
    </row>
    <row r="32" spans="1:12" ht="13.35" customHeight="1" x14ac:dyDescent="0.2">
      <c r="A32" s="263" t="s">
        <v>872</v>
      </c>
      <c r="B32" s="257"/>
      <c r="C32" s="295"/>
      <c r="D32" s="295"/>
      <c r="E32" s="296"/>
      <c r="F32" s="297"/>
      <c r="G32" s="295"/>
      <c r="H32" s="298"/>
      <c r="I32" s="557"/>
      <c r="J32" s="295"/>
      <c r="K32" s="298"/>
      <c r="L32" s="265"/>
    </row>
    <row r="33" spans="1:15" ht="13.35" customHeight="1" x14ac:dyDescent="0.2">
      <c r="A33" s="263" t="s">
        <v>873</v>
      </c>
      <c r="B33" s="257"/>
      <c r="C33" s="295"/>
      <c r="D33" s="295"/>
      <c r="E33" s="296"/>
      <c r="F33" s="297"/>
      <c r="G33" s="295"/>
      <c r="H33" s="298"/>
      <c r="I33" s="557"/>
      <c r="J33" s="295"/>
      <c r="K33" s="298"/>
      <c r="L33" s="265"/>
    </row>
    <row r="34" spans="1:15" ht="13.35" customHeight="1" x14ac:dyDescent="0.2">
      <c r="A34" s="263" t="s">
        <v>874</v>
      </c>
      <c r="B34" s="257"/>
      <c r="C34" s="295"/>
      <c r="D34" s="295"/>
      <c r="E34" s="296"/>
      <c r="F34" s="297"/>
      <c r="G34" s="295"/>
      <c r="H34" s="298"/>
      <c r="I34" s="557"/>
      <c r="J34" s="295"/>
      <c r="K34" s="298"/>
      <c r="L34" s="265"/>
    </row>
    <row r="35" spans="1:15" ht="13.35" customHeight="1" x14ac:dyDescent="0.2">
      <c r="A35" s="263" t="s">
        <v>875</v>
      </c>
      <c r="B35" s="257"/>
      <c r="C35" s="295"/>
      <c r="D35" s="295"/>
      <c r="E35" s="296"/>
      <c r="F35" s="297"/>
      <c r="G35" s="295"/>
      <c r="H35" s="298"/>
      <c r="I35" s="557"/>
      <c r="J35" s="295"/>
      <c r="K35" s="298"/>
      <c r="L35" s="265"/>
    </row>
    <row r="36" spans="1:15" ht="13.35" customHeight="1" x14ac:dyDescent="0.2">
      <c r="A36" s="263" t="s">
        <v>852</v>
      </c>
      <c r="B36" s="257"/>
      <c r="C36" s="295"/>
      <c r="D36" s="295"/>
      <c r="E36" s="296"/>
      <c r="F36" s="297"/>
      <c r="G36" s="295"/>
      <c r="H36" s="298"/>
      <c r="I36" s="557"/>
      <c r="J36" s="295"/>
      <c r="K36" s="298"/>
      <c r="L36" s="265"/>
    </row>
    <row r="37" spans="1:15" ht="13.35" customHeight="1" x14ac:dyDescent="0.2">
      <c r="A37" s="239" t="s">
        <v>876</v>
      </c>
      <c r="B37" s="257"/>
      <c r="C37" s="155">
        <f>SUM(C38:C43)</f>
        <v>0</v>
      </c>
      <c r="D37" s="155">
        <f t="shared" ref="D37:K37" si="5">SUM(D38:D43)</f>
        <v>0</v>
      </c>
      <c r="E37" s="156">
        <f t="shared" si="5"/>
        <v>0</v>
      </c>
      <c r="F37" s="157">
        <f t="shared" si="5"/>
        <v>0</v>
      </c>
      <c r="G37" s="155">
        <f t="shared" si="5"/>
        <v>0</v>
      </c>
      <c r="H37" s="158">
        <f t="shared" si="5"/>
        <v>0</v>
      </c>
      <c r="I37" s="159">
        <f t="shared" si="5"/>
        <v>0</v>
      </c>
      <c r="J37" s="155">
        <f t="shared" si="5"/>
        <v>0</v>
      </c>
      <c r="K37" s="158">
        <f t="shared" si="5"/>
        <v>0</v>
      </c>
      <c r="L37" s="265"/>
      <c r="O37" s="73"/>
    </row>
    <row r="38" spans="1:15" ht="13.35" customHeight="1" x14ac:dyDescent="0.2">
      <c r="A38" s="263" t="s">
        <v>877</v>
      </c>
      <c r="B38" s="257"/>
      <c r="C38" s="295"/>
      <c r="D38" s="295"/>
      <c r="E38" s="296"/>
      <c r="F38" s="297"/>
      <c r="G38" s="295"/>
      <c r="H38" s="298"/>
      <c r="I38" s="557"/>
      <c r="J38" s="295"/>
      <c r="K38" s="298"/>
      <c r="L38" s="265"/>
    </row>
    <row r="39" spans="1:15" ht="13.35" customHeight="1" x14ac:dyDescent="0.2">
      <c r="A39" s="263" t="s">
        <v>494</v>
      </c>
      <c r="B39" s="257"/>
      <c r="C39" s="295"/>
      <c r="D39" s="295"/>
      <c r="E39" s="296"/>
      <c r="F39" s="297"/>
      <c r="G39" s="295"/>
      <c r="H39" s="298"/>
      <c r="I39" s="557"/>
      <c r="J39" s="295"/>
      <c r="K39" s="298"/>
      <c r="L39" s="265"/>
    </row>
    <row r="40" spans="1:15" ht="13.35" customHeight="1" x14ac:dyDescent="0.2">
      <c r="A40" s="263" t="s">
        <v>878</v>
      </c>
      <c r="B40" s="257"/>
      <c r="C40" s="295"/>
      <c r="D40" s="295"/>
      <c r="E40" s="296"/>
      <c r="F40" s="297"/>
      <c r="G40" s="295"/>
      <c r="H40" s="298"/>
      <c r="I40" s="557"/>
      <c r="J40" s="295"/>
      <c r="K40" s="298"/>
      <c r="L40" s="73"/>
    </row>
    <row r="41" spans="1:15" ht="13.35" customHeight="1" x14ac:dyDescent="0.2">
      <c r="A41" s="263" t="s">
        <v>879</v>
      </c>
      <c r="B41" s="257"/>
      <c r="C41" s="295"/>
      <c r="D41" s="295"/>
      <c r="E41" s="296"/>
      <c r="F41" s="297"/>
      <c r="G41" s="295"/>
      <c r="H41" s="298"/>
      <c r="I41" s="557"/>
      <c r="J41" s="295"/>
      <c r="K41" s="298"/>
      <c r="L41" s="265"/>
    </row>
    <row r="42" spans="1:15" ht="13.35" customHeight="1" x14ac:dyDescent="0.2">
      <c r="A42" s="263" t="s">
        <v>880</v>
      </c>
      <c r="B42" s="257"/>
      <c r="C42" s="295"/>
      <c r="D42" s="295"/>
      <c r="E42" s="296"/>
      <c r="F42" s="297"/>
      <c r="G42" s="295"/>
      <c r="H42" s="298"/>
      <c r="I42" s="557"/>
      <c r="J42" s="295"/>
      <c r="K42" s="298"/>
      <c r="L42" s="73"/>
    </row>
    <row r="43" spans="1:15" ht="13.35" customHeight="1" x14ac:dyDescent="0.2">
      <c r="A43" s="263" t="s">
        <v>852</v>
      </c>
      <c r="B43" s="257"/>
      <c r="C43" s="295"/>
      <c r="D43" s="295"/>
      <c r="E43" s="296"/>
      <c r="F43" s="297"/>
      <c r="G43" s="295"/>
      <c r="H43" s="298"/>
      <c r="I43" s="557"/>
      <c r="J43" s="295"/>
      <c r="K43" s="298"/>
      <c r="L43" s="73"/>
    </row>
    <row r="44" spans="1:15" ht="13.35" customHeight="1" x14ac:dyDescent="0.2">
      <c r="A44" s="239" t="s">
        <v>881</v>
      </c>
      <c r="B44" s="257"/>
      <c r="C44" s="155">
        <f>SUM(C45:C51)</f>
        <v>0</v>
      </c>
      <c r="D44" s="155">
        <f t="shared" ref="D44:K44" si="6">SUM(D45:D51)</f>
        <v>0</v>
      </c>
      <c r="E44" s="156">
        <f t="shared" si="6"/>
        <v>0</v>
      </c>
      <c r="F44" s="157">
        <f t="shared" si="6"/>
        <v>0</v>
      </c>
      <c r="G44" s="155">
        <f t="shared" si="6"/>
        <v>0</v>
      </c>
      <c r="H44" s="158">
        <f t="shared" si="6"/>
        <v>0</v>
      </c>
      <c r="I44" s="159">
        <f t="shared" si="6"/>
        <v>0</v>
      </c>
      <c r="J44" s="155">
        <f t="shared" si="6"/>
        <v>0</v>
      </c>
      <c r="K44" s="158">
        <f t="shared" si="6"/>
        <v>0</v>
      </c>
      <c r="L44" s="73"/>
    </row>
    <row r="45" spans="1:15" ht="13.35" customHeight="1" x14ac:dyDescent="0.2">
      <c r="A45" s="263" t="s">
        <v>882</v>
      </c>
      <c r="B45" s="257"/>
      <c r="C45" s="295"/>
      <c r="D45" s="295"/>
      <c r="E45" s="296"/>
      <c r="F45" s="297"/>
      <c r="G45" s="295"/>
      <c r="H45" s="298"/>
      <c r="I45" s="557"/>
      <c r="J45" s="295"/>
      <c r="K45" s="298"/>
      <c r="L45" s="73"/>
    </row>
    <row r="46" spans="1:15" ht="13.35" customHeight="1" x14ac:dyDescent="0.2">
      <c r="A46" s="263" t="s">
        <v>883</v>
      </c>
      <c r="B46" s="257"/>
      <c r="C46" s="295"/>
      <c r="D46" s="295"/>
      <c r="E46" s="296"/>
      <c r="F46" s="297"/>
      <c r="G46" s="295"/>
      <c r="H46" s="298"/>
      <c r="I46" s="557"/>
      <c r="J46" s="295"/>
      <c r="K46" s="298"/>
      <c r="L46" s="73"/>
    </row>
    <row r="47" spans="1:15" ht="13.35" customHeight="1" x14ac:dyDescent="0.2">
      <c r="A47" s="263" t="s">
        <v>884</v>
      </c>
      <c r="B47" s="257"/>
      <c r="C47" s="295"/>
      <c r="D47" s="295"/>
      <c r="E47" s="296"/>
      <c r="F47" s="297"/>
      <c r="G47" s="295"/>
      <c r="H47" s="298"/>
      <c r="I47" s="557"/>
      <c r="J47" s="295"/>
      <c r="K47" s="298"/>
      <c r="L47" s="73"/>
    </row>
    <row r="48" spans="1:15" ht="13.35" customHeight="1" x14ac:dyDescent="0.2">
      <c r="A48" s="263" t="s">
        <v>885</v>
      </c>
      <c r="B48" s="257"/>
      <c r="C48" s="295"/>
      <c r="D48" s="295"/>
      <c r="E48" s="296"/>
      <c r="F48" s="297"/>
      <c r="G48" s="295"/>
      <c r="H48" s="298"/>
      <c r="I48" s="557"/>
      <c r="J48" s="295"/>
      <c r="K48" s="298"/>
      <c r="L48" s="265"/>
    </row>
    <row r="49" spans="1:12" ht="13.35" customHeight="1" x14ac:dyDescent="0.2">
      <c r="A49" s="263" t="s">
        <v>886</v>
      </c>
      <c r="B49" s="257"/>
      <c r="C49" s="295"/>
      <c r="D49" s="295"/>
      <c r="E49" s="296"/>
      <c r="F49" s="297"/>
      <c r="G49" s="295"/>
      <c r="H49" s="298"/>
      <c r="I49" s="557"/>
      <c r="J49" s="295"/>
      <c r="K49" s="298"/>
      <c r="L49" s="73"/>
    </row>
    <row r="50" spans="1:12" ht="13.35" customHeight="1" x14ac:dyDescent="0.2">
      <c r="A50" s="263" t="s">
        <v>887</v>
      </c>
      <c r="B50" s="257"/>
      <c r="C50" s="295"/>
      <c r="D50" s="295"/>
      <c r="E50" s="296"/>
      <c r="F50" s="297"/>
      <c r="G50" s="295"/>
      <c r="H50" s="298"/>
      <c r="I50" s="557"/>
      <c r="J50" s="295"/>
      <c r="K50" s="298"/>
      <c r="L50" s="73"/>
    </row>
    <row r="51" spans="1:12" ht="13.35" customHeight="1" x14ac:dyDescent="0.2">
      <c r="A51" s="263" t="s">
        <v>852</v>
      </c>
      <c r="B51" s="257"/>
      <c r="C51" s="295"/>
      <c r="D51" s="295"/>
      <c r="E51" s="296"/>
      <c r="F51" s="297"/>
      <c r="G51" s="295"/>
      <c r="H51" s="298"/>
      <c r="I51" s="557"/>
      <c r="J51" s="295"/>
      <c r="K51" s="298"/>
      <c r="L51" s="73"/>
    </row>
    <row r="52" spans="1:12" ht="13.35" customHeight="1" x14ac:dyDescent="0.2">
      <c r="A52" s="235" t="s">
        <v>888</v>
      </c>
      <c r="B52" s="257"/>
      <c r="C52" s="155">
        <f t="shared" ref="C52:K52" si="7">SUM(C53:C61)</f>
        <v>0</v>
      </c>
      <c r="D52" s="155">
        <f t="shared" si="7"/>
        <v>0</v>
      </c>
      <c r="E52" s="156">
        <f t="shared" si="7"/>
        <v>0</v>
      </c>
      <c r="F52" s="157">
        <f t="shared" si="7"/>
        <v>0</v>
      </c>
      <c r="G52" s="155">
        <f t="shared" si="7"/>
        <v>0</v>
      </c>
      <c r="H52" s="158">
        <f t="shared" si="7"/>
        <v>0</v>
      </c>
      <c r="I52" s="159">
        <f t="shared" si="7"/>
        <v>0</v>
      </c>
      <c r="J52" s="155">
        <f t="shared" si="7"/>
        <v>0</v>
      </c>
      <c r="K52" s="158">
        <f t="shared" si="7"/>
        <v>0</v>
      </c>
      <c r="L52" s="265"/>
    </row>
    <row r="53" spans="1:12" ht="13.35" customHeight="1" x14ac:dyDescent="0.2">
      <c r="A53" s="263" t="s">
        <v>889</v>
      </c>
      <c r="B53" s="257"/>
      <c r="C53" s="295"/>
      <c r="D53" s="295"/>
      <c r="E53" s="296"/>
      <c r="F53" s="297"/>
      <c r="G53" s="295"/>
      <c r="H53" s="298"/>
      <c r="I53" s="557"/>
      <c r="J53" s="295"/>
      <c r="K53" s="298"/>
      <c r="L53" s="73"/>
    </row>
    <row r="54" spans="1:12" ht="13.35" customHeight="1" x14ac:dyDescent="0.2">
      <c r="A54" s="263" t="s">
        <v>890</v>
      </c>
      <c r="B54" s="257"/>
      <c r="C54" s="295"/>
      <c r="D54" s="295"/>
      <c r="E54" s="296"/>
      <c r="F54" s="297"/>
      <c r="G54" s="295"/>
      <c r="H54" s="298"/>
      <c r="I54" s="557"/>
      <c r="J54" s="295"/>
      <c r="K54" s="298"/>
      <c r="L54" s="265"/>
    </row>
    <row r="55" spans="1:12" ht="13.35" customHeight="1" x14ac:dyDescent="0.2">
      <c r="A55" s="263" t="s">
        <v>891</v>
      </c>
      <c r="B55" s="257"/>
      <c r="C55" s="295"/>
      <c r="D55" s="295"/>
      <c r="E55" s="296"/>
      <c r="F55" s="297"/>
      <c r="G55" s="295"/>
      <c r="H55" s="298"/>
      <c r="I55" s="557"/>
      <c r="J55" s="295"/>
      <c r="K55" s="298"/>
      <c r="L55" s="265"/>
    </row>
    <row r="56" spans="1:12" ht="13.35" customHeight="1" x14ac:dyDescent="0.2">
      <c r="A56" s="263" t="s">
        <v>854</v>
      </c>
      <c r="B56" s="257"/>
      <c r="C56" s="295"/>
      <c r="D56" s="295"/>
      <c r="E56" s="296"/>
      <c r="F56" s="297"/>
      <c r="G56" s="295"/>
      <c r="H56" s="298"/>
      <c r="I56" s="557"/>
      <c r="J56" s="295"/>
      <c r="K56" s="298"/>
      <c r="L56" s="265"/>
    </row>
    <row r="57" spans="1:12" ht="13.35" customHeight="1" x14ac:dyDescent="0.2">
      <c r="A57" s="263" t="s">
        <v>855</v>
      </c>
      <c r="B57" s="257"/>
      <c r="C57" s="295"/>
      <c r="D57" s="295"/>
      <c r="E57" s="296"/>
      <c r="F57" s="297"/>
      <c r="G57" s="295"/>
      <c r="H57" s="298"/>
      <c r="I57" s="557"/>
      <c r="J57" s="295"/>
      <c r="K57" s="298"/>
      <c r="L57" s="265"/>
    </row>
    <row r="58" spans="1:12" ht="13.35" customHeight="1" x14ac:dyDescent="0.2">
      <c r="A58" s="263" t="s">
        <v>856</v>
      </c>
      <c r="B58" s="257"/>
      <c r="C58" s="295"/>
      <c r="D58" s="295"/>
      <c r="E58" s="296"/>
      <c r="F58" s="297"/>
      <c r="G58" s="295"/>
      <c r="H58" s="298"/>
      <c r="I58" s="557"/>
      <c r="J58" s="295"/>
      <c r="K58" s="298"/>
      <c r="L58" s="261"/>
    </row>
    <row r="59" spans="1:12" ht="13.35" customHeight="1" x14ac:dyDescent="0.2">
      <c r="A59" s="263" t="s">
        <v>862</v>
      </c>
      <c r="B59" s="257"/>
      <c r="C59" s="295"/>
      <c r="D59" s="295"/>
      <c r="E59" s="296"/>
      <c r="F59" s="297"/>
      <c r="G59" s="295"/>
      <c r="H59" s="298"/>
      <c r="I59" s="557"/>
      <c r="J59" s="295"/>
      <c r="K59" s="298"/>
      <c r="L59" s="265"/>
    </row>
    <row r="60" spans="1:12" ht="13.35" customHeight="1" x14ac:dyDescent="0.2">
      <c r="A60" s="263" t="s">
        <v>865</v>
      </c>
      <c r="B60" s="257"/>
      <c r="C60" s="295"/>
      <c r="D60" s="295"/>
      <c r="E60" s="296"/>
      <c r="F60" s="297"/>
      <c r="G60" s="295"/>
      <c r="H60" s="298"/>
      <c r="I60" s="557"/>
      <c r="J60" s="295"/>
      <c r="K60" s="298"/>
      <c r="L60" s="265"/>
    </row>
    <row r="61" spans="1:12" ht="13.35" customHeight="1" x14ac:dyDescent="0.2">
      <c r="A61" s="263" t="s">
        <v>852</v>
      </c>
      <c r="B61" s="257"/>
      <c r="C61" s="295"/>
      <c r="D61" s="295"/>
      <c r="E61" s="296"/>
      <c r="F61" s="297"/>
      <c r="G61" s="295"/>
      <c r="H61" s="298"/>
      <c r="I61" s="557"/>
      <c r="J61" s="295"/>
      <c r="K61" s="298"/>
      <c r="L61" s="265"/>
    </row>
    <row r="62" spans="1:12" ht="13.35" customHeight="1" x14ac:dyDescent="0.2">
      <c r="A62" s="239" t="s">
        <v>892</v>
      </c>
      <c r="B62" s="257"/>
      <c r="C62" s="155">
        <f>SUM(C63:C67)</f>
        <v>0</v>
      </c>
      <c r="D62" s="155">
        <f t="shared" ref="D62:K62" si="8">SUM(D63:D67)</f>
        <v>0</v>
      </c>
      <c r="E62" s="156">
        <f t="shared" si="8"/>
        <v>0</v>
      </c>
      <c r="F62" s="157">
        <f t="shared" si="8"/>
        <v>0</v>
      </c>
      <c r="G62" s="155">
        <f t="shared" si="8"/>
        <v>0</v>
      </c>
      <c r="H62" s="158">
        <f t="shared" si="8"/>
        <v>0</v>
      </c>
      <c r="I62" s="159">
        <f t="shared" si="8"/>
        <v>0</v>
      </c>
      <c r="J62" s="155">
        <f t="shared" si="8"/>
        <v>0</v>
      </c>
      <c r="K62" s="158">
        <f t="shared" si="8"/>
        <v>0</v>
      </c>
      <c r="L62" s="265"/>
    </row>
    <row r="63" spans="1:12" ht="13.35" customHeight="1" x14ac:dyDescent="0.2">
      <c r="A63" s="263" t="s">
        <v>893</v>
      </c>
      <c r="B63" s="257"/>
      <c r="C63" s="295"/>
      <c r="D63" s="295"/>
      <c r="E63" s="296"/>
      <c r="F63" s="297"/>
      <c r="G63" s="295"/>
      <c r="H63" s="298"/>
      <c r="I63" s="557"/>
      <c r="J63" s="295"/>
      <c r="K63" s="298"/>
      <c r="L63" s="265"/>
    </row>
    <row r="64" spans="1:12" ht="13.35" customHeight="1" x14ac:dyDescent="0.2">
      <c r="A64" s="263" t="s">
        <v>894</v>
      </c>
      <c r="B64" s="257"/>
      <c r="C64" s="295"/>
      <c r="D64" s="295"/>
      <c r="E64" s="296"/>
      <c r="F64" s="297"/>
      <c r="G64" s="295"/>
      <c r="H64" s="298"/>
      <c r="I64" s="557"/>
      <c r="J64" s="295"/>
      <c r="K64" s="298"/>
      <c r="L64" s="73"/>
    </row>
    <row r="65" spans="1:12" ht="13.35" customHeight="1" x14ac:dyDescent="0.2">
      <c r="A65" s="263" t="s">
        <v>895</v>
      </c>
      <c r="B65" s="257"/>
      <c r="C65" s="295"/>
      <c r="D65" s="295"/>
      <c r="E65" s="296"/>
      <c r="F65" s="297"/>
      <c r="G65" s="295"/>
      <c r="H65" s="298"/>
      <c r="I65" s="557"/>
      <c r="J65" s="295"/>
      <c r="K65" s="298"/>
      <c r="L65" s="73"/>
    </row>
    <row r="66" spans="1:12" ht="13.35" customHeight="1" x14ac:dyDescent="0.2">
      <c r="A66" s="263" t="s">
        <v>896</v>
      </c>
      <c r="B66" s="257"/>
      <c r="C66" s="295"/>
      <c r="D66" s="295"/>
      <c r="E66" s="296"/>
      <c r="F66" s="297"/>
      <c r="G66" s="295"/>
      <c r="H66" s="298"/>
      <c r="I66" s="557"/>
      <c r="J66" s="295"/>
      <c r="K66" s="298"/>
      <c r="L66" s="73"/>
    </row>
    <row r="67" spans="1:12" ht="13.35" customHeight="1" x14ac:dyDescent="0.2">
      <c r="A67" s="263" t="s">
        <v>852</v>
      </c>
      <c r="B67" s="257"/>
      <c r="C67" s="295"/>
      <c r="D67" s="295"/>
      <c r="E67" s="296"/>
      <c r="F67" s="297"/>
      <c r="G67" s="295"/>
      <c r="H67" s="298"/>
      <c r="I67" s="557"/>
      <c r="J67" s="295"/>
      <c r="K67" s="298"/>
      <c r="L67" s="73"/>
    </row>
    <row r="68" spans="1:12" ht="13.35" customHeight="1" x14ac:dyDescent="0.2">
      <c r="A68" s="235" t="s">
        <v>897</v>
      </c>
      <c r="B68" s="257"/>
      <c r="C68" s="155">
        <f>SUM(C69:C72)</f>
        <v>0</v>
      </c>
      <c r="D68" s="155">
        <f t="shared" ref="D68:K68" si="9">SUM(D69:D72)</f>
        <v>0</v>
      </c>
      <c r="E68" s="155">
        <f t="shared" si="9"/>
        <v>0</v>
      </c>
      <c r="F68" s="157">
        <f t="shared" si="9"/>
        <v>0</v>
      </c>
      <c r="G68" s="155">
        <f t="shared" si="9"/>
        <v>0</v>
      </c>
      <c r="H68" s="158">
        <f t="shared" si="9"/>
        <v>0</v>
      </c>
      <c r="I68" s="159">
        <f t="shared" si="9"/>
        <v>0</v>
      </c>
      <c r="J68" s="155">
        <f t="shared" si="9"/>
        <v>0</v>
      </c>
      <c r="K68" s="158">
        <f t="shared" si="9"/>
        <v>0</v>
      </c>
      <c r="L68" s="73"/>
    </row>
    <row r="69" spans="1:12" ht="13.35" customHeight="1" x14ac:dyDescent="0.2">
      <c r="A69" s="263" t="s">
        <v>898</v>
      </c>
      <c r="B69" s="257"/>
      <c r="C69" s="295"/>
      <c r="D69" s="295"/>
      <c r="E69" s="294"/>
      <c r="F69" s="556"/>
      <c r="G69" s="295"/>
      <c r="H69" s="294"/>
      <c r="I69" s="556"/>
      <c r="J69" s="295"/>
      <c r="K69" s="298"/>
      <c r="L69" s="73"/>
    </row>
    <row r="70" spans="1:12" ht="13.35" customHeight="1" x14ac:dyDescent="0.2">
      <c r="A70" s="263" t="s">
        <v>899</v>
      </c>
      <c r="B70" s="257"/>
      <c r="C70" s="295"/>
      <c r="D70" s="295"/>
      <c r="E70" s="555"/>
      <c r="F70" s="556"/>
      <c r="G70" s="295"/>
      <c r="H70" s="294"/>
      <c r="I70" s="556"/>
      <c r="J70" s="295"/>
      <c r="K70" s="298"/>
      <c r="L70" s="73"/>
    </row>
    <row r="71" spans="1:12" ht="13.35" customHeight="1" x14ac:dyDescent="0.2">
      <c r="A71" s="263" t="s">
        <v>900</v>
      </c>
      <c r="B71" s="257"/>
      <c r="C71" s="295"/>
      <c r="D71" s="295"/>
      <c r="E71" s="555"/>
      <c r="F71" s="556"/>
      <c r="G71" s="295"/>
      <c r="H71" s="294"/>
      <c r="I71" s="556"/>
      <c r="J71" s="295"/>
      <c r="K71" s="555"/>
      <c r="L71" s="73"/>
    </row>
    <row r="72" spans="1:12" ht="13.35" customHeight="1" x14ac:dyDescent="0.2">
      <c r="A72" s="263" t="s">
        <v>852</v>
      </c>
      <c r="B72" s="257"/>
      <c r="C72" s="295"/>
      <c r="D72" s="295"/>
      <c r="E72" s="555"/>
      <c r="F72" s="556"/>
      <c r="G72" s="295"/>
      <c r="H72" s="294"/>
      <c r="I72" s="556"/>
      <c r="J72" s="295"/>
      <c r="K72" s="555"/>
      <c r="L72" s="73"/>
    </row>
    <row r="73" spans="1:12" ht="5.0999999999999996" customHeight="1" x14ac:dyDescent="0.2">
      <c r="A73" s="267"/>
      <c r="B73" s="257"/>
      <c r="C73" s="66"/>
      <c r="D73" s="66"/>
      <c r="E73" s="268"/>
      <c r="F73" s="269"/>
      <c r="G73" s="66"/>
      <c r="H73" s="270"/>
      <c r="I73" s="269"/>
      <c r="J73" s="66"/>
      <c r="K73" s="268"/>
      <c r="L73" s="73"/>
    </row>
    <row r="74" spans="1:12" ht="13.35" customHeight="1" x14ac:dyDescent="0.2">
      <c r="A74" s="256" t="s">
        <v>901</v>
      </c>
      <c r="B74" s="257"/>
      <c r="C74" s="145">
        <f>C75+C98</f>
        <v>0</v>
      </c>
      <c r="D74" s="145">
        <f t="shared" ref="D74:K74" si="10">D75+D98</f>
        <v>0</v>
      </c>
      <c r="E74" s="258">
        <f t="shared" si="10"/>
        <v>4008579.4</v>
      </c>
      <c r="F74" s="259">
        <f t="shared" si="10"/>
        <v>11714675</v>
      </c>
      <c r="G74" s="145">
        <f t="shared" si="10"/>
        <v>11714675</v>
      </c>
      <c r="H74" s="260">
        <f t="shared" si="10"/>
        <v>11714675</v>
      </c>
      <c r="I74" s="259">
        <f t="shared" si="10"/>
        <v>25871670.909719996</v>
      </c>
      <c r="J74" s="145">
        <f t="shared" si="10"/>
        <v>26691988.087928239</v>
      </c>
      <c r="K74" s="258">
        <f t="shared" si="10"/>
        <v>27144445.455797084</v>
      </c>
      <c r="L74" s="73"/>
    </row>
    <row r="75" spans="1:12" ht="13.35" customHeight="1" x14ac:dyDescent="0.2">
      <c r="A75" s="235" t="s">
        <v>902</v>
      </c>
      <c r="B75" s="257"/>
      <c r="C75" s="150">
        <f>SUM(C76:C97)</f>
        <v>0</v>
      </c>
      <c r="D75" s="150">
        <f t="shared" ref="D75:K75" si="11">SUM(D76:D97)</f>
        <v>0</v>
      </c>
      <c r="E75" s="151">
        <f t="shared" si="11"/>
        <v>4008579.4</v>
      </c>
      <c r="F75" s="152">
        <f t="shared" si="11"/>
        <v>11714675</v>
      </c>
      <c r="G75" s="150">
        <f t="shared" si="11"/>
        <v>11714675</v>
      </c>
      <c r="H75" s="153">
        <f t="shared" si="11"/>
        <v>11714675</v>
      </c>
      <c r="I75" s="152">
        <f t="shared" si="11"/>
        <v>25871670.909719996</v>
      </c>
      <c r="J75" s="150">
        <f t="shared" si="11"/>
        <v>26691988.087928239</v>
      </c>
      <c r="K75" s="153">
        <f t="shared" si="11"/>
        <v>27144445.455797084</v>
      </c>
      <c r="L75" s="73"/>
    </row>
    <row r="76" spans="1:12" ht="13.35" customHeight="1" x14ac:dyDescent="0.2">
      <c r="A76" s="263" t="s">
        <v>903</v>
      </c>
      <c r="B76" s="257"/>
      <c r="C76" s="295"/>
      <c r="D76" s="295"/>
      <c r="E76" s="555"/>
      <c r="F76" s="556"/>
      <c r="G76" s="295"/>
      <c r="H76" s="294"/>
      <c r="I76" s="556"/>
      <c r="J76" s="295"/>
      <c r="K76" s="555"/>
      <c r="L76" s="73"/>
    </row>
    <row r="77" spans="1:12" ht="13.35" customHeight="1" x14ac:dyDescent="0.2">
      <c r="A77" s="263" t="s">
        <v>904</v>
      </c>
      <c r="B77" s="257"/>
      <c r="C77" s="295"/>
      <c r="D77" s="295"/>
      <c r="E77" s="555">
        <v>4008579.4</v>
      </c>
      <c r="F77" s="556">
        <v>11714675</v>
      </c>
      <c r="G77" s="295">
        <v>11714675</v>
      </c>
      <c r="H77" s="294">
        <v>11714675</v>
      </c>
      <c r="I77" s="556">
        <v>25871670.909719996</v>
      </c>
      <c r="J77" s="295">
        <v>26691988.087928239</v>
      </c>
      <c r="K77" s="555">
        <v>27144445.455797084</v>
      </c>
      <c r="L77" s="73"/>
    </row>
    <row r="78" spans="1:12" ht="13.35" customHeight="1" x14ac:dyDescent="0.2">
      <c r="A78" s="263" t="s">
        <v>905</v>
      </c>
      <c r="B78" s="257"/>
      <c r="C78" s="295"/>
      <c r="D78" s="295"/>
      <c r="E78" s="555"/>
      <c r="F78" s="556"/>
      <c r="G78" s="295"/>
      <c r="H78" s="294"/>
      <c r="I78" s="556"/>
      <c r="J78" s="295"/>
      <c r="K78" s="555"/>
      <c r="L78" s="73"/>
    </row>
    <row r="79" spans="1:12" ht="13.35" customHeight="1" x14ac:dyDescent="0.2">
      <c r="A79" s="263" t="s">
        <v>906</v>
      </c>
      <c r="B79" s="257"/>
      <c r="C79" s="295"/>
      <c r="D79" s="295"/>
      <c r="E79" s="555"/>
      <c r="F79" s="556"/>
      <c r="G79" s="295"/>
      <c r="H79" s="294"/>
      <c r="I79" s="556"/>
      <c r="J79" s="295"/>
      <c r="K79" s="555"/>
      <c r="L79" s="73"/>
    </row>
    <row r="80" spans="1:12" ht="13.35" customHeight="1" x14ac:dyDescent="0.2">
      <c r="A80" s="263" t="s">
        <v>907</v>
      </c>
      <c r="B80" s="257"/>
      <c r="C80" s="295"/>
      <c r="D80" s="295"/>
      <c r="E80" s="555"/>
      <c r="F80" s="556"/>
      <c r="G80" s="295"/>
      <c r="H80" s="294"/>
      <c r="I80" s="556"/>
      <c r="J80" s="295"/>
      <c r="K80" s="555"/>
      <c r="L80" s="73"/>
    </row>
    <row r="81" spans="1:12" ht="13.35" customHeight="1" x14ac:dyDescent="0.2">
      <c r="A81" s="263" t="s">
        <v>908</v>
      </c>
      <c r="B81" s="257"/>
      <c r="C81" s="295"/>
      <c r="D81" s="295"/>
      <c r="E81" s="555"/>
      <c r="F81" s="556"/>
      <c r="G81" s="295"/>
      <c r="H81" s="294"/>
      <c r="I81" s="556"/>
      <c r="J81" s="295"/>
      <c r="K81" s="555"/>
      <c r="L81" s="73"/>
    </row>
    <row r="82" spans="1:12" ht="13.35" customHeight="1" x14ac:dyDescent="0.2">
      <c r="A82" s="263" t="s">
        <v>909</v>
      </c>
      <c r="B82" s="257"/>
      <c r="C82" s="295"/>
      <c r="D82" s="295"/>
      <c r="E82" s="555"/>
      <c r="F82" s="556"/>
      <c r="G82" s="295"/>
      <c r="H82" s="294"/>
      <c r="I82" s="556"/>
      <c r="J82" s="295"/>
      <c r="K82" s="555"/>
      <c r="L82" s="73"/>
    </row>
    <row r="83" spans="1:12" ht="13.35" customHeight="1" x14ac:dyDescent="0.2">
      <c r="A83" s="263" t="s">
        <v>910</v>
      </c>
      <c r="B83" s="257"/>
      <c r="C83" s="295"/>
      <c r="D83" s="295"/>
      <c r="E83" s="555"/>
      <c r="F83" s="556"/>
      <c r="G83" s="295"/>
      <c r="H83" s="294"/>
      <c r="I83" s="556"/>
      <c r="J83" s="295"/>
      <c r="K83" s="555"/>
      <c r="L83" s="73"/>
    </row>
    <row r="84" spans="1:12" ht="13.35" customHeight="1" x14ac:dyDescent="0.2">
      <c r="A84" s="263" t="s">
        <v>911</v>
      </c>
      <c r="B84" s="257"/>
      <c r="C84" s="295"/>
      <c r="D84" s="295"/>
      <c r="E84" s="555"/>
      <c r="F84" s="556"/>
      <c r="G84" s="295"/>
      <c r="H84" s="294"/>
      <c r="I84" s="556"/>
      <c r="J84" s="295"/>
      <c r="K84" s="555"/>
      <c r="L84" s="271"/>
    </row>
    <row r="85" spans="1:12" ht="13.35" customHeight="1" x14ac:dyDescent="0.2">
      <c r="A85" s="263" t="s">
        <v>88</v>
      </c>
      <c r="B85" s="257"/>
      <c r="C85" s="295"/>
      <c r="D85" s="295"/>
      <c r="E85" s="555"/>
      <c r="F85" s="556"/>
      <c r="G85" s="295"/>
      <c r="H85" s="294"/>
      <c r="I85" s="556"/>
      <c r="J85" s="295"/>
      <c r="K85" s="555"/>
    </row>
    <row r="86" spans="1:12" ht="13.35" customHeight="1" x14ac:dyDescent="0.2">
      <c r="A86" s="263" t="s">
        <v>912</v>
      </c>
      <c r="B86" s="257"/>
      <c r="C86" s="295"/>
      <c r="D86" s="295"/>
      <c r="E86" s="555"/>
      <c r="F86" s="556"/>
      <c r="G86" s="295"/>
      <c r="H86" s="294"/>
      <c r="I86" s="556"/>
      <c r="J86" s="295"/>
      <c r="K86" s="555"/>
    </row>
    <row r="87" spans="1:12" ht="13.35" customHeight="1" x14ac:dyDescent="0.2">
      <c r="A87" s="263" t="s">
        <v>913</v>
      </c>
      <c r="B87" s="257"/>
      <c r="C87" s="295"/>
      <c r="D87" s="295"/>
      <c r="E87" s="555"/>
      <c r="F87" s="556"/>
      <c r="G87" s="295"/>
      <c r="H87" s="294"/>
      <c r="I87" s="556"/>
      <c r="J87" s="295"/>
      <c r="K87" s="555"/>
    </row>
    <row r="88" spans="1:12" ht="13.35" customHeight="1" x14ac:dyDescent="0.2">
      <c r="A88" s="263" t="s">
        <v>1012</v>
      </c>
      <c r="B88" s="257"/>
      <c r="C88" s="295"/>
      <c r="D88" s="295"/>
      <c r="E88" s="555"/>
      <c r="F88" s="556"/>
      <c r="G88" s="295"/>
      <c r="H88" s="294"/>
      <c r="I88" s="556"/>
      <c r="J88" s="295"/>
      <c r="K88" s="555"/>
    </row>
    <row r="89" spans="1:12" ht="13.35" customHeight="1" x14ac:dyDescent="0.2">
      <c r="A89" s="263" t="s">
        <v>914</v>
      </c>
      <c r="B89" s="257"/>
      <c r="C89" s="295"/>
      <c r="D89" s="295"/>
      <c r="E89" s="555"/>
      <c r="F89" s="556"/>
      <c r="G89" s="295"/>
      <c r="H89" s="294"/>
      <c r="I89" s="556"/>
      <c r="J89" s="295"/>
      <c r="K89" s="555"/>
    </row>
    <row r="90" spans="1:12" ht="13.35" customHeight="1" x14ac:dyDescent="0.2">
      <c r="A90" s="263" t="s">
        <v>915</v>
      </c>
      <c r="B90" s="257"/>
      <c r="C90" s="295"/>
      <c r="D90" s="295"/>
      <c r="E90" s="555"/>
      <c r="F90" s="556"/>
      <c r="G90" s="295"/>
      <c r="H90" s="294"/>
      <c r="I90" s="556"/>
      <c r="J90" s="295"/>
      <c r="K90" s="555"/>
    </row>
    <row r="91" spans="1:12" ht="13.35" customHeight="1" x14ac:dyDescent="0.2">
      <c r="A91" s="263" t="s">
        <v>916</v>
      </c>
      <c r="B91" s="257"/>
      <c r="C91" s="295"/>
      <c r="D91" s="295"/>
      <c r="E91" s="555"/>
      <c r="F91" s="556"/>
      <c r="G91" s="295"/>
      <c r="H91" s="294"/>
      <c r="I91" s="556"/>
      <c r="J91" s="295"/>
      <c r="K91" s="555"/>
    </row>
    <row r="92" spans="1:12" ht="13.35" customHeight="1" x14ac:dyDescent="0.2">
      <c r="A92" s="263" t="s">
        <v>11</v>
      </c>
      <c r="B92" s="257"/>
      <c r="C92" s="295"/>
      <c r="D92" s="295"/>
      <c r="E92" s="555"/>
      <c r="F92" s="556"/>
      <c r="G92" s="295"/>
      <c r="H92" s="294"/>
      <c r="I92" s="556"/>
      <c r="J92" s="295"/>
      <c r="K92" s="555"/>
    </row>
    <row r="93" spans="1:12" ht="13.35" customHeight="1" x14ac:dyDescent="0.2">
      <c r="A93" s="263" t="s">
        <v>917</v>
      </c>
      <c r="B93" s="257"/>
      <c r="C93" s="295"/>
      <c r="D93" s="295"/>
      <c r="E93" s="555"/>
      <c r="F93" s="556"/>
      <c r="G93" s="295"/>
      <c r="H93" s="294"/>
      <c r="I93" s="556"/>
      <c r="J93" s="295"/>
      <c r="K93" s="555"/>
    </row>
    <row r="94" spans="1:12" ht="13.35" customHeight="1" x14ac:dyDescent="0.2">
      <c r="A94" s="263" t="s">
        <v>10</v>
      </c>
      <c r="B94" s="257"/>
      <c r="C94" s="295"/>
      <c r="D94" s="295"/>
      <c r="E94" s="555"/>
      <c r="F94" s="556"/>
      <c r="G94" s="295"/>
      <c r="H94" s="294"/>
      <c r="I94" s="556"/>
      <c r="J94" s="295"/>
      <c r="K94" s="555"/>
    </row>
    <row r="95" spans="1:12" ht="13.35" customHeight="1" x14ac:dyDescent="0.2">
      <c r="A95" s="263" t="s">
        <v>918</v>
      </c>
      <c r="B95" s="257"/>
      <c r="C95" s="295"/>
      <c r="D95" s="295"/>
      <c r="E95" s="555"/>
      <c r="F95" s="556"/>
      <c r="G95" s="295"/>
      <c r="H95" s="294"/>
      <c r="I95" s="556"/>
      <c r="J95" s="295"/>
      <c r="K95" s="555"/>
    </row>
    <row r="96" spans="1:12" ht="13.35" customHeight="1" x14ac:dyDescent="0.2">
      <c r="A96" s="263" t="s">
        <v>919</v>
      </c>
      <c r="B96" s="257"/>
      <c r="C96" s="295"/>
      <c r="D96" s="295"/>
      <c r="E96" s="555"/>
      <c r="F96" s="556"/>
      <c r="G96" s="295"/>
      <c r="H96" s="294"/>
      <c r="I96" s="556"/>
      <c r="J96" s="295"/>
      <c r="K96" s="555"/>
    </row>
    <row r="97" spans="1:11" ht="13.35" customHeight="1" x14ac:dyDescent="0.2">
      <c r="A97" s="263" t="s">
        <v>852</v>
      </c>
      <c r="B97" s="257"/>
      <c r="C97" s="295"/>
      <c r="D97" s="295"/>
      <c r="E97" s="555"/>
      <c r="F97" s="556"/>
      <c r="G97" s="295"/>
      <c r="H97" s="294"/>
      <c r="I97" s="556"/>
      <c r="J97" s="295"/>
      <c r="K97" s="555"/>
    </row>
    <row r="98" spans="1:11" ht="13.35" customHeight="1" x14ac:dyDescent="0.2">
      <c r="A98" s="235" t="s">
        <v>920</v>
      </c>
      <c r="B98" s="257"/>
      <c r="C98" s="155">
        <f>SUM(C99:C101)</f>
        <v>0</v>
      </c>
      <c r="D98" s="155">
        <f t="shared" ref="D98:K98" si="12">SUM(D99:D101)</f>
        <v>0</v>
      </c>
      <c r="E98" s="155">
        <f t="shared" si="12"/>
        <v>0</v>
      </c>
      <c r="F98" s="157">
        <f t="shared" si="12"/>
        <v>0</v>
      </c>
      <c r="G98" s="155">
        <f t="shared" si="12"/>
        <v>0</v>
      </c>
      <c r="H98" s="158">
        <f t="shared" si="12"/>
        <v>0</v>
      </c>
      <c r="I98" s="159">
        <f t="shared" si="12"/>
        <v>0</v>
      </c>
      <c r="J98" s="155">
        <f t="shared" si="12"/>
        <v>0</v>
      </c>
      <c r="K98" s="158">
        <f t="shared" si="12"/>
        <v>0</v>
      </c>
    </row>
    <row r="99" spans="1:11" ht="13.35" customHeight="1" x14ac:dyDescent="0.2">
      <c r="A99" s="263" t="s">
        <v>921</v>
      </c>
      <c r="B99" s="257"/>
      <c r="C99" s="295"/>
      <c r="D99" s="295"/>
      <c r="E99" s="294"/>
      <c r="F99" s="556"/>
      <c r="G99" s="295"/>
      <c r="H99" s="294"/>
      <c r="I99" s="556"/>
      <c r="J99" s="295"/>
      <c r="K99" s="298"/>
    </row>
    <row r="100" spans="1:11" ht="13.35" customHeight="1" x14ac:dyDescent="0.2">
      <c r="A100" s="263" t="s">
        <v>922</v>
      </c>
      <c r="B100" s="257"/>
      <c r="C100" s="295"/>
      <c r="D100" s="295"/>
      <c r="E100" s="555"/>
      <c r="F100" s="556"/>
      <c r="G100" s="295"/>
      <c r="H100" s="294"/>
      <c r="I100" s="556"/>
      <c r="J100" s="295"/>
      <c r="K100" s="298"/>
    </row>
    <row r="101" spans="1:11" ht="13.35" customHeight="1" x14ac:dyDescent="0.2">
      <c r="A101" s="263" t="s">
        <v>852</v>
      </c>
      <c r="B101" s="257"/>
      <c r="C101" s="295"/>
      <c r="D101" s="295"/>
      <c r="E101" s="555"/>
      <c r="F101" s="556"/>
      <c r="G101" s="295"/>
      <c r="H101" s="294"/>
      <c r="I101" s="556"/>
      <c r="J101" s="295"/>
      <c r="K101" s="555"/>
    </row>
    <row r="102" spans="1:11" ht="5.0999999999999996" customHeight="1" x14ac:dyDescent="0.2">
      <c r="A102" s="267"/>
      <c r="B102" s="257"/>
      <c r="C102" s="66"/>
      <c r="D102" s="66"/>
      <c r="E102" s="268"/>
      <c r="F102" s="269"/>
      <c r="G102" s="66"/>
      <c r="H102" s="270"/>
      <c r="I102" s="269"/>
      <c r="J102" s="66"/>
      <c r="K102" s="268"/>
    </row>
    <row r="103" spans="1:11" ht="13.35" customHeight="1" x14ac:dyDescent="0.2">
      <c r="A103" s="256" t="s">
        <v>184</v>
      </c>
      <c r="B103" s="257"/>
      <c r="C103" s="66">
        <f>SUM(C104:C108)</f>
        <v>0</v>
      </c>
      <c r="D103" s="66">
        <f t="shared" ref="D103:K103" si="13">SUM(D104:D108)</f>
        <v>0</v>
      </c>
      <c r="E103" s="268">
        <f t="shared" si="13"/>
        <v>0</v>
      </c>
      <c r="F103" s="269">
        <f t="shared" si="13"/>
        <v>0</v>
      </c>
      <c r="G103" s="66">
        <f t="shared" si="13"/>
        <v>0</v>
      </c>
      <c r="H103" s="270">
        <f t="shared" si="13"/>
        <v>0</v>
      </c>
      <c r="I103" s="269">
        <f t="shared" si="13"/>
        <v>0</v>
      </c>
      <c r="J103" s="66">
        <f t="shared" si="13"/>
        <v>0</v>
      </c>
      <c r="K103" s="268">
        <f t="shared" si="13"/>
        <v>0</v>
      </c>
    </row>
    <row r="104" spans="1:11" ht="13.35" customHeight="1" x14ac:dyDescent="0.2">
      <c r="A104" s="235" t="s">
        <v>923</v>
      </c>
      <c r="B104" s="257"/>
      <c r="C104" s="531"/>
      <c r="D104" s="531"/>
      <c r="E104" s="558"/>
      <c r="F104" s="559"/>
      <c r="G104" s="531"/>
      <c r="H104" s="560"/>
      <c r="I104" s="559"/>
      <c r="J104" s="531"/>
      <c r="K104" s="558"/>
    </row>
    <row r="105" spans="1:11" ht="13.35" customHeight="1" x14ac:dyDescent="0.2">
      <c r="A105" s="239" t="s">
        <v>924</v>
      </c>
      <c r="B105" s="257"/>
      <c r="C105" s="532"/>
      <c r="D105" s="532"/>
      <c r="E105" s="561"/>
      <c r="F105" s="562"/>
      <c r="G105" s="532"/>
      <c r="H105" s="563"/>
      <c r="I105" s="562"/>
      <c r="J105" s="532"/>
      <c r="K105" s="561"/>
    </row>
    <row r="106" spans="1:11" ht="13.35" customHeight="1" x14ac:dyDescent="0.2">
      <c r="A106" s="235" t="s">
        <v>925</v>
      </c>
      <c r="B106" s="257"/>
      <c r="C106" s="532"/>
      <c r="D106" s="532"/>
      <c r="E106" s="561"/>
      <c r="F106" s="562"/>
      <c r="G106" s="532"/>
      <c r="H106" s="563"/>
      <c r="I106" s="562"/>
      <c r="J106" s="532"/>
      <c r="K106" s="561"/>
    </row>
    <row r="107" spans="1:11" ht="13.35" customHeight="1" x14ac:dyDescent="0.2">
      <c r="A107" s="235" t="s">
        <v>926</v>
      </c>
      <c r="B107" s="257"/>
      <c r="C107" s="532"/>
      <c r="D107" s="532"/>
      <c r="E107" s="561"/>
      <c r="F107" s="562"/>
      <c r="G107" s="532"/>
      <c r="H107" s="563"/>
      <c r="I107" s="562"/>
      <c r="J107" s="532"/>
      <c r="K107" s="561"/>
    </row>
    <row r="108" spans="1:11" ht="13.35" customHeight="1" x14ac:dyDescent="0.2">
      <c r="A108" s="239" t="s">
        <v>927</v>
      </c>
      <c r="B108" s="257"/>
      <c r="C108" s="532"/>
      <c r="D108" s="532"/>
      <c r="E108" s="561"/>
      <c r="F108" s="562"/>
      <c r="G108" s="532"/>
      <c r="H108" s="563"/>
      <c r="I108" s="562"/>
      <c r="J108" s="532"/>
      <c r="K108" s="561"/>
    </row>
    <row r="109" spans="1:11" ht="5.0999999999999996" customHeight="1" x14ac:dyDescent="0.2">
      <c r="A109" s="276"/>
      <c r="B109" s="257"/>
      <c r="C109" s="66"/>
      <c r="D109" s="66"/>
      <c r="E109" s="268"/>
      <c r="F109" s="269"/>
      <c r="G109" s="66"/>
      <c r="H109" s="270"/>
      <c r="I109" s="269"/>
      <c r="J109" s="66"/>
      <c r="K109" s="268"/>
    </row>
    <row r="110" spans="1:11" ht="13.35" customHeight="1" x14ac:dyDescent="0.2">
      <c r="A110" s="277" t="s">
        <v>185</v>
      </c>
      <c r="B110" s="257"/>
      <c r="C110" s="80">
        <f>+C111+C114</f>
        <v>0</v>
      </c>
      <c r="D110" s="80">
        <f t="shared" ref="D110:K110" si="14">+D111+D114</f>
        <v>0</v>
      </c>
      <c r="E110" s="278">
        <f t="shared" si="14"/>
        <v>0</v>
      </c>
      <c r="F110" s="279">
        <f t="shared" si="14"/>
        <v>0</v>
      </c>
      <c r="G110" s="80">
        <f t="shared" si="14"/>
        <v>0</v>
      </c>
      <c r="H110" s="280">
        <f t="shared" si="14"/>
        <v>0</v>
      </c>
      <c r="I110" s="279">
        <f t="shared" si="14"/>
        <v>0</v>
      </c>
      <c r="J110" s="80">
        <f t="shared" si="14"/>
        <v>0</v>
      </c>
      <c r="K110" s="278">
        <f t="shared" si="14"/>
        <v>0</v>
      </c>
    </row>
    <row r="111" spans="1:11" ht="13.35" customHeight="1" x14ac:dyDescent="0.2">
      <c r="A111" s="235" t="s">
        <v>928</v>
      </c>
      <c r="B111" s="257"/>
      <c r="C111" s="150">
        <f t="shared" ref="C111:K111" si="15">SUM(C112:C113)</f>
        <v>0</v>
      </c>
      <c r="D111" s="150">
        <f t="shared" si="15"/>
        <v>0</v>
      </c>
      <c r="E111" s="150">
        <f t="shared" si="15"/>
        <v>0</v>
      </c>
      <c r="F111" s="152">
        <f t="shared" si="15"/>
        <v>0</v>
      </c>
      <c r="G111" s="150">
        <f t="shared" si="15"/>
        <v>0</v>
      </c>
      <c r="H111" s="153">
        <f t="shared" si="15"/>
        <v>0</v>
      </c>
      <c r="I111" s="154">
        <f t="shared" si="15"/>
        <v>0</v>
      </c>
      <c r="J111" s="150">
        <f t="shared" si="15"/>
        <v>0</v>
      </c>
      <c r="K111" s="153">
        <f t="shared" si="15"/>
        <v>0</v>
      </c>
    </row>
    <row r="112" spans="1:11" ht="13.35" customHeight="1" x14ac:dyDescent="0.2">
      <c r="A112" s="263" t="s">
        <v>929</v>
      </c>
      <c r="B112" s="257"/>
      <c r="C112" s="295"/>
      <c r="D112" s="295"/>
      <c r="E112" s="294"/>
      <c r="F112" s="556"/>
      <c r="G112" s="295"/>
      <c r="H112" s="294"/>
      <c r="I112" s="556"/>
      <c r="J112" s="295"/>
      <c r="K112" s="298"/>
    </row>
    <row r="113" spans="1:11" ht="13.35" customHeight="1" x14ac:dyDescent="0.2">
      <c r="A113" s="263" t="s">
        <v>930</v>
      </c>
      <c r="B113" s="257"/>
      <c r="C113" s="295"/>
      <c r="D113" s="295"/>
      <c r="E113" s="555"/>
      <c r="F113" s="556"/>
      <c r="G113" s="295"/>
      <c r="H113" s="294"/>
      <c r="I113" s="556"/>
      <c r="J113" s="295"/>
      <c r="K113" s="298"/>
    </row>
    <row r="114" spans="1:11" ht="13.35" customHeight="1" x14ac:dyDescent="0.2">
      <c r="A114" s="235" t="s">
        <v>931</v>
      </c>
      <c r="B114" s="257"/>
      <c r="C114" s="155">
        <f>SUM(C115:C116)</f>
        <v>0</v>
      </c>
      <c r="D114" s="155">
        <f t="shared" ref="D114:K114" si="16">SUM(D115:D116)</f>
        <v>0</v>
      </c>
      <c r="E114" s="155">
        <f t="shared" si="16"/>
        <v>0</v>
      </c>
      <c r="F114" s="157">
        <f t="shared" si="16"/>
        <v>0</v>
      </c>
      <c r="G114" s="155">
        <f t="shared" si="16"/>
        <v>0</v>
      </c>
      <c r="H114" s="158">
        <f t="shared" si="16"/>
        <v>0</v>
      </c>
      <c r="I114" s="159">
        <f t="shared" si="16"/>
        <v>0</v>
      </c>
      <c r="J114" s="155">
        <f t="shared" si="16"/>
        <v>0</v>
      </c>
      <c r="K114" s="158">
        <f t="shared" si="16"/>
        <v>0</v>
      </c>
    </row>
    <row r="115" spans="1:11" ht="13.35" customHeight="1" x14ac:dyDescent="0.2">
      <c r="A115" s="263" t="s">
        <v>929</v>
      </c>
      <c r="B115" s="257"/>
      <c r="C115" s="295"/>
      <c r="D115" s="295"/>
      <c r="E115" s="294"/>
      <c r="F115" s="556"/>
      <c r="G115" s="295"/>
      <c r="H115" s="294"/>
      <c r="I115" s="556"/>
      <c r="J115" s="295"/>
      <c r="K115" s="298"/>
    </row>
    <row r="116" spans="1:11" ht="13.35" customHeight="1" x14ac:dyDescent="0.2">
      <c r="A116" s="263" t="s">
        <v>930</v>
      </c>
      <c r="B116" s="257"/>
      <c r="C116" s="295"/>
      <c r="D116" s="295"/>
      <c r="E116" s="555"/>
      <c r="F116" s="556"/>
      <c r="G116" s="295"/>
      <c r="H116" s="294"/>
      <c r="I116" s="556"/>
      <c r="J116" s="295"/>
      <c r="K116" s="298"/>
    </row>
    <row r="117" spans="1:11" ht="5.0999999999999996" customHeight="1" x14ac:dyDescent="0.2">
      <c r="A117" s="276"/>
      <c r="B117" s="257"/>
      <c r="C117" s="66"/>
      <c r="D117" s="66"/>
      <c r="E117" s="268"/>
      <c r="F117" s="269"/>
      <c r="G117" s="66"/>
      <c r="H117" s="270"/>
      <c r="I117" s="269"/>
      <c r="J117" s="66"/>
      <c r="K117" s="268"/>
    </row>
    <row r="118" spans="1:11" ht="13.35" customHeight="1" x14ac:dyDescent="0.2">
      <c r="A118" s="277" t="s">
        <v>186</v>
      </c>
      <c r="B118" s="257"/>
      <c r="C118" s="80">
        <f>+C119+C131</f>
        <v>5264505.63</v>
      </c>
      <c r="D118" s="80">
        <f t="shared" ref="D118:K118" si="17">+D119+D131</f>
        <v>3455539.72</v>
      </c>
      <c r="E118" s="278">
        <f t="shared" si="17"/>
        <v>187829.28</v>
      </c>
      <c r="F118" s="279">
        <f t="shared" si="17"/>
        <v>858964</v>
      </c>
      <c r="G118" s="80">
        <f t="shared" si="17"/>
        <v>858964</v>
      </c>
      <c r="H118" s="280">
        <f t="shared" si="17"/>
        <v>858964</v>
      </c>
      <c r="I118" s="279">
        <f t="shared" si="17"/>
        <v>574173.81414666667</v>
      </c>
      <c r="J118" s="80">
        <f t="shared" si="17"/>
        <v>591989.11434082664</v>
      </c>
      <c r="K118" s="278">
        <f t="shared" si="17"/>
        <v>611436.6353718231</v>
      </c>
    </row>
    <row r="119" spans="1:11" ht="13.35" customHeight="1" x14ac:dyDescent="0.2">
      <c r="A119" s="235" t="s">
        <v>932</v>
      </c>
      <c r="B119" s="257"/>
      <c r="C119" s="150">
        <f>SUM(C120:C130)</f>
        <v>5264505.63</v>
      </c>
      <c r="D119" s="150">
        <f t="shared" ref="D119:K119" si="18">SUM(D120:D130)</f>
        <v>3455539.72</v>
      </c>
      <c r="E119" s="150">
        <f t="shared" si="18"/>
        <v>187829.28</v>
      </c>
      <c r="F119" s="152">
        <f t="shared" si="18"/>
        <v>858964</v>
      </c>
      <c r="G119" s="150">
        <f t="shared" si="18"/>
        <v>858964</v>
      </c>
      <c r="H119" s="153">
        <f t="shared" si="18"/>
        <v>858964</v>
      </c>
      <c r="I119" s="154">
        <f t="shared" si="18"/>
        <v>574173.81414666667</v>
      </c>
      <c r="J119" s="150">
        <f t="shared" si="18"/>
        <v>591989.11434082664</v>
      </c>
      <c r="K119" s="153">
        <f t="shared" si="18"/>
        <v>611436.6353718231</v>
      </c>
    </row>
    <row r="120" spans="1:11" ht="13.35" customHeight="1" x14ac:dyDescent="0.2">
      <c r="A120" s="263" t="s">
        <v>933</v>
      </c>
      <c r="B120" s="257"/>
      <c r="C120" s="295">
        <v>4627982.5</v>
      </c>
      <c r="D120" s="295">
        <v>3455539.72</v>
      </c>
      <c r="E120" s="294"/>
      <c r="F120" s="556"/>
      <c r="G120" s="295"/>
      <c r="H120" s="294"/>
      <c r="I120" s="556"/>
      <c r="J120" s="295"/>
      <c r="K120" s="298"/>
    </row>
    <row r="121" spans="1:11" ht="13.35" customHeight="1" x14ac:dyDescent="0.2">
      <c r="A121" s="263" t="s">
        <v>934</v>
      </c>
      <c r="B121" s="257"/>
      <c r="C121" s="295"/>
      <c r="D121" s="295"/>
      <c r="E121" s="294"/>
      <c r="F121" s="556"/>
      <c r="G121" s="295"/>
      <c r="H121" s="294"/>
      <c r="I121" s="556"/>
      <c r="J121" s="295"/>
      <c r="K121" s="298"/>
    </row>
    <row r="122" spans="1:11" ht="13.35" customHeight="1" x14ac:dyDescent="0.2">
      <c r="A122" s="263" t="s">
        <v>935</v>
      </c>
      <c r="B122" s="257"/>
      <c r="C122" s="295"/>
      <c r="D122" s="295"/>
      <c r="E122" s="294"/>
      <c r="F122" s="556"/>
      <c r="G122" s="295"/>
      <c r="H122" s="294"/>
      <c r="I122" s="556"/>
      <c r="J122" s="295"/>
      <c r="K122" s="298"/>
    </row>
    <row r="123" spans="1:11" ht="13.35" customHeight="1" x14ac:dyDescent="0.2">
      <c r="A123" s="263" t="s">
        <v>936</v>
      </c>
      <c r="B123" s="257"/>
      <c r="C123" s="295"/>
      <c r="D123" s="295"/>
      <c r="E123" s="294"/>
      <c r="F123" s="556"/>
      <c r="G123" s="295"/>
      <c r="H123" s="294"/>
      <c r="I123" s="556"/>
      <c r="J123" s="295"/>
      <c r="K123" s="298"/>
    </row>
    <row r="124" spans="1:11" ht="13.35" customHeight="1" x14ac:dyDescent="0.2">
      <c r="A124" s="263" t="s">
        <v>937</v>
      </c>
      <c r="B124" s="257"/>
      <c r="C124" s="295"/>
      <c r="D124" s="295"/>
      <c r="E124" s="294"/>
      <c r="F124" s="556"/>
      <c r="G124" s="295"/>
      <c r="H124" s="294"/>
      <c r="I124" s="556"/>
      <c r="J124" s="295"/>
      <c r="K124" s="298"/>
    </row>
    <row r="125" spans="1:11" ht="13.35" customHeight="1" x14ac:dyDescent="0.2">
      <c r="A125" s="263" t="s">
        <v>938</v>
      </c>
      <c r="B125" s="257"/>
      <c r="C125" s="295"/>
      <c r="D125" s="295"/>
      <c r="E125" s="294"/>
      <c r="F125" s="556"/>
      <c r="G125" s="295"/>
      <c r="H125" s="294"/>
      <c r="I125" s="556"/>
      <c r="J125" s="295"/>
      <c r="K125" s="298"/>
    </row>
    <row r="126" spans="1:11" ht="13.35" customHeight="1" x14ac:dyDescent="0.2">
      <c r="A126" s="263" t="s">
        <v>939</v>
      </c>
      <c r="B126" s="257"/>
      <c r="C126" s="295"/>
      <c r="D126" s="295"/>
      <c r="E126" s="294"/>
      <c r="F126" s="556"/>
      <c r="G126" s="295"/>
      <c r="H126" s="294"/>
      <c r="I126" s="556"/>
      <c r="J126" s="295"/>
      <c r="K126" s="298"/>
    </row>
    <row r="127" spans="1:11" ht="13.35" customHeight="1" x14ac:dyDescent="0.2">
      <c r="A127" s="263" t="s">
        <v>940</v>
      </c>
      <c r="B127" s="257"/>
      <c r="C127" s="295">
        <v>636523.13</v>
      </c>
      <c r="D127" s="295"/>
      <c r="E127" s="294">
        <v>187829.28</v>
      </c>
      <c r="F127" s="556">
        <v>858964</v>
      </c>
      <c r="G127" s="295">
        <v>858964</v>
      </c>
      <c r="H127" s="294">
        <v>858964</v>
      </c>
      <c r="I127" s="556">
        <v>574173.81414666667</v>
      </c>
      <c r="J127" s="295">
        <v>591989.11434082664</v>
      </c>
      <c r="K127" s="298">
        <v>611436.6353718231</v>
      </c>
    </row>
    <row r="128" spans="1:11" ht="13.35" customHeight="1" x14ac:dyDescent="0.2">
      <c r="A128" s="263" t="s">
        <v>941</v>
      </c>
      <c r="B128" s="257"/>
      <c r="C128" s="295"/>
      <c r="D128" s="295"/>
      <c r="E128" s="294"/>
      <c r="F128" s="556"/>
      <c r="G128" s="295"/>
      <c r="H128" s="294"/>
      <c r="I128" s="556"/>
      <c r="J128" s="295"/>
      <c r="K128" s="298"/>
    </row>
    <row r="129" spans="1:11" ht="13.35" customHeight="1" x14ac:dyDescent="0.2">
      <c r="A129" s="263" t="s">
        <v>942</v>
      </c>
      <c r="B129" s="257"/>
      <c r="C129" s="295"/>
      <c r="D129" s="295"/>
      <c r="E129" s="294"/>
      <c r="F129" s="556"/>
      <c r="G129" s="295"/>
      <c r="H129" s="294"/>
      <c r="I129" s="556"/>
      <c r="J129" s="295"/>
      <c r="K129" s="298"/>
    </row>
    <row r="130" spans="1:11" ht="13.35" customHeight="1" x14ac:dyDescent="0.2">
      <c r="A130" s="263" t="s">
        <v>852</v>
      </c>
      <c r="B130" s="257"/>
      <c r="C130" s="295"/>
      <c r="D130" s="295"/>
      <c r="E130" s="294"/>
      <c r="F130" s="556"/>
      <c r="G130" s="295"/>
      <c r="H130" s="294"/>
      <c r="I130" s="556"/>
      <c r="J130" s="295"/>
      <c r="K130" s="298"/>
    </row>
    <row r="131" spans="1:11" ht="13.35" customHeight="1" x14ac:dyDescent="0.2">
      <c r="A131" s="235" t="s">
        <v>943</v>
      </c>
      <c r="B131" s="257"/>
      <c r="C131" s="155">
        <f>SUM(C132:C134)</f>
        <v>0</v>
      </c>
      <c r="D131" s="155">
        <f t="shared" ref="D131:K131" si="19">SUM(D132:D134)</f>
        <v>0</v>
      </c>
      <c r="E131" s="155">
        <f t="shared" si="19"/>
        <v>0</v>
      </c>
      <c r="F131" s="157">
        <f t="shared" si="19"/>
        <v>0</v>
      </c>
      <c r="G131" s="155">
        <f t="shared" si="19"/>
        <v>0</v>
      </c>
      <c r="H131" s="158">
        <f t="shared" si="19"/>
        <v>0</v>
      </c>
      <c r="I131" s="159">
        <f t="shared" si="19"/>
        <v>0</v>
      </c>
      <c r="J131" s="155">
        <f t="shared" si="19"/>
        <v>0</v>
      </c>
      <c r="K131" s="158">
        <f t="shared" si="19"/>
        <v>0</v>
      </c>
    </row>
    <row r="132" spans="1:11" ht="13.35" customHeight="1" x14ac:dyDescent="0.2">
      <c r="A132" s="263" t="s">
        <v>944</v>
      </c>
      <c r="B132" s="257"/>
      <c r="C132" s="295"/>
      <c r="D132" s="295"/>
      <c r="E132" s="294"/>
      <c r="F132" s="556"/>
      <c r="G132" s="295"/>
      <c r="H132" s="294"/>
      <c r="I132" s="556"/>
      <c r="J132" s="295"/>
      <c r="K132" s="298"/>
    </row>
    <row r="133" spans="1:11" ht="13.35" customHeight="1" x14ac:dyDescent="0.2">
      <c r="A133" s="263" t="s">
        <v>945</v>
      </c>
      <c r="B133" s="257"/>
      <c r="C133" s="295"/>
      <c r="D133" s="295"/>
      <c r="E133" s="294"/>
      <c r="F133" s="556"/>
      <c r="G133" s="295"/>
      <c r="H133" s="294"/>
      <c r="I133" s="556"/>
      <c r="J133" s="295"/>
      <c r="K133" s="298"/>
    </row>
    <row r="134" spans="1:11" ht="13.35" customHeight="1" x14ac:dyDescent="0.2">
      <c r="A134" s="263" t="s">
        <v>852</v>
      </c>
      <c r="B134" s="257"/>
      <c r="C134" s="295"/>
      <c r="D134" s="295"/>
      <c r="E134" s="294"/>
      <c r="F134" s="556"/>
      <c r="G134" s="295"/>
      <c r="H134" s="294"/>
      <c r="I134" s="556"/>
      <c r="J134" s="295"/>
      <c r="K134" s="298"/>
    </row>
    <row r="135" spans="1:11" ht="5.0999999999999996" customHeight="1" x14ac:dyDescent="0.2">
      <c r="A135" s="281"/>
      <c r="B135" s="257"/>
      <c r="C135" s="66"/>
      <c r="D135" s="66"/>
      <c r="E135" s="268"/>
      <c r="F135" s="269"/>
      <c r="G135" s="66"/>
      <c r="H135" s="270"/>
      <c r="I135" s="269"/>
      <c r="J135" s="66"/>
      <c r="K135" s="268"/>
    </row>
    <row r="136" spans="1:11" ht="13.35" customHeight="1" x14ac:dyDescent="0.2">
      <c r="A136" s="256" t="s">
        <v>946</v>
      </c>
      <c r="B136" s="257"/>
      <c r="C136" s="66">
        <f t="shared" ref="C136:K136" si="20">SUM(C137:C137)</f>
        <v>0</v>
      </c>
      <c r="D136" s="66">
        <f t="shared" si="20"/>
        <v>0</v>
      </c>
      <c r="E136" s="268">
        <f t="shared" si="20"/>
        <v>0</v>
      </c>
      <c r="F136" s="269">
        <f t="shared" si="20"/>
        <v>0</v>
      </c>
      <c r="G136" s="66">
        <f t="shared" si="20"/>
        <v>0</v>
      </c>
      <c r="H136" s="270">
        <f t="shared" si="20"/>
        <v>0</v>
      </c>
      <c r="I136" s="269">
        <f t="shared" si="20"/>
        <v>0</v>
      </c>
      <c r="J136" s="66">
        <f t="shared" si="20"/>
        <v>0</v>
      </c>
      <c r="K136" s="268">
        <f t="shared" si="20"/>
        <v>0</v>
      </c>
    </row>
    <row r="137" spans="1:11" ht="13.35" customHeight="1" x14ac:dyDescent="0.2">
      <c r="A137" s="235" t="s">
        <v>946</v>
      </c>
      <c r="B137" s="257"/>
      <c r="C137" s="533"/>
      <c r="D137" s="533"/>
      <c r="E137" s="564"/>
      <c r="F137" s="565"/>
      <c r="G137" s="533"/>
      <c r="H137" s="566"/>
      <c r="I137" s="565"/>
      <c r="J137" s="533"/>
      <c r="K137" s="564"/>
    </row>
    <row r="138" spans="1:11" ht="5.0999999999999996" customHeight="1" x14ac:dyDescent="0.2">
      <c r="A138" s="267"/>
      <c r="B138" s="257"/>
      <c r="C138" s="66"/>
      <c r="D138" s="66"/>
      <c r="E138" s="268"/>
      <c r="F138" s="269"/>
      <c r="G138" s="66"/>
      <c r="H138" s="270"/>
      <c r="I138" s="269"/>
      <c r="J138" s="66"/>
      <c r="K138" s="268"/>
    </row>
    <row r="139" spans="1:11" ht="13.35" customHeight="1" x14ac:dyDescent="0.2">
      <c r="A139" s="256" t="s">
        <v>947</v>
      </c>
      <c r="B139" s="257"/>
      <c r="C139" s="66">
        <f>+C140+C141</f>
        <v>0</v>
      </c>
      <c r="D139" s="66">
        <f t="shared" ref="D139:K139" si="21">+D140+D141</f>
        <v>7098773.0700000003</v>
      </c>
      <c r="E139" s="268">
        <f t="shared" si="21"/>
        <v>0</v>
      </c>
      <c r="F139" s="269">
        <f t="shared" si="21"/>
        <v>0</v>
      </c>
      <c r="G139" s="66">
        <f t="shared" si="21"/>
        <v>0</v>
      </c>
      <c r="H139" s="270">
        <f t="shared" si="21"/>
        <v>0</v>
      </c>
      <c r="I139" s="269">
        <f t="shared" si="21"/>
        <v>0</v>
      </c>
      <c r="J139" s="66">
        <f t="shared" si="21"/>
        <v>0</v>
      </c>
      <c r="K139" s="268">
        <f t="shared" si="21"/>
        <v>0</v>
      </c>
    </row>
    <row r="140" spans="1:11" ht="13.35" customHeight="1" x14ac:dyDescent="0.2">
      <c r="A140" s="239" t="s">
        <v>948</v>
      </c>
      <c r="B140" s="257"/>
      <c r="C140" s="533"/>
      <c r="D140" s="533"/>
      <c r="E140" s="564"/>
      <c r="F140" s="565"/>
      <c r="G140" s="533"/>
      <c r="H140" s="566"/>
      <c r="I140" s="565"/>
      <c r="J140" s="533"/>
      <c r="K140" s="564"/>
    </row>
    <row r="141" spans="1:11" ht="13.35" customHeight="1" x14ac:dyDescent="0.2">
      <c r="A141" s="239" t="s">
        <v>949</v>
      </c>
      <c r="B141" s="257"/>
      <c r="C141" s="155">
        <f>SUM(C142:C147)</f>
        <v>0</v>
      </c>
      <c r="D141" s="155">
        <f t="shared" ref="D141:K141" si="22">SUM(D142:D147)</f>
        <v>7098773.0700000003</v>
      </c>
      <c r="E141" s="155">
        <f t="shared" si="22"/>
        <v>0</v>
      </c>
      <c r="F141" s="157">
        <f t="shared" si="22"/>
        <v>0</v>
      </c>
      <c r="G141" s="155">
        <f t="shared" si="22"/>
        <v>0</v>
      </c>
      <c r="H141" s="158">
        <f t="shared" si="22"/>
        <v>0</v>
      </c>
      <c r="I141" s="159">
        <f t="shared" si="22"/>
        <v>0</v>
      </c>
      <c r="J141" s="155">
        <f t="shared" si="22"/>
        <v>0</v>
      </c>
      <c r="K141" s="158">
        <f t="shared" si="22"/>
        <v>0</v>
      </c>
    </row>
    <row r="142" spans="1:11" ht="13.35" customHeight="1" x14ac:dyDescent="0.2">
      <c r="A142" s="263" t="s">
        <v>950</v>
      </c>
      <c r="B142" s="257"/>
      <c r="C142" s="295"/>
      <c r="D142" s="295"/>
      <c r="E142" s="294"/>
      <c r="F142" s="556"/>
      <c r="G142" s="295"/>
      <c r="H142" s="294"/>
      <c r="I142" s="556"/>
      <c r="J142" s="295"/>
      <c r="K142" s="298"/>
    </row>
    <row r="143" spans="1:11" ht="13.35" customHeight="1" x14ac:dyDescent="0.2">
      <c r="A143" s="263" t="s">
        <v>951</v>
      </c>
      <c r="B143" s="257"/>
      <c r="C143" s="295"/>
      <c r="D143" s="295"/>
      <c r="E143" s="294"/>
      <c r="F143" s="556"/>
      <c r="G143" s="295"/>
      <c r="H143" s="294"/>
      <c r="I143" s="556"/>
      <c r="J143" s="295"/>
      <c r="K143" s="298"/>
    </row>
    <row r="144" spans="1:11" ht="13.35" customHeight="1" x14ac:dyDescent="0.2">
      <c r="A144" s="263" t="s">
        <v>952</v>
      </c>
      <c r="B144" s="257"/>
      <c r="C144" s="295"/>
      <c r="D144" s="295"/>
      <c r="E144" s="294"/>
      <c r="F144" s="556"/>
      <c r="G144" s="295"/>
      <c r="H144" s="294"/>
      <c r="I144" s="556"/>
      <c r="J144" s="295"/>
      <c r="K144" s="298"/>
    </row>
    <row r="145" spans="1:11" ht="13.35" customHeight="1" x14ac:dyDescent="0.2">
      <c r="A145" s="263" t="s">
        <v>953</v>
      </c>
      <c r="B145" s="257"/>
      <c r="C145" s="295"/>
      <c r="D145" s="295"/>
      <c r="E145" s="294"/>
      <c r="F145" s="556"/>
      <c r="G145" s="295"/>
      <c r="H145" s="294"/>
      <c r="I145" s="556"/>
      <c r="J145" s="295"/>
      <c r="K145" s="298"/>
    </row>
    <row r="146" spans="1:11" ht="13.35" customHeight="1" x14ac:dyDescent="0.2">
      <c r="A146" s="263" t="s">
        <v>954</v>
      </c>
      <c r="B146" s="257"/>
      <c r="C146" s="295"/>
      <c r="D146" s="295"/>
      <c r="E146" s="294"/>
      <c r="F146" s="556"/>
      <c r="G146" s="295"/>
      <c r="H146" s="294"/>
      <c r="I146" s="556"/>
      <c r="J146" s="295"/>
      <c r="K146" s="298"/>
    </row>
    <row r="147" spans="1:11" ht="13.35" customHeight="1" x14ac:dyDescent="0.2">
      <c r="A147" s="263" t="s">
        <v>955</v>
      </c>
      <c r="B147" s="257"/>
      <c r="C147" s="295"/>
      <c r="D147" s="295">
        <v>7098773.0700000003</v>
      </c>
      <c r="E147" s="294"/>
      <c r="F147" s="556"/>
      <c r="G147" s="295"/>
      <c r="H147" s="294"/>
      <c r="I147" s="556"/>
      <c r="J147" s="295"/>
      <c r="K147" s="298"/>
    </row>
    <row r="148" spans="1:11" ht="5.0999999999999996" customHeight="1" x14ac:dyDescent="0.2">
      <c r="A148" s="267"/>
      <c r="B148" s="257"/>
      <c r="C148" s="80"/>
      <c r="D148" s="80"/>
      <c r="E148" s="278"/>
      <c r="F148" s="279"/>
      <c r="G148" s="80"/>
      <c r="H148" s="280"/>
      <c r="I148" s="279"/>
      <c r="J148" s="80"/>
      <c r="K148" s="278"/>
    </row>
    <row r="149" spans="1:11" ht="13.35" customHeight="1" x14ac:dyDescent="0.2">
      <c r="A149" s="256" t="s">
        <v>956</v>
      </c>
      <c r="B149" s="257"/>
      <c r="C149" s="66">
        <f t="shared" ref="C149:K149" si="23">SUM(C150:C150)</f>
        <v>10313218.279999999</v>
      </c>
      <c r="D149" s="66">
        <f t="shared" si="23"/>
        <v>11449225.390000001</v>
      </c>
      <c r="E149" s="268">
        <f t="shared" si="23"/>
        <v>14793961.640000001</v>
      </c>
      <c r="F149" s="269">
        <f t="shared" si="23"/>
        <v>10174600</v>
      </c>
      <c r="G149" s="66">
        <f t="shared" si="23"/>
        <v>10174600</v>
      </c>
      <c r="H149" s="270">
        <f t="shared" si="23"/>
        <v>10174600</v>
      </c>
      <c r="I149" s="269">
        <f t="shared" si="23"/>
        <v>2541724.3327333299</v>
      </c>
      <c r="J149" s="66">
        <f t="shared" si="23"/>
        <v>2648476.7547081332</v>
      </c>
      <c r="K149" s="268">
        <f t="shared" si="23"/>
        <v>2765009.7319152914</v>
      </c>
    </row>
    <row r="150" spans="1:11" ht="13.35" customHeight="1" x14ac:dyDescent="0.2">
      <c r="A150" s="235" t="s">
        <v>956</v>
      </c>
      <c r="B150" s="257"/>
      <c r="C150" s="533">
        <v>10313218.279999999</v>
      </c>
      <c r="D150" s="533">
        <v>11449225.390000001</v>
      </c>
      <c r="E150" s="564">
        <v>14793961.640000001</v>
      </c>
      <c r="F150" s="565">
        <v>10174600</v>
      </c>
      <c r="G150" s="533">
        <v>10174600</v>
      </c>
      <c r="H150" s="566">
        <v>10174600</v>
      </c>
      <c r="I150" s="565">
        <v>2541724.3327333299</v>
      </c>
      <c r="J150" s="533">
        <v>2648476.7547081332</v>
      </c>
      <c r="K150" s="564">
        <v>2765009.7319152914</v>
      </c>
    </row>
    <row r="151" spans="1:11" ht="5.0999999999999996" customHeight="1" x14ac:dyDescent="0.2">
      <c r="A151" s="267"/>
      <c r="B151" s="257"/>
      <c r="C151" s="66"/>
      <c r="D151" s="66"/>
      <c r="E151" s="268"/>
      <c r="F151" s="269"/>
      <c r="G151" s="66"/>
      <c r="H151" s="270"/>
      <c r="I151" s="269"/>
      <c r="J151" s="66"/>
      <c r="K151" s="268"/>
    </row>
    <row r="152" spans="1:11" ht="13.35" customHeight="1" x14ac:dyDescent="0.2">
      <c r="A152" s="256" t="s">
        <v>957</v>
      </c>
      <c r="B152" s="257"/>
      <c r="C152" s="66">
        <f t="shared" ref="C152:K152" si="24">SUM(C153:C153)</f>
        <v>2644237.19</v>
      </c>
      <c r="D152" s="66">
        <f t="shared" si="24"/>
        <v>2630856.61</v>
      </c>
      <c r="E152" s="268">
        <f t="shared" si="24"/>
        <v>4998014.74</v>
      </c>
      <c r="F152" s="269">
        <f t="shared" si="24"/>
        <v>218997</v>
      </c>
      <c r="G152" s="66">
        <f t="shared" si="24"/>
        <v>218997</v>
      </c>
      <c r="H152" s="270">
        <f t="shared" si="24"/>
        <v>218997</v>
      </c>
      <c r="I152" s="269">
        <f t="shared" si="24"/>
        <v>515100.1333333333</v>
      </c>
      <c r="J152" s="66">
        <f t="shared" si="24"/>
        <v>515734.33893333335</v>
      </c>
      <c r="K152" s="268">
        <f t="shared" si="24"/>
        <v>516426.64984640002</v>
      </c>
    </row>
    <row r="153" spans="1:11" ht="13.35" customHeight="1" x14ac:dyDescent="0.2">
      <c r="A153" s="235" t="s">
        <v>957</v>
      </c>
      <c r="B153" s="257"/>
      <c r="C153" s="533">
        <v>2644237.19</v>
      </c>
      <c r="D153" s="533">
        <v>2630856.61</v>
      </c>
      <c r="E153" s="564">
        <v>4998014.74</v>
      </c>
      <c r="F153" s="565">
        <v>218997</v>
      </c>
      <c r="G153" s="533">
        <v>218997</v>
      </c>
      <c r="H153" s="566">
        <v>218997</v>
      </c>
      <c r="I153" s="565">
        <v>515100.1333333333</v>
      </c>
      <c r="J153" s="533">
        <v>515734.33893333335</v>
      </c>
      <c r="K153" s="564">
        <v>516426.64984640002</v>
      </c>
    </row>
    <row r="154" spans="1:11" ht="5.0999999999999996" customHeight="1" x14ac:dyDescent="0.2">
      <c r="A154" s="267"/>
      <c r="B154" s="257"/>
      <c r="C154" s="66"/>
      <c r="D154" s="66"/>
      <c r="E154" s="268"/>
      <c r="F154" s="269"/>
      <c r="G154" s="66"/>
      <c r="H154" s="270"/>
      <c r="I154" s="269"/>
      <c r="J154" s="66"/>
      <c r="K154" s="268"/>
    </row>
    <row r="155" spans="1:11" ht="13.35" customHeight="1" x14ac:dyDescent="0.2">
      <c r="A155" s="256" t="s">
        <v>958</v>
      </c>
      <c r="B155" s="257"/>
      <c r="C155" s="66">
        <f t="shared" ref="C155:K155" si="25">SUM(C156:C156)</f>
        <v>0</v>
      </c>
      <c r="D155" s="66">
        <f t="shared" si="25"/>
        <v>0</v>
      </c>
      <c r="E155" s="268">
        <f t="shared" si="25"/>
        <v>0</v>
      </c>
      <c r="F155" s="269">
        <f t="shared" si="25"/>
        <v>1000000</v>
      </c>
      <c r="G155" s="66">
        <f t="shared" si="25"/>
        <v>2000000</v>
      </c>
      <c r="H155" s="270">
        <f t="shared" si="25"/>
        <v>2000000</v>
      </c>
      <c r="I155" s="269">
        <f t="shared" si="25"/>
        <v>0</v>
      </c>
      <c r="J155" s="66">
        <f t="shared" si="25"/>
        <v>0</v>
      </c>
      <c r="K155" s="268">
        <f t="shared" si="25"/>
        <v>0</v>
      </c>
    </row>
    <row r="156" spans="1:11" ht="13.35" customHeight="1" x14ac:dyDescent="0.2">
      <c r="A156" s="235" t="s">
        <v>958</v>
      </c>
      <c r="B156" s="257"/>
      <c r="C156" s="533"/>
      <c r="D156" s="533"/>
      <c r="E156" s="564"/>
      <c r="F156" s="565">
        <v>1000000</v>
      </c>
      <c r="G156" s="533">
        <v>2000000</v>
      </c>
      <c r="H156" s="566">
        <v>2000000</v>
      </c>
      <c r="I156" s="565"/>
      <c r="J156" s="533"/>
      <c r="K156" s="564"/>
    </row>
    <row r="157" spans="1:11" ht="5.0999999999999996" customHeight="1" x14ac:dyDescent="0.2">
      <c r="A157" s="267"/>
      <c r="B157" s="257"/>
      <c r="C157" s="66"/>
      <c r="D157" s="66"/>
      <c r="E157" s="268"/>
      <c r="F157" s="269"/>
      <c r="G157" s="66"/>
      <c r="H157" s="270"/>
      <c r="I157" s="269"/>
      <c r="J157" s="66"/>
      <c r="K157" s="268"/>
    </row>
    <row r="158" spans="1:11" ht="13.35" customHeight="1" x14ac:dyDescent="0.2">
      <c r="A158" s="256" t="s">
        <v>959</v>
      </c>
      <c r="B158" s="257"/>
      <c r="C158" s="66">
        <f t="shared" ref="C158:K158" si="26">SUM(C159:C159)</f>
        <v>0</v>
      </c>
      <c r="D158" s="66">
        <f t="shared" si="26"/>
        <v>1624433.39</v>
      </c>
      <c r="E158" s="268">
        <f t="shared" si="26"/>
        <v>0</v>
      </c>
      <c r="F158" s="269">
        <f t="shared" si="26"/>
        <v>5000000</v>
      </c>
      <c r="G158" s="66">
        <f t="shared" si="26"/>
        <v>5000000</v>
      </c>
      <c r="H158" s="270">
        <f t="shared" si="26"/>
        <v>5000000</v>
      </c>
      <c r="I158" s="269">
        <f t="shared" si="26"/>
        <v>30600000.004666667</v>
      </c>
      <c r="J158" s="66">
        <f t="shared" si="26"/>
        <v>619245.00364266662</v>
      </c>
      <c r="K158" s="268">
        <f t="shared" si="26"/>
        <v>639125.84352294402</v>
      </c>
    </row>
    <row r="159" spans="1:11" ht="13.35" customHeight="1" x14ac:dyDescent="0.2">
      <c r="A159" s="235" t="s">
        <v>959</v>
      </c>
      <c r="B159" s="257"/>
      <c r="C159" s="533"/>
      <c r="D159" s="533">
        <v>1624433.39</v>
      </c>
      <c r="E159" s="564"/>
      <c r="F159" s="565">
        <v>5000000</v>
      </c>
      <c r="G159" s="533">
        <v>5000000</v>
      </c>
      <c r="H159" s="566">
        <v>5000000</v>
      </c>
      <c r="I159" s="565">
        <v>30600000.004666667</v>
      </c>
      <c r="J159" s="533">
        <v>619245.00364266662</v>
      </c>
      <c r="K159" s="564">
        <v>639125.84352294402</v>
      </c>
    </row>
    <row r="160" spans="1:11" ht="5.0999999999999996" customHeight="1" x14ac:dyDescent="0.2">
      <c r="A160" s="267"/>
      <c r="B160" s="257"/>
      <c r="C160" s="66"/>
      <c r="D160" s="66"/>
      <c r="E160" s="268"/>
      <c r="F160" s="269"/>
      <c r="G160" s="66"/>
      <c r="H160" s="270"/>
      <c r="I160" s="269"/>
      <c r="J160" s="66"/>
      <c r="K160" s="268"/>
    </row>
    <row r="161" spans="1:11" ht="13.35" customHeight="1" x14ac:dyDescent="0.2">
      <c r="A161" s="256" t="s">
        <v>974</v>
      </c>
      <c r="B161" s="257"/>
      <c r="C161" s="66">
        <f t="shared" ref="C161:K161" si="27">SUM(C162:C162)</f>
        <v>0</v>
      </c>
      <c r="D161" s="66">
        <f t="shared" si="27"/>
        <v>0</v>
      </c>
      <c r="E161" s="268">
        <f t="shared" si="27"/>
        <v>0</v>
      </c>
      <c r="F161" s="269">
        <f t="shared" si="27"/>
        <v>0</v>
      </c>
      <c r="G161" s="66">
        <f t="shared" si="27"/>
        <v>0</v>
      </c>
      <c r="H161" s="270">
        <f t="shared" si="27"/>
        <v>0</v>
      </c>
      <c r="I161" s="269">
        <f t="shared" si="27"/>
        <v>0</v>
      </c>
      <c r="J161" s="66">
        <f t="shared" si="27"/>
        <v>0</v>
      </c>
      <c r="K161" s="268">
        <f t="shared" si="27"/>
        <v>0</v>
      </c>
    </row>
    <row r="162" spans="1:11" ht="13.35" customHeight="1" x14ac:dyDescent="0.2">
      <c r="A162" s="235" t="s">
        <v>974</v>
      </c>
      <c r="B162" s="257"/>
      <c r="C162" s="533"/>
      <c r="D162" s="533"/>
      <c r="E162" s="564"/>
      <c r="F162" s="565"/>
      <c r="G162" s="533"/>
      <c r="H162" s="566"/>
      <c r="I162" s="565"/>
      <c r="J162" s="533"/>
      <c r="K162" s="564"/>
    </row>
    <row r="163" spans="1:11" ht="5.0999999999999996" customHeight="1" x14ac:dyDescent="0.2">
      <c r="A163" s="267"/>
      <c r="B163" s="257"/>
      <c r="C163" s="66"/>
      <c r="D163" s="66"/>
      <c r="E163" s="268"/>
      <c r="F163" s="269"/>
      <c r="G163" s="66"/>
      <c r="H163" s="270"/>
      <c r="I163" s="269"/>
      <c r="J163" s="66"/>
      <c r="K163" s="268"/>
    </row>
    <row r="164" spans="1:11" ht="13.35" customHeight="1" x14ac:dyDescent="0.2">
      <c r="A164" s="256" t="s">
        <v>960</v>
      </c>
      <c r="B164" s="257"/>
      <c r="C164" s="66">
        <f t="shared" ref="C164:K164" si="28">SUM(C165:C165)</f>
        <v>0</v>
      </c>
      <c r="D164" s="66">
        <f t="shared" si="28"/>
        <v>0</v>
      </c>
      <c r="E164" s="268">
        <f t="shared" si="28"/>
        <v>0</v>
      </c>
      <c r="F164" s="269">
        <f t="shared" si="28"/>
        <v>0</v>
      </c>
      <c r="G164" s="66">
        <f t="shared" si="28"/>
        <v>0</v>
      </c>
      <c r="H164" s="270">
        <f t="shared" si="28"/>
        <v>0</v>
      </c>
      <c r="I164" s="269">
        <f t="shared" si="28"/>
        <v>0</v>
      </c>
      <c r="J164" s="66">
        <f t="shared" si="28"/>
        <v>0</v>
      </c>
      <c r="K164" s="268">
        <f t="shared" si="28"/>
        <v>0</v>
      </c>
    </row>
    <row r="165" spans="1:11" ht="13.35" customHeight="1" x14ac:dyDescent="0.2">
      <c r="A165" s="235" t="s">
        <v>960</v>
      </c>
      <c r="B165" s="257"/>
      <c r="C165" s="533"/>
      <c r="D165" s="533"/>
      <c r="E165" s="564"/>
      <c r="F165" s="565"/>
      <c r="G165" s="533"/>
      <c r="H165" s="566"/>
      <c r="I165" s="565"/>
      <c r="J165" s="533"/>
      <c r="K165" s="564"/>
    </row>
    <row r="166" spans="1:11" ht="5.0999999999999996" customHeight="1" x14ac:dyDescent="0.2">
      <c r="A166" s="267"/>
      <c r="B166" s="257"/>
      <c r="C166" s="66"/>
      <c r="D166" s="66"/>
      <c r="E166" s="268"/>
      <c r="F166" s="269"/>
      <c r="G166" s="66"/>
      <c r="H166" s="270"/>
      <c r="I166" s="269"/>
      <c r="J166" s="66"/>
      <c r="K166" s="268"/>
    </row>
    <row r="167" spans="1:11" ht="13.35" customHeight="1" x14ac:dyDescent="0.2">
      <c r="A167" s="567" t="s">
        <v>961</v>
      </c>
      <c r="B167" s="568">
        <v>1</v>
      </c>
      <c r="C167" s="251">
        <f>C6+C74+C103+C110+C118+C136+C139+C149+C152+C155+C158+C161+C164</f>
        <v>89551533.899999991</v>
      </c>
      <c r="D167" s="251">
        <f t="shared" ref="D167:K167" si="29">D6+D74+D103+D110+D118+D136+D139+D149+D152+D155+D158+D161+D164</f>
        <v>148163262.31</v>
      </c>
      <c r="E167" s="569">
        <f t="shared" si="29"/>
        <v>93224701.49000001</v>
      </c>
      <c r="F167" s="570">
        <f t="shared" si="29"/>
        <v>138779094</v>
      </c>
      <c r="G167" s="251">
        <f t="shared" si="29"/>
        <v>147771167</v>
      </c>
      <c r="H167" s="571">
        <f t="shared" si="29"/>
        <v>147771167</v>
      </c>
      <c r="I167" s="570">
        <f t="shared" si="29"/>
        <v>186292612.60296667</v>
      </c>
      <c r="J167" s="251">
        <f t="shared" si="29"/>
        <v>120618786.00597313</v>
      </c>
      <c r="K167" s="569">
        <f t="shared" si="29"/>
        <v>102687089.80552983</v>
      </c>
    </row>
    <row r="168" spans="1:11" ht="12.75" customHeight="1" x14ac:dyDescent="0.2">
      <c r="A168" s="189" t="str">
        <f>head27a</f>
        <v>References</v>
      </c>
      <c r="B168" s="305"/>
      <c r="C168" s="77"/>
      <c r="D168" s="77"/>
      <c r="E168" s="77"/>
      <c r="F168" s="77"/>
      <c r="G168" s="77"/>
      <c r="H168" s="77"/>
      <c r="I168" s="77"/>
      <c r="J168" s="77"/>
      <c r="K168" s="77"/>
    </row>
    <row r="169" spans="1:11" ht="11.25" customHeight="1" x14ac:dyDescent="0.2">
      <c r="A169" s="185" t="s">
        <v>970</v>
      </c>
      <c r="B169" s="305"/>
      <c r="C169" s="286"/>
      <c r="D169" s="286"/>
      <c r="E169" s="77"/>
      <c r="F169" s="77"/>
      <c r="G169" s="77"/>
      <c r="H169" s="77"/>
      <c r="I169" s="77"/>
      <c r="J169" s="77"/>
      <c r="K169" s="77"/>
    </row>
    <row r="170" spans="1:11" ht="11.25" customHeight="1" x14ac:dyDescent="0.2">
      <c r="A170" s="86"/>
      <c r="B170" s="305"/>
      <c r="C170" s="286"/>
      <c r="D170" s="286"/>
      <c r="E170" s="77"/>
      <c r="F170" s="77"/>
      <c r="G170" s="77"/>
      <c r="H170" s="77"/>
      <c r="I170" s="77"/>
      <c r="J170" s="77"/>
      <c r="K170" s="77"/>
    </row>
    <row r="171" spans="1:11" ht="11.25" customHeight="1" x14ac:dyDescent="0.2"/>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1">
    <tabColor rgb="FFCCFFCC"/>
    <pageSetUpPr fitToPage="1"/>
  </sheetPr>
  <dimension ref="A1:O205"/>
  <sheetViews>
    <sheetView showGridLines="0" zoomScaleNormal="100" workbookViewId="0">
      <pane xSplit="2" ySplit="3" topLeftCell="C160" activePane="bottomRight" state="frozen"/>
      <selection activeCell="A23" sqref="A23"/>
      <selection pane="topRight" activeCell="A23" sqref="A23"/>
      <selection pane="bottomLeft" activeCell="A23" sqref="A23"/>
      <selection pane="bottomRight" activeCell="C120" sqref="C120:K120"/>
    </sheetView>
  </sheetViews>
  <sheetFormatPr defaultColWidth="9.109375" defaultRowHeight="10.199999999999999" x14ac:dyDescent="0.2"/>
  <cols>
    <col min="1" max="1" width="35.6640625" style="59" customWidth="1"/>
    <col min="2" max="2" width="3.109375"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2" ht="13.8" x14ac:dyDescent="0.3">
      <c r="A1" s="57" t="str">
        <f>MEB9b</f>
        <v>Centlec (Soc) Ltd - Supporting Table SD7b Capital expenditure on renewal of existing assets by asset class</v>
      </c>
    </row>
    <row r="2" spans="1:12" ht="20.399999999999999" x14ac:dyDescent="0.2">
      <c r="A2" s="551" t="str">
        <f>desc</f>
        <v>Description</v>
      </c>
      <c r="B2" s="552"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2" ht="20.399999999999999" x14ac:dyDescent="0.2">
      <c r="A3" s="234" t="s">
        <v>817</v>
      </c>
      <c r="B3" s="468">
        <v>1</v>
      </c>
      <c r="C3" s="469" t="str">
        <f>Head5</f>
        <v>Audited Outcome</v>
      </c>
      <c r="D3" s="470" t="str">
        <f>Head5</f>
        <v>Audited Outcome</v>
      </c>
      <c r="E3" s="471" t="str">
        <f>Head5</f>
        <v>Audited Outcome</v>
      </c>
      <c r="F3" s="553" t="str">
        <f>Head6</f>
        <v>Original Budget</v>
      </c>
      <c r="G3" s="469" t="str">
        <f>Head7</f>
        <v>Adjusted Budget</v>
      </c>
      <c r="H3" s="554" t="str">
        <f>Head8</f>
        <v>Full Year Forecast</v>
      </c>
      <c r="I3" s="553" t="str">
        <f>Head9</f>
        <v>Budget Year 2021/22</v>
      </c>
      <c r="J3" s="469" t="str">
        <f>Head10</f>
        <v>Budget Year +1 2022/23</v>
      </c>
      <c r="K3" s="471" t="str">
        <f>Head11</f>
        <v>Budget Year +2 2023/24</v>
      </c>
    </row>
    <row r="4" spans="1:12" ht="12.75" customHeight="1" x14ac:dyDescent="0.2">
      <c r="A4" s="65" t="s">
        <v>820</v>
      </c>
      <c r="B4" s="255"/>
      <c r="C4" s="68"/>
      <c r="D4" s="66"/>
      <c r="E4" s="67"/>
      <c r="F4" s="68"/>
      <c r="G4" s="66"/>
      <c r="H4" s="67"/>
      <c r="I4" s="68"/>
      <c r="J4" s="66"/>
      <c r="K4" s="67"/>
    </row>
    <row r="5" spans="1:12" ht="5.0999999999999996" customHeight="1" x14ac:dyDescent="0.2">
      <c r="A5" s="65"/>
      <c r="B5" s="255"/>
      <c r="C5" s="68"/>
      <c r="D5" s="66"/>
      <c r="E5" s="67"/>
      <c r="F5" s="68"/>
      <c r="G5" s="66"/>
      <c r="H5" s="67"/>
      <c r="I5" s="68"/>
      <c r="J5" s="66"/>
      <c r="K5" s="67"/>
    </row>
    <row r="6" spans="1:12" ht="13.35" customHeight="1" x14ac:dyDescent="0.2">
      <c r="A6" s="256" t="s">
        <v>159</v>
      </c>
      <c r="B6" s="257"/>
      <c r="C6" s="145">
        <f>C7+C12+C16+C26+C37+C44+C52+C62+C68</f>
        <v>1900603.32</v>
      </c>
      <c r="D6" s="145">
        <f t="shared" ref="D6:K6" si="0">D7+D12+D16+D26+D37+D44+D52+D62+D68</f>
        <v>3016880.33</v>
      </c>
      <c r="E6" s="258">
        <f t="shared" si="0"/>
        <v>1622300.66</v>
      </c>
      <c r="F6" s="259">
        <f t="shared" si="0"/>
        <v>12424393</v>
      </c>
      <c r="G6" s="145">
        <f t="shared" si="0"/>
        <v>12993093</v>
      </c>
      <c r="H6" s="260">
        <f t="shared" si="0"/>
        <v>12993093</v>
      </c>
      <c r="I6" s="259">
        <f t="shared" si="0"/>
        <v>15440447.523120001</v>
      </c>
      <c r="J6" s="145">
        <f t="shared" si="0"/>
        <v>9306350.8006910402</v>
      </c>
      <c r="K6" s="258">
        <f t="shared" si="0"/>
        <v>9693830.2359214462</v>
      </c>
      <c r="L6" s="261"/>
    </row>
    <row r="7" spans="1:12" s="262" customFormat="1" ht="13.35" customHeight="1" x14ac:dyDescent="0.25">
      <c r="A7" s="235" t="s">
        <v>849</v>
      </c>
      <c r="B7" s="257"/>
      <c r="C7" s="150">
        <f t="shared" ref="C7:K7" si="1">SUM(C8:C11)</f>
        <v>0</v>
      </c>
      <c r="D7" s="150">
        <f t="shared" si="1"/>
        <v>0</v>
      </c>
      <c r="E7" s="151">
        <f t="shared" si="1"/>
        <v>0</v>
      </c>
      <c r="F7" s="152">
        <f t="shared" si="1"/>
        <v>0</v>
      </c>
      <c r="G7" s="150">
        <f t="shared" si="1"/>
        <v>0</v>
      </c>
      <c r="H7" s="153">
        <f t="shared" si="1"/>
        <v>0</v>
      </c>
      <c r="I7" s="152">
        <f t="shared" si="1"/>
        <v>0</v>
      </c>
      <c r="J7" s="150">
        <f t="shared" si="1"/>
        <v>0</v>
      </c>
      <c r="K7" s="153">
        <f t="shared" si="1"/>
        <v>0</v>
      </c>
      <c r="L7" s="73"/>
    </row>
    <row r="8" spans="1:12" s="262" customFormat="1" ht="13.35" customHeight="1" x14ac:dyDescent="0.25">
      <c r="A8" s="263" t="s">
        <v>504</v>
      </c>
      <c r="B8" s="257"/>
      <c r="C8" s="295"/>
      <c r="D8" s="295"/>
      <c r="E8" s="555"/>
      <c r="F8" s="556"/>
      <c r="G8" s="295"/>
      <c r="H8" s="294"/>
      <c r="I8" s="556"/>
      <c r="J8" s="295"/>
      <c r="K8" s="555"/>
      <c r="L8" s="261"/>
    </row>
    <row r="9" spans="1:12" s="262" customFormat="1" ht="13.35" customHeight="1" x14ac:dyDescent="0.25">
      <c r="A9" s="263" t="s">
        <v>850</v>
      </c>
      <c r="B9" s="257"/>
      <c r="C9" s="295"/>
      <c r="D9" s="295"/>
      <c r="E9" s="555"/>
      <c r="F9" s="556"/>
      <c r="G9" s="295"/>
      <c r="H9" s="294"/>
      <c r="I9" s="556"/>
      <c r="J9" s="295"/>
      <c r="K9" s="555"/>
      <c r="L9" s="265"/>
    </row>
    <row r="10" spans="1:12" s="262" customFormat="1" ht="13.35" customHeight="1" x14ac:dyDescent="0.25">
      <c r="A10" s="263" t="s">
        <v>851</v>
      </c>
      <c r="B10" s="257"/>
      <c r="C10" s="295"/>
      <c r="D10" s="295"/>
      <c r="E10" s="555"/>
      <c r="F10" s="556"/>
      <c r="G10" s="295"/>
      <c r="H10" s="294"/>
      <c r="I10" s="556"/>
      <c r="J10" s="295"/>
      <c r="K10" s="555"/>
      <c r="L10" s="265"/>
    </row>
    <row r="11" spans="1:12" s="262" customFormat="1" ht="13.35" customHeight="1" x14ac:dyDescent="0.25">
      <c r="A11" s="263" t="s">
        <v>852</v>
      </c>
      <c r="B11" s="257"/>
      <c r="C11" s="295"/>
      <c r="D11" s="295"/>
      <c r="E11" s="555"/>
      <c r="F11" s="556"/>
      <c r="G11" s="295"/>
      <c r="H11" s="294"/>
      <c r="I11" s="556"/>
      <c r="J11" s="295"/>
      <c r="K11" s="555"/>
      <c r="L11" s="265"/>
    </row>
    <row r="12" spans="1:12" s="262" customFormat="1" ht="13.35" customHeight="1" x14ac:dyDescent="0.25">
      <c r="A12" s="235" t="s">
        <v>853</v>
      </c>
      <c r="B12" s="257"/>
      <c r="C12" s="155">
        <f>SUM(C13:C15)</f>
        <v>0</v>
      </c>
      <c r="D12" s="155">
        <f t="shared" ref="D12:K12" si="2">SUM(D13:D15)</f>
        <v>0</v>
      </c>
      <c r="E12" s="156">
        <f t="shared" si="2"/>
        <v>0</v>
      </c>
      <c r="F12" s="157">
        <f t="shared" si="2"/>
        <v>0</v>
      </c>
      <c r="G12" s="155">
        <f t="shared" si="2"/>
        <v>0</v>
      </c>
      <c r="H12" s="158">
        <f t="shared" si="2"/>
        <v>0</v>
      </c>
      <c r="I12" s="159">
        <f t="shared" si="2"/>
        <v>0</v>
      </c>
      <c r="J12" s="155">
        <f t="shared" si="2"/>
        <v>0</v>
      </c>
      <c r="K12" s="158">
        <f t="shared" si="2"/>
        <v>0</v>
      </c>
      <c r="L12" s="265"/>
    </row>
    <row r="13" spans="1:12" s="262" customFormat="1" ht="13.35" customHeight="1" x14ac:dyDescent="0.25">
      <c r="A13" s="263" t="s">
        <v>854</v>
      </c>
      <c r="B13" s="257"/>
      <c r="C13" s="295"/>
      <c r="D13" s="295"/>
      <c r="E13" s="296"/>
      <c r="F13" s="297"/>
      <c r="G13" s="295"/>
      <c r="H13" s="298"/>
      <c r="I13" s="557"/>
      <c r="J13" s="295"/>
      <c r="K13" s="298"/>
      <c r="L13" s="265"/>
    </row>
    <row r="14" spans="1:12" s="262" customFormat="1" ht="13.35" customHeight="1" x14ac:dyDescent="0.25">
      <c r="A14" s="263" t="s">
        <v>855</v>
      </c>
      <c r="B14" s="257"/>
      <c r="C14" s="295"/>
      <c r="D14" s="295"/>
      <c r="E14" s="296"/>
      <c r="F14" s="297"/>
      <c r="G14" s="295"/>
      <c r="H14" s="298"/>
      <c r="I14" s="557"/>
      <c r="J14" s="295"/>
      <c r="K14" s="298"/>
      <c r="L14" s="265"/>
    </row>
    <row r="15" spans="1:12" s="262" customFormat="1" ht="13.35" customHeight="1" x14ac:dyDescent="0.25">
      <c r="A15" s="263" t="s">
        <v>856</v>
      </c>
      <c r="B15" s="257"/>
      <c r="C15" s="295"/>
      <c r="D15" s="295"/>
      <c r="E15" s="296"/>
      <c r="F15" s="297"/>
      <c r="G15" s="295"/>
      <c r="H15" s="298"/>
      <c r="I15" s="557"/>
      <c r="J15" s="295"/>
      <c r="K15" s="298"/>
      <c r="L15" s="265"/>
    </row>
    <row r="16" spans="1:12" s="262" customFormat="1" ht="13.35" customHeight="1" x14ac:dyDescent="0.25">
      <c r="A16" s="235" t="s">
        <v>857</v>
      </c>
      <c r="B16" s="257"/>
      <c r="C16" s="155">
        <f t="shared" ref="C16:K16" si="3">SUM(C17:C25)</f>
        <v>1900603.32</v>
      </c>
      <c r="D16" s="155">
        <f t="shared" si="3"/>
        <v>3016880.33</v>
      </c>
      <c r="E16" s="156">
        <f t="shared" si="3"/>
        <v>1622300.66</v>
      </c>
      <c r="F16" s="157">
        <f t="shared" si="3"/>
        <v>12424393</v>
      </c>
      <c r="G16" s="155">
        <f t="shared" si="3"/>
        <v>12993093</v>
      </c>
      <c r="H16" s="158">
        <f t="shared" si="3"/>
        <v>12993093</v>
      </c>
      <c r="I16" s="159">
        <f t="shared" si="3"/>
        <v>15440447.523120001</v>
      </c>
      <c r="J16" s="155">
        <f t="shared" si="3"/>
        <v>9306350.8006910402</v>
      </c>
      <c r="K16" s="158">
        <f t="shared" si="3"/>
        <v>9693830.2359214462</v>
      </c>
      <c r="L16" s="265"/>
    </row>
    <row r="17" spans="1:12" s="262" customFormat="1" ht="13.35" customHeight="1" x14ac:dyDescent="0.25">
      <c r="A17" s="263" t="s">
        <v>858</v>
      </c>
      <c r="B17" s="257"/>
      <c r="C17" s="295"/>
      <c r="D17" s="295"/>
      <c r="E17" s="296"/>
      <c r="F17" s="297"/>
      <c r="G17" s="295"/>
      <c r="H17" s="298"/>
      <c r="I17" s="557"/>
      <c r="J17" s="295"/>
      <c r="K17" s="298"/>
      <c r="L17" s="265"/>
    </row>
    <row r="18" spans="1:12" s="262" customFormat="1" ht="13.35" customHeight="1" x14ac:dyDescent="0.25">
      <c r="A18" s="263" t="s">
        <v>859</v>
      </c>
      <c r="B18" s="257"/>
      <c r="C18" s="295"/>
      <c r="D18" s="295">
        <v>219770</v>
      </c>
      <c r="E18" s="296">
        <v>0</v>
      </c>
      <c r="F18" s="297">
        <v>1500000</v>
      </c>
      <c r="G18" s="295">
        <v>1500000</v>
      </c>
      <c r="H18" s="298">
        <v>1500000</v>
      </c>
      <c r="I18" s="557">
        <v>1957553.1215066665</v>
      </c>
      <c r="J18" s="295">
        <v>2039770.3526099466</v>
      </c>
      <c r="K18" s="298">
        <v>2129520.2481247843</v>
      </c>
      <c r="L18" s="265"/>
    </row>
    <row r="19" spans="1:12" s="262" customFormat="1" ht="13.35" customHeight="1" x14ac:dyDescent="0.25">
      <c r="A19" s="263" t="s">
        <v>860</v>
      </c>
      <c r="B19" s="257"/>
      <c r="C19" s="295">
        <v>0</v>
      </c>
      <c r="D19" s="295"/>
      <c r="E19" s="296"/>
      <c r="F19" s="297"/>
      <c r="G19" s="295"/>
      <c r="H19" s="298"/>
      <c r="I19" s="557"/>
      <c r="J19" s="295"/>
      <c r="K19" s="298"/>
      <c r="L19" s="265"/>
    </row>
    <row r="20" spans="1:12" s="262" customFormat="1" ht="13.35" customHeight="1" x14ac:dyDescent="0.25">
      <c r="A20" s="263" t="s">
        <v>861</v>
      </c>
      <c r="B20" s="257"/>
      <c r="C20" s="295"/>
      <c r="D20" s="295"/>
      <c r="E20" s="296"/>
      <c r="F20" s="297"/>
      <c r="G20" s="295"/>
      <c r="H20" s="298"/>
      <c r="I20" s="557"/>
      <c r="J20" s="295"/>
      <c r="K20" s="298"/>
      <c r="L20" s="265"/>
    </row>
    <row r="21" spans="1:12" s="262" customFormat="1" ht="13.35" customHeight="1" x14ac:dyDescent="0.25">
      <c r="A21" s="263" t="s">
        <v>862</v>
      </c>
      <c r="B21" s="257"/>
      <c r="C21" s="295">
        <v>490100</v>
      </c>
      <c r="D21" s="295"/>
      <c r="E21" s="296"/>
      <c r="F21" s="297"/>
      <c r="G21" s="295"/>
      <c r="H21" s="298"/>
      <c r="I21" s="557"/>
      <c r="J21" s="295"/>
      <c r="K21" s="298"/>
      <c r="L21" s="265"/>
    </row>
    <row r="22" spans="1:12" s="262" customFormat="1" ht="13.35" customHeight="1" x14ac:dyDescent="0.25">
      <c r="A22" s="263" t="s">
        <v>863</v>
      </c>
      <c r="B22" s="257"/>
      <c r="C22" s="295"/>
      <c r="D22" s="295"/>
      <c r="E22" s="296"/>
      <c r="F22" s="297"/>
      <c r="G22" s="295"/>
      <c r="H22" s="298"/>
      <c r="I22" s="557"/>
      <c r="J22" s="295"/>
      <c r="K22" s="298"/>
      <c r="L22" s="261"/>
    </row>
    <row r="23" spans="1:12" s="262" customFormat="1" ht="13.35" customHeight="1" x14ac:dyDescent="0.25">
      <c r="A23" s="263" t="s">
        <v>864</v>
      </c>
      <c r="B23" s="257"/>
      <c r="C23" s="295"/>
      <c r="D23" s="295">
        <v>647820</v>
      </c>
      <c r="E23" s="296">
        <v>1503550</v>
      </c>
      <c r="F23" s="297">
        <v>7827090</v>
      </c>
      <c r="G23" s="295">
        <v>8395790</v>
      </c>
      <c r="H23" s="298">
        <v>8395790</v>
      </c>
      <c r="I23" s="557">
        <v>11969229.3222</v>
      </c>
      <c r="J23" s="295">
        <v>5710341.4353324007</v>
      </c>
      <c r="K23" s="298">
        <v>5961596.4584870264</v>
      </c>
      <c r="L23" s="265"/>
    </row>
    <row r="24" spans="1:12" s="262" customFormat="1" ht="13.35" customHeight="1" x14ac:dyDescent="0.25">
      <c r="A24" s="263" t="s">
        <v>865</v>
      </c>
      <c r="B24" s="257"/>
      <c r="C24" s="295">
        <v>1410503.32</v>
      </c>
      <c r="D24" s="295">
        <v>2149290.33</v>
      </c>
      <c r="E24" s="296">
        <v>118750.66</v>
      </c>
      <c r="F24" s="297">
        <v>3097303</v>
      </c>
      <c r="G24" s="295">
        <v>3097303</v>
      </c>
      <c r="H24" s="298">
        <v>3097303</v>
      </c>
      <c r="I24" s="557">
        <v>1513665.0794133334</v>
      </c>
      <c r="J24" s="295">
        <v>1556239.0127486933</v>
      </c>
      <c r="K24" s="298">
        <v>1602713.5293096357</v>
      </c>
      <c r="L24" s="265"/>
    </row>
    <row r="25" spans="1:12" s="262" customFormat="1" ht="13.35" customHeight="1" x14ac:dyDescent="0.25">
      <c r="A25" s="263" t="s">
        <v>852</v>
      </c>
      <c r="B25" s="257"/>
      <c r="C25" s="295"/>
      <c r="D25" s="295"/>
      <c r="E25" s="296"/>
      <c r="F25" s="297"/>
      <c r="G25" s="295"/>
      <c r="H25" s="298"/>
      <c r="I25" s="557"/>
      <c r="J25" s="295"/>
      <c r="K25" s="298"/>
      <c r="L25" s="265"/>
    </row>
    <row r="26" spans="1:12" ht="13.35" customHeight="1" x14ac:dyDescent="0.2">
      <c r="A26" s="239" t="s">
        <v>866</v>
      </c>
      <c r="B26" s="266"/>
      <c r="C26" s="155">
        <f>SUM(C27:C36)</f>
        <v>0</v>
      </c>
      <c r="D26" s="155">
        <f t="shared" ref="D26:K26" si="4">SUM(D27:D36)</f>
        <v>0</v>
      </c>
      <c r="E26" s="156">
        <f t="shared" si="4"/>
        <v>0</v>
      </c>
      <c r="F26" s="157">
        <f t="shared" si="4"/>
        <v>0</v>
      </c>
      <c r="G26" s="155">
        <f t="shared" si="4"/>
        <v>0</v>
      </c>
      <c r="H26" s="158">
        <f t="shared" si="4"/>
        <v>0</v>
      </c>
      <c r="I26" s="159">
        <f t="shared" si="4"/>
        <v>0</v>
      </c>
      <c r="J26" s="155">
        <f t="shared" si="4"/>
        <v>0</v>
      </c>
      <c r="K26" s="158">
        <f t="shared" si="4"/>
        <v>0</v>
      </c>
      <c r="L26" s="73"/>
    </row>
    <row r="27" spans="1:12" ht="13.35" customHeight="1" x14ac:dyDescent="0.2">
      <c r="A27" s="263" t="s">
        <v>867</v>
      </c>
      <c r="B27" s="257"/>
      <c r="C27" s="295"/>
      <c r="D27" s="295"/>
      <c r="E27" s="296"/>
      <c r="F27" s="297"/>
      <c r="G27" s="295"/>
      <c r="H27" s="298"/>
      <c r="I27" s="557"/>
      <c r="J27" s="295"/>
      <c r="K27" s="298"/>
      <c r="L27" s="73"/>
    </row>
    <row r="28" spans="1:12" ht="13.35" customHeight="1" x14ac:dyDescent="0.2">
      <c r="A28" s="263" t="s">
        <v>868</v>
      </c>
      <c r="B28" s="257"/>
      <c r="C28" s="295"/>
      <c r="D28" s="295"/>
      <c r="E28" s="296"/>
      <c r="F28" s="297"/>
      <c r="G28" s="295"/>
      <c r="H28" s="298"/>
      <c r="I28" s="557"/>
      <c r="J28" s="295"/>
      <c r="K28" s="298"/>
      <c r="L28" s="265"/>
    </row>
    <row r="29" spans="1:12" ht="13.35" customHeight="1" x14ac:dyDescent="0.2">
      <c r="A29" s="263" t="s">
        <v>869</v>
      </c>
      <c r="B29" s="257"/>
      <c r="C29" s="295"/>
      <c r="D29" s="295"/>
      <c r="E29" s="296"/>
      <c r="F29" s="297"/>
      <c r="G29" s="295"/>
      <c r="H29" s="298"/>
      <c r="I29" s="557"/>
      <c r="J29" s="295"/>
      <c r="K29" s="298"/>
      <c r="L29" s="265"/>
    </row>
    <row r="30" spans="1:12" ht="13.35" customHeight="1" x14ac:dyDescent="0.2">
      <c r="A30" s="263" t="s">
        <v>870</v>
      </c>
      <c r="B30" s="257"/>
      <c r="C30" s="295"/>
      <c r="D30" s="295"/>
      <c r="E30" s="296"/>
      <c r="F30" s="297"/>
      <c r="G30" s="295"/>
      <c r="H30" s="298"/>
      <c r="I30" s="557"/>
      <c r="J30" s="295"/>
      <c r="K30" s="298"/>
      <c r="L30" s="265"/>
    </row>
    <row r="31" spans="1:12" ht="13.35" customHeight="1" x14ac:dyDescent="0.2">
      <c r="A31" s="263" t="s">
        <v>871</v>
      </c>
      <c r="B31" s="257"/>
      <c r="C31" s="295"/>
      <c r="D31" s="295"/>
      <c r="E31" s="296"/>
      <c r="F31" s="297"/>
      <c r="G31" s="295"/>
      <c r="H31" s="298"/>
      <c r="I31" s="557"/>
      <c r="J31" s="295"/>
      <c r="K31" s="298"/>
      <c r="L31" s="265"/>
    </row>
    <row r="32" spans="1:12" ht="13.35" customHeight="1" x14ac:dyDescent="0.2">
      <c r="A32" s="263" t="s">
        <v>872</v>
      </c>
      <c r="B32" s="257"/>
      <c r="C32" s="295"/>
      <c r="D32" s="295"/>
      <c r="E32" s="296"/>
      <c r="F32" s="297"/>
      <c r="G32" s="295"/>
      <c r="H32" s="298"/>
      <c r="I32" s="557"/>
      <c r="J32" s="295"/>
      <c r="K32" s="298"/>
      <c r="L32" s="265"/>
    </row>
    <row r="33" spans="1:15" ht="13.35" customHeight="1" x14ac:dyDescent="0.2">
      <c r="A33" s="263" t="s">
        <v>873</v>
      </c>
      <c r="B33" s="257"/>
      <c r="C33" s="295"/>
      <c r="D33" s="295"/>
      <c r="E33" s="296"/>
      <c r="F33" s="297"/>
      <c r="G33" s="295"/>
      <c r="H33" s="298"/>
      <c r="I33" s="557"/>
      <c r="J33" s="295"/>
      <c r="K33" s="298"/>
      <c r="L33" s="265"/>
    </row>
    <row r="34" spans="1:15" ht="13.35" customHeight="1" x14ac:dyDescent="0.2">
      <c r="A34" s="263" t="s">
        <v>874</v>
      </c>
      <c r="B34" s="257"/>
      <c r="C34" s="295"/>
      <c r="D34" s="295"/>
      <c r="E34" s="296"/>
      <c r="F34" s="297"/>
      <c r="G34" s="295"/>
      <c r="H34" s="298"/>
      <c r="I34" s="557"/>
      <c r="J34" s="295"/>
      <c r="K34" s="298"/>
      <c r="L34" s="265"/>
    </row>
    <row r="35" spans="1:15" ht="13.35" customHeight="1" x14ac:dyDescent="0.2">
      <c r="A35" s="263" t="s">
        <v>875</v>
      </c>
      <c r="B35" s="257"/>
      <c r="C35" s="295"/>
      <c r="D35" s="295"/>
      <c r="E35" s="296"/>
      <c r="F35" s="297"/>
      <c r="G35" s="295"/>
      <c r="H35" s="298"/>
      <c r="I35" s="557"/>
      <c r="J35" s="295"/>
      <c r="K35" s="298"/>
      <c r="L35" s="265"/>
    </row>
    <row r="36" spans="1:15" ht="13.35" customHeight="1" x14ac:dyDescent="0.2">
      <c r="A36" s="263" t="s">
        <v>852</v>
      </c>
      <c r="B36" s="257"/>
      <c r="C36" s="295"/>
      <c r="D36" s="295"/>
      <c r="E36" s="296"/>
      <c r="F36" s="297"/>
      <c r="G36" s="295"/>
      <c r="H36" s="298"/>
      <c r="I36" s="557"/>
      <c r="J36" s="295"/>
      <c r="K36" s="298"/>
      <c r="L36" s="265"/>
    </row>
    <row r="37" spans="1:15" ht="13.35" customHeight="1" x14ac:dyDescent="0.2">
      <c r="A37" s="239" t="s">
        <v>876</v>
      </c>
      <c r="B37" s="257"/>
      <c r="C37" s="155">
        <f>SUM(C38:C43)</f>
        <v>0</v>
      </c>
      <c r="D37" s="155">
        <f t="shared" ref="D37:K37" si="5">SUM(D38:D43)</f>
        <v>0</v>
      </c>
      <c r="E37" s="156">
        <f t="shared" si="5"/>
        <v>0</v>
      </c>
      <c r="F37" s="157">
        <f t="shared" si="5"/>
        <v>0</v>
      </c>
      <c r="G37" s="155">
        <f t="shared" si="5"/>
        <v>0</v>
      </c>
      <c r="H37" s="158">
        <f t="shared" si="5"/>
        <v>0</v>
      </c>
      <c r="I37" s="159">
        <f t="shared" si="5"/>
        <v>0</v>
      </c>
      <c r="J37" s="155">
        <f t="shared" si="5"/>
        <v>0</v>
      </c>
      <c r="K37" s="158">
        <f t="shared" si="5"/>
        <v>0</v>
      </c>
      <c r="L37" s="265"/>
      <c r="O37" s="73"/>
    </row>
    <row r="38" spans="1:15" ht="13.35" customHeight="1" x14ac:dyDescent="0.2">
      <c r="A38" s="263" t="s">
        <v>877</v>
      </c>
      <c r="B38" s="257"/>
      <c r="C38" s="295"/>
      <c r="D38" s="295"/>
      <c r="E38" s="296"/>
      <c r="F38" s="297"/>
      <c r="G38" s="295"/>
      <c r="H38" s="298"/>
      <c r="I38" s="557"/>
      <c r="J38" s="295"/>
      <c r="K38" s="298"/>
      <c r="L38" s="265"/>
    </row>
    <row r="39" spans="1:15" ht="13.35" customHeight="1" x14ac:dyDescent="0.2">
      <c r="A39" s="263" t="s">
        <v>494</v>
      </c>
      <c r="B39" s="257"/>
      <c r="C39" s="295"/>
      <c r="D39" s="295"/>
      <c r="E39" s="296"/>
      <c r="F39" s="297"/>
      <c r="G39" s="295"/>
      <c r="H39" s="298"/>
      <c r="I39" s="557"/>
      <c r="J39" s="295"/>
      <c r="K39" s="298"/>
      <c r="L39" s="265"/>
    </row>
    <row r="40" spans="1:15" ht="13.35" customHeight="1" x14ac:dyDescent="0.2">
      <c r="A40" s="263" t="s">
        <v>878</v>
      </c>
      <c r="B40" s="257"/>
      <c r="C40" s="295"/>
      <c r="D40" s="295"/>
      <c r="E40" s="296"/>
      <c r="F40" s="297"/>
      <c r="G40" s="295"/>
      <c r="H40" s="298"/>
      <c r="I40" s="557"/>
      <c r="J40" s="295"/>
      <c r="K40" s="298"/>
      <c r="L40" s="73"/>
    </row>
    <row r="41" spans="1:15" ht="13.35" customHeight="1" x14ac:dyDescent="0.2">
      <c r="A41" s="263" t="s">
        <v>879</v>
      </c>
      <c r="B41" s="257"/>
      <c r="C41" s="295"/>
      <c r="D41" s="295"/>
      <c r="E41" s="296"/>
      <c r="F41" s="297"/>
      <c r="G41" s="295"/>
      <c r="H41" s="298"/>
      <c r="I41" s="557"/>
      <c r="J41" s="295"/>
      <c r="K41" s="298"/>
      <c r="L41" s="265"/>
    </row>
    <row r="42" spans="1:15" ht="13.35" customHeight="1" x14ac:dyDescent="0.2">
      <c r="A42" s="263" t="s">
        <v>880</v>
      </c>
      <c r="B42" s="257"/>
      <c r="C42" s="295"/>
      <c r="D42" s="295"/>
      <c r="E42" s="296"/>
      <c r="F42" s="297"/>
      <c r="G42" s="295"/>
      <c r="H42" s="298"/>
      <c r="I42" s="557"/>
      <c r="J42" s="295"/>
      <c r="K42" s="298"/>
      <c r="L42" s="73"/>
    </row>
    <row r="43" spans="1:15" ht="13.35" customHeight="1" x14ac:dyDescent="0.2">
      <c r="A43" s="263" t="s">
        <v>852</v>
      </c>
      <c r="B43" s="257"/>
      <c r="C43" s="295"/>
      <c r="D43" s="295"/>
      <c r="E43" s="296"/>
      <c r="F43" s="297"/>
      <c r="G43" s="295"/>
      <c r="H43" s="298"/>
      <c r="I43" s="557"/>
      <c r="J43" s="295"/>
      <c r="K43" s="298"/>
      <c r="L43" s="73"/>
    </row>
    <row r="44" spans="1:15" ht="13.35" customHeight="1" x14ac:dyDescent="0.2">
      <c r="A44" s="239" t="s">
        <v>881</v>
      </c>
      <c r="B44" s="257"/>
      <c r="C44" s="155">
        <f>SUM(C45:C51)</f>
        <v>0</v>
      </c>
      <c r="D44" s="155">
        <f t="shared" ref="D44:K44" si="6">SUM(D45:D51)</f>
        <v>0</v>
      </c>
      <c r="E44" s="156">
        <f t="shared" si="6"/>
        <v>0</v>
      </c>
      <c r="F44" s="157">
        <f t="shared" si="6"/>
        <v>0</v>
      </c>
      <c r="G44" s="155">
        <f t="shared" si="6"/>
        <v>0</v>
      </c>
      <c r="H44" s="158">
        <f t="shared" si="6"/>
        <v>0</v>
      </c>
      <c r="I44" s="159">
        <f t="shared" si="6"/>
        <v>0</v>
      </c>
      <c r="J44" s="155">
        <f t="shared" si="6"/>
        <v>0</v>
      </c>
      <c r="K44" s="158">
        <f t="shared" si="6"/>
        <v>0</v>
      </c>
      <c r="L44" s="73"/>
    </row>
    <row r="45" spans="1:15" ht="13.35" customHeight="1" x14ac:dyDescent="0.2">
      <c r="A45" s="263" t="s">
        <v>882</v>
      </c>
      <c r="B45" s="257"/>
      <c r="C45" s="295"/>
      <c r="D45" s="295"/>
      <c r="E45" s="296"/>
      <c r="F45" s="297"/>
      <c r="G45" s="295"/>
      <c r="H45" s="298"/>
      <c r="I45" s="557"/>
      <c r="J45" s="295"/>
      <c r="K45" s="298"/>
      <c r="L45" s="73"/>
    </row>
    <row r="46" spans="1:15" ht="13.35" customHeight="1" x14ac:dyDescent="0.2">
      <c r="A46" s="263" t="s">
        <v>883</v>
      </c>
      <c r="B46" s="257"/>
      <c r="C46" s="295"/>
      <c r="D46" s="295"/>
      <c r="E46" s="296"/>
      <c r="F46" s="297"/>
      <c r="G46" s="295"/>
      <c r="H46" s="298"/>
      <c r="I46" s="557"/>
      <c r="J46" s="295"/>
      <c r="K46" s="298"/>
      <c r="L46" s="73"/>
    </row>
    <row r="47" spans="1:15" ht="13.35" customHeight="1" x14ac:dyDescent="0.2">
      <c r="A47" s="263" t="s">
        <v>884</v>
      </c>
      <c r="B47" s="257"/>
      <c r="C47" s="295"/>
      <c r="D47" s="295"/>
      <c r="E47" s="296"/>
      <c r="F47" s="297"/>
      <c r="G47" s="295"/>
      <c r="H47" s="298"/>
      <c r="I47" s="557"/>
      <c r="J47" s="295"/>
      <c r="K47" s="298"/>
      <c r="L47" s="73"/>
    </row>
    <row r="48" spans="1:15" ht="13.35" customHeight="1" x14ac:dyDescent="0.2">
      <c r="A48" s="263" t="s">
        <v>885</v>
      </c>
      <c r="B48" s="257"/>
      <c r="C48" s="295"/>
      <c r="D48" s="295"/>
      <c r="E48" s="296"/>
      <c r="F48" s="297"/>
      <c r="G48" s="295"/>
      <c r="H48" s="298"/>
      <c r="I48" s="557"/>
      <c r="J48" s="295"/>
      <c r="K48" s="298"/>
      <c r="L48" s="265"/>
    </row>
    <row r="49" spans="1:12" ht="13.35" customHeight="1" x14ac:dyDescent="0.2">
      <c r="A49" s="263" t="s">
        <v>886</v>
      </c>
      <c r="B49" s="257"/>
      <c r="C49" s="295"/>
      <c r="D49" s="295"/>
      <c r="E49" s="296"/>
      <c r="F49" s="297"/>
      <c r="G49" s="295"/>
      <c r="H49" s="298"/>
      <c r="I49" s="557"/>
      <c r="J49" s="295"/>
      <c r="K49" s="298"/>
      <c r="L49" s="73"/>
    </row>
    <row r="50" spans="1:12" ht="13.35" customHeight="1" x14ac:dyDescent="0.2">
      <c r="A50" s="263" t="s">
        <v>887</v>
      </c>
      <c r="B50" s="257"/>
      <c r="C50" s="295"/>
      <c r="D50" s="295"/>
      <c r="E50" s="296"/>
      <c r="F50" s="297"/>
      <c r="G50" s="295"/>
      <c r="H50" s="298"/>
      <c r="I50" s="557"/>
      <c r="J50" s="295"/>
      <c r="K50" s="298"/>
      <c r="L50" s="73"/>
    </row>
    <row r="51" spans="1:12" ht="13.35" customHeight="1" x14ac:dyDescent="0.2">
      <c r="A51" s="263" t="s">
        <v>852</v>
      </c>
      <c r="B51" s="257"/>
      <c r="C51" s="295"/>
      <c r="D51" s="295"/>
      <c r="E51" s="296"/>
      <c r="F51" s="297"/>
      <c r="G51" s="295"/>
      <c r="H51" s="298"/>
      <c r="I51" s="557"/>
      <c r="J51" s="295"/>
      <c r="K51" s="298"/>
      <c r="L51" s="73"/>
    </row>
    <row r="52" spans="1:12" ht="13.35" customHeight="1" x14ac:dyDescent="0.2">
      <c r="A52" s="235" t="s">
        <v>888</v>
      </c>
      <c r="B52" s="257"/>
      <c r="C52" s="155">
        <f t="shared" ref="C52:K52" si="7">SUM(C53:C61)</f>
        <v>0</v>
      </c>
      <c r="D52" s="155">
        <f t="shared" si="7"/>
        <v>0</v>
      </c>
      <c r="E52" s="156">
        <f t="shared" si="7"/>
        <v>0</v>
      </c>
      <c r="F52" s="157">
        <f t="shared" si="7"/>
        <v>0</v>
      </c>
      <c r="G52" s="155">
        <f t="shared" si="7"/>
        <v>0</v>
      </c>
      <c r="H52" s="158">
        <f t="shared" si="7"/>
        <v>0</v>
      </c>
      <c r="I52" s="159">
        <f t="shared" si="7"/>
        <v>0</v>
      </c>
      <c r="J52" s="155">
        <f t="shared" si="7"/>
        <v>0</v>
      </c>
      <c r="K52" s="158">
        <f t="shared" si="7"/>
        <v>0</v>
      </c>
      <c r="L52" s="265"/>
    </row>
    <row r="53" spans="1:12" ht="13.35" customHeight="1" x14ac:dyDescent="0.2">
      <c r="A53" s="263" t="s">
        <v>889</v>
      </c>
      <c r="B53" s="257"/>
      <c r="C53" s="295"/>
      <c r="D53" s="295"/>
      <c r="E53" s="296"/>
      <c r="F53" s="297"/>
      <c r="G53" s="295"/>
      <c r="H53" s="298"/>
      <c r="I53" s="557"/>
      <c r="J53" s="295"/>
      <c r="K53" s="298"/>
      <c r="L53" s="73"/>
    </row>
    <row r="54" spans="1:12" ht="13.35" customHeight="1" x14ac:dyDescent="0.2">
      <c r="A54" s="263" t="s">
        <v>890</v>
      </c>
      <c r="B54" s="257"/>
      <c r="C54" s="295"/>
      <c r="D54" s="295"/>
      <c r="E54" s="296"/>
      <c r="F54" s="297"/>
      <c r="G54" s="295"/>
      <c r="H54" s="298"/>
      <c r="I54" s="557"/>
      <c r="J54" s="295"/>
      <c r="K54" s="298"/>
      <c r="L54" s="265"/>
    </row>
    <row r="55" spans="1:12" ht="13.35" customHeight="1" x14ac:dyDescent="0.2">
      <c r="A55" s="263" t="s">
        <v>891</v>
      </c>
      <c r="B55" s="257"/>
      <c r="C55" s="295"/>
      <c r="D55" s="295"/>
      <c r="E55" s="296"/>
      <c r="F55" s="297"/>
      <c r="G55" s="295"/>
      <c r="H55" s="298"/>
      <c r="I55" s="557"/>
      <c r="J55" s="295"/>
      <c r="K55" s="298"/>
      <c r="L55" s="265"/>
    </row>
    <row r="56" spans="1:12" ht="13.35" customHeight="1" x14ac:dyDescent="0.2">
      <c r="A56" s="263" t="s">
        <v>854</v>
      </c>
      <c r="B56" s="257"/>
      <c r="C56" s="295"/>
      <c r="D56" s="295"/>
      <c r="E56" s="296"/>
      <c r="F56" s="297"/>
      <c r="G56" s="295"/>
      <c r="H56" s="298"/>
      <c r="I56" s="557"/>
      <c r="J56" s="295"/>
      <c r="K56" s="298"/>
      <c r="L56" s="265"/>
    </row>
    <row r="57" spans="1:12" ht="13.35" customHeight="1" x14ac:dyDescent="0.2">
      <c r="A57" s="263" t="s">
        <v>855</v>
      </c>
      <c r="B57" s="257"/>
      <c r="C57" s="295"/>
      <c r="D57" s="295"/>
      <c r="E57" s="296"/>
      <c r="F57" s="297"/>
      <c r="G57" s="295"/>
      <c r="H57" s="298"/>
      <c r="I57" s="557"/>
      <c r="J57" s="295"/>
      <c r="K57" s="298"/>
      <c r="L57" s="265"/>
    </row>
    <row r="58" spans="1:12" ht="13.35" customHeight="1" x14ac:dyDescent="0.2">
      <c r="A58" s="263" t="s">
        <v>856</v>
      </c>
      <c r="B58" s="257"/>
      <c r="C58" s="295"/>
      <c r="D58" s="295"/>
      <c r="E58" s="296"/>
      <c r="F58" s="297"/>
      <c r="G58" s="295"/>
      <c r="H58" s="298"/>
      <c r="I58" s="557"/>
      <c r="J58" s="295"/>
      <c r="K58" s="298"/>
      <c r="L58" s="261"/>
    </row>
    <row r="59" spans="1:12" ht="13.35" customHeight="1" x14ac:dyDescent="0.2">
      <c r="A59" s="263" t="s">
        <v>862</v>
      </c>
      <c r="B59" s="257"/>
      <c r="C59" s="295"/>
      <c r="D59" s="295"/>
      <c r="E59" s="296"/>
      <c r="F59" s="297"/>
      <c r="G59" s="295"/>
      <c r="H59" s="298"/>
      <c r="I59" s="557"/>
      <c r="J59" s="295"/>
      <c r="K59" s="298"/>
      <c r="L59" s="265"/>
    </row>
    <row r="60" spans="1:12" ht="13.35" customHeight="1" x14ac:dyDescent="0.2">
      <c r="A60" s="263" t="s">
        <v>865</v>
      </c>
      <c r="B60" s="257"/>
      <c r="C60" s="295"/>
      <c r="D60" s="295"/>
      <c r="E60" s="296"/>
      <c r="F60" s="297"/>
      <c r="G60" s="295"/>
      <c r="H60" s="298"/>
      <c r="I60" s="557"/>
      <c r="J60" s="295"/>
      <c r="K60" s="298"/>
      <c r="L60" s="265"/>
    </row>
    <row r="61" spans="1:12" ht="13.35" customHeight="1" x14ac:dyDescent="0.2">
      <c r="A61" s="263" t="s">
        <v>852</v>
      </c>
      <c r="B61" s="257"/>
      <c r="C61" s="295"/>
      <c r="D61" s="295"/>
      <c r="E61" s="296"/>
      <c r="F61" s="297"/>
      <c r="G61" s="295"/>
      <c r="H61" s="298"/>
      <c r="I61" s="557"/>
      <c r="J61" s="295"/>
      <c r="K61" s="298"/>
      <c r="L61" s="265"/>
    </row>
    <row r="62" spans="1:12" ht="13.35" customHeight="1" x14ac:dyDescent="0.2">
      <c r="A62" s="239" t="s">
        <v>892</v>
      </c>
      <c r="B62" s="257"/>
      <c r="C62" s="155">
        <f>SUM(C63:C67)</f>
        <v>0</v>
      </c>
      <c r="D62" s="155">
        <f t="shared" ref="D62:K62" si="8">SUM(D63:D67)</f>
        <v>0</v>
      </c>
      <c r="E62" s="156">
        <f t="shared" si="8"/>
        <v>0</v>
      </c>
      <c r="F62" s="157">
        <f t="shared" si="8"/>
        <v>0</v>
      </c>
      <c r="G62" s="155">
        <f t="shared" si="8"/>
        <v>0</v>
      </c>
      <c r="H62" s="158">
        <f t="shared" si="8"/>
        <v>0</v>
      </c>
      <c r="I62" s="159">
        <f t="shared" si="8"/>
        <v>0</v>
      </c>
      <c r="J62" s="155">
        <f t="shared" si="8"/>
        <v>0</v>
      </c>
      <c r="K62" s="158">
        <f t="shared" si="8"/>
        <v>0</v>
      </c>
      <c r="L62" s="265"/>
    </row>
    <row r="63" spans="1:12" ht="13.35" customHeight="1" x14ac:dyDescent="0.2">
      <c r="A63" s="263" t="s">
        <v>893</v>
      </c>
      <c r="B63" s="257"/>
      <c r="C63" s="295"/>
      <c r="D63" s="295"/>
      <c r="E63" s="296"/>
      <c r="F63" s="297"/>
      <c r="G63" s="295"/>
      <c r="H63" s="298"/>
      <c r="I63" s="557"/>
      <c r="J63" s="295"/>
      <c r="K63" s="298"/>
      <c r="L63" s="265"/>
    </row>
    <row r="64" spans="1:12" ht="13.35" customHeight="1" x14ac:dyDescent="0.2">
      <c r="A64" s="263" t="s">
        <v>894</v>
      </c>
      <c r="B64" s="257"/>
      <c r="C64" s="295"/>
      <c r="D64" s="295"/>
      <c r="E64" s="296"/>
      <c r="F64" s="297"/>
      <c r="G64" s="295"/>
      <c r="H64" s="298"/>
      <c r="I64" s="557"/>
      <c r="J64" s="295"/>
      <c r="K64" s="298"/>
      <c r="L64" s="73"/>
    </row>
    <row r="65" spans="1:12" ht="13.35" customHeight="1" x14ac:dyDescent="0.2">
      <c r="A65" s="263" t="s">
        <v>895</v>
      </c>
      <c r="B65" s="257"/>
      <c r="C65" s="295"/>
      <c r="D65" s="295"/>
      <c r="E65" s="296"/>
      <c r="F65" s="297"/>
      <c r="G65" s="295"/>
      <c r="H65" s="298"/>
      <c r="I65" s="557"/>
      <c r="J65" s="295"/>
      <c r="K65" s="298"/>
      <c r="L65" s="73"/>
    </row>
    <row r="66" spans="1:12" ht="13.35" customHeight="1" x14ac:dyDescent="0.2">
      <c r="A66" s="263" t="s">
        <v>896</v>
      </c>
      <c r="B66" s="257"/>
      <c r="C66" s="295"/>
      <c r="D66" s="295"/>
      <c r="E66" s="296"/>
      <c r="F66" s="297"/>
      <c r="G66" s="295"/>
      <c r="H66" s="298"/>
      <c r="I66" s="557"/>
      <c r="J66" s="295"/>
      <c r="K66" s="298"/>
      <c r="L66" s="73"/>
    </row>
    <row r="67" spans="1:12" ht="13.35" customHeight="1" x14ac:dyDescent="0.2">
      <c r="A67" s="263" t="s">
        <v>852</v>
      </c>
      <c r="B67" s="257"/>
      <c r="C67" s="295"/>
      <c r="D67" s="295"/>
      <c r="E67" s="296"/>
      <c r="F67" s="297"/>
      <c r="G67" s="295"/>
      <c r="H67" s="298"/>
      <c r="I67" s="557"/>
      <c r="J67" s="295"/>
      <c r="K67" s="298"/>
      <c r="L67" s="73"/>
    </row>
    <row r="68" spans="1:12" ht="13.35" customHeight="1" x14ac:dyDescent="0.2">
      <c r="A68" s="235" t="s">
        <v>897</v>
      </c>
      <c r="B68" s="257"/>
      <c r="C68" s="155">
        <f>SUM(C69:C72)</f>
        <v>0</v>
      </c>
      <c r="D68" s="155">
        <f t="shared" ref="D68:K68" si="9">SUM(D69:D72)</f>
        <v>0</v>
      </c>
      <c r="E68" s="155">
        <f t="shared" si="9"/>
        <v>0</v>
      </c>
      <c r="F68" s="157">
        <f t="shared" si="9"/>
        <v>0</v>
      </c>
      <c r="G68" s="155">
        <f t="shared" si="9"/>
        <v>0</v>
      </c>
      <c r="H68" s="158">
        <f t="shared" si="9"/>
        <v>0</v>
      </c>
      <c r="I68" s="159">
        <f t="shared" si="9"/>
        <v>0</v>
      </c>
      <c r="J68" s="155">
        <f t="shared" si="9"/>
        <v>0</v>
      </c>
      <c r="K68" s="158">
        <f t="shared" si="9"/>
        <v>0</v>
      </c>
      <c r="L68" s="73"/>
    </row>
    <row r="69" spans="1:12" ht="13.35" customHeight="1" x14ac:dyDescent="0.2">
      <c r="A69" s="263" t="s">
        <v>898</v>
      </c>
      <c r="B69" s="257"/>
      <c r="C69" s="295"/>
      <c r="D69" s="295"/>
      <c r="E69" s="294"/>
      <c r="F69" s="556"/>
      <c r="G69" s="295"/>
      <c r="H69" s="294"/>
      <c r="I69" s="556"/>
      <c r="J69" s="295"/>
      <c r="K69" s="298"/>
      <c r="L69" s="73"/>
    </row>
    <row r="70" spans="1:12" ht="13.35" customHeight="1" x14ac:dyDescent="0.2">
      <c r="A70" s="263" t="s">
        <v>899</v>
      </c>
      <c r="B70" s="257"/>
      <c r="C70" s="295"/>
      <c r="D70" s="295"/>
      <c r="E70" s="555"/>
      <c r="F70" s="556"/>
      <c r="G70" s="295"/>
      <c r="H70" s="294"/>
      <c r="I70" s="556"/>
      <c r="J70" s="295"/>
      <c r="K70" s="298"/>
      <c r="L70" s="73"/>
    </row>
    <row r="71" spans="1:12" ht="13.35" customHeight="1" x14ac:dyDescent="0.2">
      <c r="A71" s="263" t="s">
        <v>900</v>
      </c>
      <c r="B71" s="257"/>
      <c r="C71" s="295"/>
      <c r="D71" s="295"/>
      <c r="E71" s="555"/>
      <c r="F71" s="556"/>
      <c r="G71" s="295"/>
      <c r="H71" s="294"/>
      <c r="I71" s="556"/>
      <c r="J71" s="295"/>
      <c r="K71" s="555"/>
      <c r="L71" s="73"/>
    </row>
    <row r="72" spans="1:12" ht="13.35" customHeight="1" x14ac:dyDescent="0.2">
      <c r="A72" s="263" t="s">
        <v>852</v>
      </c>
      <c r="B72" s="257"/>
      <c r="C72" s="295"/>
      <c r="D72" s="295"/>
      <c r="E72" s="555"/>
      <c r="F72" s="556"/>
      <c r="G72" s="295"/>
      <c r="H72" s="294"/>
      <c r="I72" s="556"/>
      <c r="J72" s="295"/>
      <c r="K72" s="555"/>
      <c r="L72" s="73"/>
    </row>
    <row r="73" spans="1:12" ht="5.0999999999999996" customHeight="1" x14ac:dyDescent="0.2">
      <c r="A73" s="267"/>
      <c r="B73" s="257"/>
      <c r="C73" s="66"/>
      <c r="D73" s="66"/>
      <c r="E73" s="268"/>
      <c r="F73" s="269"/>
      <c r="G73" s="66"/>
      <c r="H73" s="270"/>
      <c r="I73" s="269"/>
      <c r="J73" s="66"/>
      <c r="K73" s="268"/>
      <c r="L73" s="73"/>
    </row>
    <row r="74" spans="1:12" ht="13.35" customHeight="1" x14ac:dyDescent="0.2">
      <c r="A74" s="256" t="s">
        <v>901</v>
      </c>
      <c r="B74" s="257"/>
      <c r="C74" s="145">
        <f>C75+C98</f>
        <v>0</v>
      </c>
      <c r="D74" s="145">
        <f t="shared" ref="D74:K74" si="10">D75+D98</f>
        <v>0</v>
      </c>
      <c r="E74" s="258">
        <f t="shared" si="10"/>
        <v>0</v>
      </c>
      <c r="F74" s="259">
        <f t="shared" si="10"/>
        <v>0</v>
      </c>
      <c r="G74" s="145">
        <f t="shared" si="10"/>
        <v>0</v>
      </c>
      <c r="H74" s="260">
        <f t="shared" si="10"/>
        <v>0</v>
      </c>
      <c r="I74" s="259">
        <f t="shared" si="10"/>
        <v>0</v>
      </c>
      <c r="J74" s="145">
        <f t="shared" si="10"/>
        <v>0</v>
      </c>
      <c r="K74" s="258">
        <f t="shared" si="10"/>
        <v>0</v>
      </c>
      <c r="L74" s="73"/>
    </row>
    <row r="75" spans="1:12" ht="13.35" customHeight="1" x14ac:dyDescent="0.2">
      <c r="A75" s="235" t="s">
        <v>902</v>
      </c>
      <c r="B75" s="257"/>
      <c r="C75" s="150">
        <f>SUM(C76:C97)</f>
        <v>0</v>
      </c>
      <c r="D75" s="150">
        <f t="shared" ref="D75:K75" si="11">SUM(D76:D97)</f>
        <v>0</v>
      </c>
      <c r="E75" s="151">
        <f t="shared" si="11"/>
        <v>0</v>
      </c>
      <c r="F75" s="152">
        <f t="shared" si="11"/>
        <v>0</v>
      </c>
      <c r="G75" s="150">
        <f t="shared" si="11"/>
        <v>0</v>
      </c>
      <c r="H75" s="153">
        <f t="shared" si="11"/>
        <v>0</v>
      </c>
      <c r="I75" s="152">
        <f t="shared" si="11"/>
        <v>0</v>
      </c>
      <c r="J75" s="150">
        <f t="shared" si="11"/>
        <v>0</v>
      </c>
      <c r="K75" s="153">
        <f t="shared" si="11"/>
        <v>0</v>
      </c>
      <c r="L75" s="73"/>
    </row>
    <row r="76" spans="1:12" ht="13.35" customHeight="1" x14ac:dyDescent="0.2">
      <c r="A76" s="263" t="s">
        <v>903</v>
      </c>
      <c r="B76" s="257"/>
      <c r="C76" s="295"/>
      <c r="D76" s="295"/>
      <c r="E76" s="555"/>
      <c r="F76" s="556"/>
      <c r="G76" s="295"/>
      <c r="H76" s="294"/>
      <c r="I76" s="556"/>
      <c r="J76" s="295"/>
      <c r="K76" s="555"/>
      <c r="L76" s="73"/>
    </row>
    <row r="77" spans="1:12" ht="13.35" customHeight="1" x14ac:dyDescent="0.2">
      <c r="A77" s="263" t="s">
        <v>904</v>
      </c>
      <c r="B77" s="257"/>
      <c r="C77" s="295"/>
      <c r="D77" s="295"/>
      <c r="E77" s="555"/>
      <c r="F77" s="556"/>
      <c r="G77" s="295"/>
      <c r="H77" s="294"/>
      <c r="I77" s="556"/>
      <c r="J77" s="295"/>
      <c r="K77" s="555"/>
      <c r="L77" s="73"/>
    </row>
    <row r="78" spans="1:12" ht="13.35" customHeight="1" x14ac:dyDescent="0.2">
      <c r="A78" s="263" t="s">
        <v>905</v>
      </c>
      <c r="B78" s="257"/>
      <c r="C78" s="295"/>
      <c r="D78" s="295"/>
      <c r="E78" s="555"/>
      <c r="F78" s="556"/>
      <c r="G78" s="295"/>
      <c r="H78" s="294"/>
      <c r="I78" s="556"/>
      <c r="J78" s="295"/>
      <c r="K78" s="555"/>
      <c r="L78" s="73"/>
    </row>
    <row r="79" spans="1:12" ht="13.35" customHeight="1" x14ac:dyDescent="0.2">
      <c r="A79" s="263" t="s">
        <v>906</v>
      </c>
      <c r="B79" s="257"/>
      <c r="C79" s="295"/>
      <c r="D79" s="295"/>
      <c r="E79" s="555"/>
      <c r="F79" s="556"/>
      <c r="G79" s="295"/>
      <c r="H79" s="294"/>
      <c r="I79" s="556"/>
      <c r="J79" s="295"/>
      <c r="K79" s="555"/>
      <c r="L79" s="73"/>
    </row>
    <row r="80" spans="1:12" ht="13.35" customHeight="1" x14ac:dyDescent="0.2">
      <c r="A80" s="263" t="s">
        <v>907</v>
      </c>
      <c r="B80" s="257"/>
      <c r="C80" s="295"/>
      <c r="D80" s="295"/>
      <c r="E80" s="555"/>
      <c r="F80" s="556"/>
      <c r="G80" s="295"/>
      <c r="H80" s="294"/>
      <c r="I80" s="556"/>
      <c r="J80" s="295"/>
      <c r="K80" s="555"/>
      <c r="L80" s="73"/>
    </row>
    <row r="81" spans="1:12" ht="13.35" customHeight="1" x14ac:dyDescent="0.2">
      <c r="A81" s="263" t="s">
        <v>908</v>
      </c>
      <c r="B81" s="257"/>
      <c r="C81" s="295"/>
      <c r="D81" s="295"/>
      <c r="E81" s="555"/>
      <c r="F81" s="556"/>
      <c r="G81" s="295"/>
      <c r="H81" s="294"/>
      <c r="I81" s="556"/>
      <c r="J81" s="295"/>
      <c r="K81" s="555"/>
      <c r="L81" s="73"/>
    </row>
    <row r="82" spans="1:12" ht="13.35" customHeight="1" x14ac:dyDescent="0.2">
      <c r="A82" s="263" t="s">
        <v>909</v>
      </c>
      <c r="B82" s="257"/>
      <c r="C82" s="295"/>
      <c r="D82" s="295"/>
      <c r="E82" s="555"/>
      <c r="F82" s="556"/>
      <c r="G82" s="295"/>
      <c r="H82" s="294"/>
      <c r="I82" s="556"/>
      <c r="J82" s="295"/>
      <c r="K82" s="555"/>
      <c r="L82" s="73"/>
    </row>
    <row r="83" spans="1:12" ht="13.35" customHeight="1" x14ac:dyDescent="0.2">
      <c r="A83" s="263" t="s">
        <v>910</v>
      </c>
      <c r="B83" s="257"/>
      <c r="C83" s="295"/>
      <c r="D83" s="295"/>
      <c r="E83" s="555"/>
      <c r="F83" s="556"/>
      <c r="G83" s="295"/>
      <c r="H83" s="294"/>
      <c r="I83" s="556"/>
      <c r="J83" s="295"/>
      <c r="K83" s="555"/>
      <c r="L83" s="73"/>
    </row>
    <row r="84" spans="1:12" ht="13.35" customHeight="1" x14ac:dyDescent="0.2">
      <c r="A84" s="263" t="s">
        <v>911</v>
      </c>
      <c r="B84" s="257"/>
      <c r="C84" s="295"/>
      <c r="D84" s="295"/>
      <c r="E84" s="555"/>
      <c r="F84" s="556"/>
      <c r="G84" s="295"/>
      <c r="H84" s="294"/>
      <c r="I84" s="556"/>
      <c r="J84" s="295"/>
      <c r="K84" s="555"/>
      <c r="L84" s="271"/>
    </row>
    <row r="85" spans="1:12" ht="13.35" customHeight="1" x14ac:dyDescent="0.2">
      <c r="A85" s="263" t="s">
        <v>88</v>
      </c>
      <c r="B85" s="257"/>
      <c r="C85" s="295"/>
      <c r="D85" s="295"/>
      <c r="E85" s="555"/>
      <c r="F85" s="556"/>
      <c r="G85" s="295"/>
      <c r="H85" s="294"/>
      <c r="I85" s="556"/>
      <c r="J85" s="295"/>
      <c r="K85" s="555"/>
    </row>
    <row r="86" spans="1:12" ht="13.35" customHeight="1" x14ac:dyDescent="0.2">
      <c r="A86" s="263" t="s">
        <v>912</v>
      </c>
      <c r="B86" s="257"/>
      <c r="C86" s="295"/>
      <c r="D86" s="295"/>
      <c r="E86" s="555"/>
      <c r="F86" s="556"/>
      <c r="G86" s="295"/>
      <c r="H86" s="294"/>
      <c r="I86" s="556"/>
      <c r="J86" s="295"/>
      <c r="K86" s="555"/>
    </row>
    <row r="87" spans="1:12" ht="13.35" customHeight="1" x14ac:dyDescent="0.2">
      <c r="A87" s="263" t="s">
        <v>913</v>
      </c>
      <c r="B87" s="257"/>
      <c r="C87" s="295"/>
      <c r="D87" s="295"/>
      <c r="E87" s="555"/>
      <c r="F87" s="556"/>
      <c r="G87" s="295"/>
      <c r="H87" s="294"/>
      <c r="I87" s="556"/>
      <c r="J87" s="295"/>
      <c r="K87" s="555"/>
    </row>
    <row r="88" spans="1:12" ht="13.35" customHeight="1" x14ac:dyDescent="0.2">
      <c r="A88" s="263" t="s">
        <v>1012</v>
      </c>
      <c r="B88" s="257"/>
      <c r="C88" s="295"/>
      <c r="D88" s="295"/>
      <c r="E88" s="555"/>
      <c r="F88" s="556"/>
      <c r="G88" s="295"/>
      <c r="H88" s="294"/>
      <c r="I88" s="556"/>
      <c r="J88" s="295"/>
      <c r="K88" s="555"/>
    </row>
    <row r="89" spans="1:12" ht="13.35" customHeight="1" x14ac:dyDescent="0.2">
      <c r="A89" s="263" t="s">
        <v>914</v>
      </c>
      <c r="B89" s="257"/>
      <c r="C89" s="295"/>
      <c r="D89" s="295"/>
      <c r="E89" s="555"/>
      <c r="F89" s="556"/>
      <c r="G89" s="295"/>
      <c r="H89" s="294"/>
      <c r="I89" s="556"/>
      <c r="J89" s="295"/>
      <c r="K89" s="555"/>
    </row>
    <row r="90" spans="1:12" ht="13.35" customHeight="1" x14ac:dyDescent="0.2">
      <c r="A90" s="263" t="s">
        <v>915</v>
      </c>
      <c r="B90" s="257"/>
      <c r="C90" s="295"/>
      <c r="D90" s="295"/>
      <c r="E90" s="555"/>
      <c r="F90" s="556"/>
      <c r="G90" s="295"/>
      <c r="H90" s="294"/>
      <c r="I90" s="556"/>
      <c r="J90" s="295"/>
      <c r="K90" s="555"/>
    </row>
    <row r="91" spans="1:12" ht="13.35" customHeight="1" x14ac:dyDescent="0.2">
      <c r="A91" s="263" t="s">
        <v>916</v>
      </c>
      <c r="B91" s="257"/>
      <c r="C91" s="295"/>
      <c r="D91" s="295"/>
      <c r="E91" s="555"/>
      <c r="F91" s="556"/>
      <c r="G91" s="295"/>
      <c r="H91" s="294"/>
      <c r="I91" s="556"/>
      <c r="J91" s="295"/>
      <c r="K91" s="555"/>
    </row>
    <row r="92" spans="1:12" ht="13.35" customHeight="1" x14ac:dyDescent="0.2">
      <c r="A92" s="263" t="s">
        <v>11</v>
      </c>
      <c r="B92" s="257"/>
      <c r="C92" s="295"/>
      <c r="D92" s="295"/>
      <c r="E92" s="555"/>
      <c r="F92" s="556"/>
      <c r="G92" s="295"/>
      <c r="H92" s="294"/>
      <c r="I92" s="556"/>
      <c r="J92" s="295"/>
      <c r="K92" s="555"/>
    </row>
    <row r="93" spans="1:12" ht="13.35" customHeight="1" x14ac:dyDescent="0.2">
      <c r="A93" s="263" t="s">
        <v>917</v>
      </c>
      <c r="B93" s="257"/>
      <c r="C93" s="295"/>
      <c r="D93" s="295"/>
      <c r="E93" s="555"/>
      <c r="F93" s="556"/>
      <c r="G93" s="295"/>
      <c r="H93" s="294"/>
      <c r="I93" s="556"/>
      <c r="J93" s="295"/>
      <c r="K93" s="555"/>
    </row>
    <row r="94" spans="1:12" ht="13.35" customHeight="1" x14ac:dyDescent="0.2">
      <c r="A94" s="263" t="s">
        <v>10</v>
      </c>
      <c r="B94" s="257"/>
      <c r="C94" s="295"/>
      <c r="D94" s="295"/>
      <c r="E94" s="555"/>
      <c r="F94" s="556"/>
      <c r="G94" s="295"/>
      <c r="H94" s="294"/>
      <c r="I94" s="556"/>
      <c r="J94" s="295"/>
      <c r="K94" s="555"/>
    </row>
    <row r="95" spans="1:12" ht="13.35" customHeight="1" x14ac:dyDescent="0.2">
      <c r="A95" s="263" t="s">
        <v>918</v>
      </c>
      <c r="B95" s="257"/>
      <c r="C95" s="295"/>
      <c r="D95" s="295"/>
      <c r="E95" s="555"/>
      <c r="F95" s="556"/>
      <c r="G95" s="295"/>
      <c r="H95" s="294"/>
      <c r="I95" s="556"/>
      <c r="J95" s="295"/>
      <c r="K95" s="555"/>
    </row>
    <row r="96" spans="1:12" ht="13.35" customHeight="1" x14ac:dyDescent="0.2">
      <c r="A96" s="263" t="s">
        <v>919</v>
      </c>
      <c r="B96" s="257"/>
      <c r="C96" s="295"/>
      <c r="D96" s="295"/>
      <c r="E96" s="555"/>
      <c r="F96" s="556"/>
      <c r="G96" s="295"/>
      <c r="H96" s="294"/>
      <c r="I96" s="556"/>
      <c r="J96" s="295"/>
      <c r="K96" s="555"/>
    </row>
    <row r="97" spans="1:11" ht="13.35" customHeight="1" x14ac:dyDescent="0.2">
      <c r="A97" s="263" t="s">
        <v>852</v>
      </c>
      <c r="B97" s="257"/>
      <c r="C97" s="295"/>
      <c r="D97" s="295"/>
      <c r="E97" s="555"/>
      <c r="F97" s="556"/>
      <c r="G97" s="295"/>
      <c r="H97" s="294"/>
      <c r="I97" s="556"/>
      <c r="J97" s="295"/>
      <c r="K97" s="555"/>
    </row>
    <row r="98" spans="1:11" ht="13.35" customHeight="1" x14ac:dyDescent="0.2">
      <c r="A98" s="235" t="s">
        <v>920</v>
      </c>
      <c r="B98" s="257"/>
      <c r="C98" s="155">
        <f>SUM(C99:C101)</f>
        <v>0</v>
      </c>
      <c r="D98" s="155">
        <f t="shared" ref="D98:K98" si="12">SUM(D99:D101)</f>
        <v>0</v>
      </c>
      <c r="E98" s="155">
        <f t="shared" si="12"/>
        <v>0</v>
      </c>
      <c r="F98" s="157">
        <f t="shared" si="12"/>
        <v>0</v>
      </c>
      <c r="G98" s="155">
        <f t="shared" si="12"/>
        <v>0</v>
      </c>
      <c r="H98" s="158">
        <f t="shared" si="12"/>
        <v>0</v>
      </c>
      <c r="I98" s="159">
        <f t="shared" si="12"/>
        <v>0</v>
      </c>
      <c r="J98" s="155">
        <f t="shared" si="12"/>
        <v>0</v>
      </c>
      <c r="K98" s="158">
        <f t="shared" si="12"/>
        <v>0</v>
      </c>
    </row>
    <row r="99" spans="1:11" ht="13.35" customHeight="1" x14ac:dyDescent="0.2">
      <c r="A99" s="263" t="s">
        <v>921</v>
      </c>
      <c r="B99" s="257"/>
      <c r="C99" s="295"/>
      <c r="D99" s="295"/>
      <c r="E99" s="294"/>
      <c r="F99" s="556"/>
      <c r="G99" s="295"/>
      <c r="H99" s="294"/>
      <c r="I99" s="556"/>
      <c r="J99" s="295"/>
      <c r="K99" s="298"/>
    </row>
    <row r="100" spans="1:11" ht="13.35" customHeight="1" x14ac:dyDescent="0.2">
      <c r="A100" s="263" t="s">
        <v>922</v>
      </c>
      <c r="B100" s="257"/>
      <c r="C100" s="295"/>
      <c r="D100" s="295"/>
      <c r="E100" s="555"/>
      <c r="F100" s="556"/>
      <c r="G100" s="295"/>
      <c r="H100" s="294"/>
      <c r="I100" s="556"/>
      <c r="J100" s="295"/>
      <c r="K100" s="298"/>
    </row>
    <row r="101" spans="1:11" ht="13.35" customHeight="1" x14ac:dyDescent="0.2">
      <c r="A101" s="263" t="s">
        <v>852</v>
      </c>
      <c r="B101" s="257"/>
      <c r="C101" s="295"/>
      <c r="D101" s="295"/>
      <c r="E101" s="555"/>
      <c r="F101" s="556"/>
      <c r="G101" s="295"/>
      <c r="H101" s="294"/>
      <c r="I101" s="556"/>
      <c r="J101" s="295"/>
      <c r="K101" s="555"/>
    </row>
    <row r="102" spans="1:11" ht="5.0999999999999996" customHeight="1" x14ac:dyDescent="0.2">
      <c r="A102" s="267"/>
      <c r="B102" s="257"/>
      <c r="C102" s="66"/>
      <c r="D102" s="66"/>
      <c r="E102" s="268"/>
      <c r="F102" s="269"/>
      <c r="G102" s="66"/>
      <c r="H102" s="270"/>
      <c r="I102" s="269"/>
      <c r="J102" s="66"/>
      <c r="K102" s="268"/>
    </row>
    <row r="103" spans="1:11" ht="13.35" customHeight="1" x14ac:dyDescent="0.2">
      <c r="A103" s="256" t="s">
        <v>184</v>
      </c>
      <c r="B103" s="257"/>
      <c r="C103" s="66">
        <f>SUM(C104:C108)</f>
        <v>0</v>
      </c>
      <c r="D103" s="66">
        <f t="shared" ref="D103:K103" si="13">SUM(D104:D108)</f>
        <v>0</v>
      </c>
      <c r="E103" s="268">
        <f t="shared" si="13"/>
        <v>0</v>
      </c>
      <c r="F103" s="269">
        <f t="shared" si="13"/>
        <v>0</v>
      </c>
      <c r="G103" s="66">
        <f t="shared" si="13"/>
        <v>0</v>
      </c>
      <c r="H103" s="270">
        <f t="shared" si="13"/>
        <v>0</v>
      </c>
      <c r="I103" s="269">
        <f t="shared" si="13"/>
        <v>0</v>
      </c>
      <c r="J103" s="66">
        <f t="shared" si="13"/>
        <v>0</v>
      </c>
      <c r="K103" s="268">
        <f t="shared" si="13"/>
        <v>0</v>
      </c>
    </row>
    <row r="104" spans="1:11" ht="13.35" customHeight="1" x14ac:dyDescent="0.2">
      <c r="A104" s="235" t="s">
        <v>923</v>
      </c>
      <c r="B104" s="257"/>
      <c r="C104" s="531"/>
      <c r="D104" s="531"/>
      <c r="E104" s="558"/>
      <c r="F104" s="559"/>
      <c r="G104" s="531"/>
      <c r="H104" s="560"/>
      <c r="I104" s="559"/>
      <c r="J104" s="531"/>
      <c r="K104" s="558"/>
    </row>
    <row r="105" spans="1:11" ht="13.35" customHeight="1" x14ac:dyDescent="0.2">
      <c r="A105" s="239" t="s">
        <v>924</v>
      </c>
      <c r="B105" s="257"/>
      <c r="C105" s="532"/>
      <c r="D105" s="532"/>
      <c r="E105" s="561"/>
      <c r="F105" s="562"/>
      <c r="G105" s="532"/>
      <c r="H105" s="563"/>
      <c r="I105" s="562"/>
      <c r="J105" s="532"/>
      <c r="K105" s="561"/>
    </row>
    <row r="106" spans="1:11" ht="13.35" customHeight="1" x14ac:dyDescent="0.2">
      <c r="A106" s="235" t="s">
        <v>925</v>
      </c>
      <c r="B106" s="257"/>
      <c r="C106" s="532"/>
      <c r="D106" s="532"/>
      <c r="E106" s="561"/>
      <c r="F106" s="562"/>
      <c r="G106" s="532"/>
      <c r="H106" s="563"/>
      <c r="I106" s="562"/>
      <c r="J106" s="532"/>
      <c r="K106" s="561"/>
    </row>
    <row r="107" spans="1:11" ht="13.35" customHeight="1" x14ac:dyDescent="0.2">
      <c r="A107" s="235" t="s">
        <v>926</v>
      </c>
      <c r="B107" s="257"/>
      <c r="C107" s="532"/>
      <c r="D107" s="532"/>
      <c r="E107" s="561"/>
      <c r="F107" s="562"/>
      <c r="G107" s="532"/>
      <c r="H107" s="563"/>
      <c r="I107" s="562"/>
      <c r="J107" s="532"/>
      <c r="K107" s="561"/>
    </row>
    <row r="108" spans="1:11" ht="13.35" customHeight="1" x14ac:dyDescent="0.2">
      <c r="A108" s="239" t="s">
        <v>927</v>
      </c>
      <c r="B108" s="257"/>
      <c r="C108" s="532"/>
      <c r="D108" s="532"/>
      <c r="E108" s="561"/>
      <c r="F108" s="562"/>
      <c r="G108" s="532"/>
      <c r="H108" s="563"/>
      <c r="I108" s="562"/>
      <c r="J108" s="532"/>
      <c r="K108" s="561"/>
    </row>
    <row r="109" spans="1:11" ht="5.0999999999999996" customHeight="1" x14ac:dyDescent="0.2">
      <c r="A109" s="276"/>
      <c r="B109" s="257"/>
      <c r="C109" s="66"/>
      <c r="D109" s="66"/>
      <c r="E109" s="268"/>
      <c r="F109" s="269"/>
      <c r="G109" s="66"/>
      <c r="H109" s="270"/>
      <c r="I109" s="269"/>
      <c r="J109" s="66"/>
      <c r="K109" s="268"/>
    </row>
    <row r="110" spans="1:11" ht="13.35" customHeight="1" x14ac:dyDescent="0.2">
      <c r="A110" s="277" t="s">
        <v>185</v>
      </c>
      <c r="B110" s="257"/>
      <c r="C110" s="80">
        <f>+C111+C114</f>
        <v>0</v>
      </c>
      <c r="D110" s="80">
        <f t="shared" ref="D110:K110" si="14">+D111+D114</f>
        <v>0</v>
      </c>
      <c r="E110" s="278">
        <f t="shared" si="14"/>
        <v>0</v>
      </c>
      <c r="F110" s="279">
        <f t="shared" si="14"/>
        <v>0</v>
      </c>
      <c r="G110" s="80">
        <f t="shared" si="14"/>
        <v>0</v>
      </c>
      <c r="H110" s="280">
        <f t="shared" si="14"/>
        <v>0</v>
      </c>
      <c r="I110" s="279">
        <f t="shared" si="14"/>
        <v>0</v>
      </c>
      <c r="J110" s="80">
        <f t="shared" si="14"/>
        <v>0</v>
      </c>
      <c r="K110" s="278">
        <f t="shared" si="14"/>
        <v>0</v>
      </c>
    </row>
    <row r="111" spans="1:11" ht="13.35" customHeight="1" x14ac:dyDescent="0.2">
      <c r="A111" s="235" t="s">
        <v>928</v>
      </c>
      <c r="B111" s="257"/>
      <c r="C111" s="150">
        <f t="shared" ref="C111:K111" si="15">SUM(C112:C113)</f>
        <v>0</v>
      </c>
      <c r="D111" s="150">
        <f t="shared" si="15"/>
        <v>0</v>
      </c>
      <c r="E111" s="150">
        <f t="shared" si="15"/>
        <v>0</v>
      </c>
      <c r="F111" s="152">
        <f t="shared" si="15"/>
        <v>0</v>
      </c>
      <c r="G111" s="150">
        <f t="shared" si="15"/>
        <v>0</v>
      </c>
      <c r="H111" s="153">
        <f t="shared" si="15"/>
        <v>0</v>
      </c>
      <c r="I111" s="154">
        <f t="shared" si="15"/>
        <v>0</v>
      </c>
      <c r="J111" s="150">
        <f t="shared" si="15"/>
        <v>0</v>
      </c>
      <c r="K111" s="153">
        <f t="shared" si="15"/>
        <v>0</v>
      </c>
    </row>
    <row r="112" spans="1:11" ht="13.35" customHeight="1" x14ac:dyDescent="0.2">
      <c r="A112" s="263" t="s">
        <v>929</v>
      </c>
      <c r="B112" s="257"/>
      <c r="C112" s="295"/>
      <c r="D112" s="295"/>
      <c r="E112" s="294"/>
      <c r="F112" s="556"/>
      <c r="G112" s="295"/>
      <c r="H112" s="294"/>
      <c r="I112" s="556"/>
      <c r="J112" s="295"/>
      <c r="K112" s="298"/>
    </row>
    <row r="113" spans="1:11" ht="13.35" customHeight="1" x14ac:dyDescent="0.2">
      <c r="A113" s="263" t="s">
        <v>930</v>
      </c>
      <c r="B113" s="257"/>
      <c r="C113" s="295"/>
      <c r="D113" s="295"/>
      <c r="E113" s="555"/>
      <c r="F113" s="556"/>
      <c r="G113" s="295"/>
      <c r="H113" s="294"/>
      <c r="I113" s="556"/>
      <c r="J113" s="295"/>
      <c r="K113" s="298"/>
    </row>
    <row r="114" spans="1:11" ht="13.35" customHeight="1" x14ac:dyDescent="0.2">
      <c r="A114" s="235" t="s">
        <v>931</v>
      </c>
      <c r="B114" s="257"/>
      <c r="C114" s="155">
        <f>SUM(C115:C116)</f>
        <v>0</v>
      </c>
      <c r="D114" s="155">
        <f t="shared" ref="D114:K114" si="16">SUM(D115:D116)</f>
        <v>0</v>
      </c>
      <c r="E114" s="155">
        <f t="shared" si="16"/>
        <v>0</v>
      </c>
      <c r="F114" s="157">
        <f t="shared" si="16"/>
        <v>0</v>
      </c>
      <c r="G114" s="155">
        <f t="shared" si="16"/>
        <v>0</v>
      </c>
      <c r="H114" s="158">
        <f t="shared" si="16"/>
        <v>0</v>
      </c>
      <c r="I114" s="159">
        <f t="shared" si="16"/>
        <v>0</v>
      </c>
      <c r="J114" s="155">
        <f t="shared" si="16"/>
        <v>0</v>
      </c>
      <c r="K114" s="158">
        <f t="shared" si="16"/>
        <v>0</v>
      </c>
    </row>
    <row r="115" spans="1:11" ht="13.35" customHeight="1" x14ac:dyDescent="0.2">
      <c r="A115" s="263" t="s">
        <v>929</v>
      </c>
      <c r="B115" s="257"/>
      <c r="C115" s="295"/>
      <c r="D115" s="295"/>
      <c r="E115" s="294"/>
      <c r="F115" s="556"/>
      <c r="G115" s="295"/>
      <c r="H115" s="294"/>
      <c r="I115" s="556"/>
      <c r="J115" s="295"/>
      <c r="K115" s="298"/>
    </row>
    <row r="116" spans="1:11" ht="13.35" customHeight="1" x14ac:dyDescent="0.2">
      <c r="A116" s="263" t="s">
        <v>930</v>
      </c>
      <c r="B116" s="257"/>
      <c r="C116" s="295"/>
      <c r="D116" s="295"/>
      <c r="E116" s="555"/>
      <c r="F116" s="556"/>
      <c r="G116" s="295"/>
      <c r="H116" s="294"/>
      <c r="I116" s="556"/>
      <c r="J116" s="295"/>
      <c r="K116" s="298"/>
    </row>
    <row r="117" spans="1:11" ht="5.0999999999999996" customHeight="1" x14ac:dyDescent="0.2">
      <c r="A117" s="276"/>
      <c r="B117" s="257"/>
      <c r="C117" s="66"/>
      <c r="D117" s="66"/>
      <c r="E117" s="268"/>
      <c r="F117" s="269"/>
      <c r="G117" s="66"/>
      <c r="H117" s="270"/>
      <c r="I117" s="269"/>
      <c r="J117" s="66"/>
      <c r="K117" s="268"/>
    </row>
    <row r="118" spans="1:11" ht="13.35" customHeight="1" x14ac:dyDescent="0.2">
      <c r="A118" s="277" t="s">
        <v>186</v>
      </c>
      <c r="B118" s="257"/>
      <c r="C118" s="80">
        <f>+C119+C131</f>
        <v>0</v>
      </c>
      <c r="D118" s="80">
        <f t="shared" ref="D118:K118" si="17">+D119+D131</f>
        <v>17196271.260000002</v>
      </c>
      <c r="E118" s="278">
        <f t="shared" si="17"/>
        <v>0</v>
      </c>
      <c r="F118" s="279">
        <f t="shared" si="17"/>
        <v>0</v>
      </c>
      <c r="G118" s="80">
        <f t="shared" si="17"/>
        <v>0</v>
      </c>
      <c r="H118" s="280">
        <f t="shared" si="17"/>
        <v>0</v>
      </c>
      <c r="I118" s="279">
        <f t="shared" si="17"/>
        <v>0</v>
      </c>
      <c r="J118" s="80">
        <f t="shared" si="17"/>
        <v>0</v>
      </c>
      <c r="K118" s="278">
        <f t="shared" si="17"/>
        <v>0</v>
      </c>
    </row>
    <row r="119" spans="1:11" ht="13.35" customHeight="1" x14ac:dyDescent="0.2">
      <c r="A119" s="235" t="s">
        <v>932</v>
      </c>
      <c r="B119" s="257"/>
      <c r="C119" s="150">
        <f>SUM(C120:C130)</f>
        <v>0</v>
      </c>
      <c r="D119" s="150">
        <f t="shared" ref="D119:K119" si="18">SUM(D120:D130)</f>
        <v>17196271.260000002</v>
      </c>
      <c r="E119" s="150">
        <f t="shared" si="18"/>
        <v>0</v>
      </c>
      <c r="F119" s="152">
        <f t="shared" si="18"/>
        <v>0</v>
      </c>
      <c r="G119" s="150">
        <f t="shared" si="18"/>
        <v>0</v>
      </c>
      <c r="H119" s="153">
        <f t="shared" si="18"/>
        <v>0</v>
      </c>
      <c r="I119" s="154">
        <f t="shared" si="18"/>
        <v>0</v>
      </c>
      <c r="J119" s="150">
        <f t="shared" si="18"/>
        <v>0</v>
      </c>
      <c r="K119" s="153">
        <f t="shared" si="18"/>
        <v>0</v>
      </c>
    </row>
    <row r="120" spans="1:11" ht="13.35" customHeight="1" x14ac:dyDescent="0.2">
      <c r="A120" s="263" t="s">
        <v>933</v>
      </c>
      <c r="B120" s="257"/>
      <c r="C120" s="295"/>
      <c r="D120" s="295">
        <v>17196271.260000002</v>
      </c>
      <c r="E120" s="294"/>
      <c r="F120" s="556"/>
      <c r="G120" s="295"/>
      <c r="H120" s="294"/>
      <c r="I120" s="556"/>
      <c r="J120" s="295"/>
      <c r="K120" s="298"/>
    </row>
    <row r="121" spans="1:11" ht="13.35" customHeight="1" x14ac:dyDescent="0.2">
      <c r="A121" s="263" t="s">
        <v>934</v>
      </c>
      <c r="B121" s="257"/>
      <c r="C121" s="295"/>
      <c r="D121" s="295"/>
      <c r="E121" s="294"/>
      <c r="F121" s="556"/>
      <c r="G121" s="295"/>
      <c r="H121" s="294"/>
      <c r="I121" s="556"/>
      <c r="J121" s="295"/>
      <c r="K121" s="298"/>
    </row>
    <row r="122" spans="1:11" ht="13.35" customHeight="1" x14ac:dyDescent="0.2">
      <c r="A122" s="263" t="s">
        <v>935</v>
      </c>
      <c r="B122" s="257"/>
      <c r="C122" s="295"/>
      <c r="D122" s="295"/>
      <c r="E122" s="294"/>
      <c r="F122" s="556"/>
      <c r="G122" s="295"/>
      <c r="H122" s="294"/>
      <c r="I122" s="556"/>
      <c r="J122" s="295"/>
      <c r="K122" s="298"/>
    </row>
    <row r="123" spans="1:11" ht="13.35" customHeight="1" x14ac:dyDescent="0.2">
      <c r="A123" s="263" t="s">
        <v>936</v>
      </c>
      <c r="B123" s="257"/>
      <c r="C123" s="295"/>
      <c r="D123" s="295"/>
      <c r="E123" s="294"/>
      <c r="F123" s="556"/>
      <c r="G123" s="295"/>
      <c r="H123" s="294"/>
      <c r="I123" s="556"/>
      <c r="J123" s="295"/>
      <c r="K123" s="298"/>
    </row>
    <row r="124" spans="1:11" ht="13.35" customHeight="1" x14ac:dyDescent="0.2">
      <c r="A124" s="263" t="s">
        <v>937</v>
      </c>
      <c r="B124" s="257"/>
      <c r="C124" s="295"/>
      <c r="D124" s="295"/>
      <c r="E124" s="294"/>
      <c r="F124" s="556"/>
      <c r="G124" s="295"/>
      <c r="H124" s="294"/>
      <c r="I124" s="556"/>
      <c r="J124" s="295"/>
      <c r="K124" s="298"/>
    </row>
    <row r="125" spans="1:11" ht="13.35" customHeight="1" x14ac:dyDescent="0.2">
      <c r="A125" s="263" t="s">
        <v>938</v>
      </c>
      <c r="B125" s="257"/>
      <c r="C125" s="295"/>
      <c r="D125" s="295"/>
      <c r="E125" s="294"/>
      <c r="F125" s="556"/>
      <c r="G125" s="295"/>
      <c r="H125" s="294"/>
      <c r="I125" s="556"/>
      <c r="J125" s="295"/>
      <c r="K125" s="298"/>
    </row>
    <row r="126" spans="1:11" ht="13.35" customHeight="1" x14ac:dyDescent="0.2">
      <c r="A126" s="263" t="s">
        <v>939</v>
      </c>
      <c r="B126" s="257"/>
      <c r="C126" s="295"/>
      <c r="D126" s="295"/>
      <c r="E126" s="294"/>
      <c r="F126" s="556"/>
      <c r="G126" s="295"/>
      <c r="H126" s="294"/>
      <c r="I126" s="556"/>
      <c r="J126" s="295"/>
      <c r="K126" s="298"/>
    </row>
    <row r="127" spans="1:11" ht="13.35" customHeight="1" x14ac:dyDescent="0.2">
      <c r="A127" s="263" t="s">
        <v>940</v>
      </c>
      <c r="B127" s="257"/>
      <c r="C127" s="295"/>
      <c r="D127" s="295"/>
      <c r="E127" s="294"/>
      <c r="F127" s="556"/>
      <c r="G127" s="295"/>
      <c r="H127" s="294"/>
      <c r="I127" s="556"/>
      <c r="J127" s="295"/>
      <c r="K127" s="298"/>
    </row>
    <row r="128" spans="1:11" ht="13.35" customHeight="1" x14ac:dyDescent="0.2">
      <c r="A128" s="263" t="s">
        <v>941</v>
      </c>
      <c r="B128" s="257"/>
      <c r="C128" s="295"/>
      <c r="D128" s="295"/>
      <c r="E128" s="294"/>
      <c r="F128" s="556"/>
      <c r="G128" s="295"/>
      <c r="H128" s="294"/>
      <c r="I128" s="556"/>
      <c r="J128" s="295"/>
      <c r="K128" s="298"/>
    </row>
    <row r="129" spans="1:11" ht="13.35" customHeight="1" x14ac:dyDescent="0.2">
      <c r="A129" s="263" t="s">
        <v>942</v>
      </c>
      <c r="B129" s="257"/>
      <c r="C129" s="295"/>
      <c r="D129" s="295"/>
      <c r="E129" s="294"/>
      <c r="F129" s="556"/>
      <c r="G129" s="295"/>
      <c r="H129" s="294"/>
      <c r="I129" s="556"/>
      <c r="J129" s="295"/>
      <c r="K129" s="298"/>
    </row>
    <row r="130" spans="1:11" ht="13.35" customHeight="1" x14ac:dyDescent="0.2">
      <c r="A130" s="263" t="s">
        <v>852</v>
      </c>
      <c r="B130" s="257"/>
      <c r="C130" s="295"/>
      <c r="D130" s="295"/>
      <c r="E130" s="294"/>
      <c r="F130" s="556"/>
      <c r="G130" s="295"/>
      <c r="H130" s="294"/>
      <c r="I130" s="556"/>
      <c r="J130" s="295"/>
      <c r="K130" s="298"/>
    </row>
    <row r="131" spans="1:11" ht="13.35" customHeight="1" x14ac:dyDescent="0.2">
      <c r="A131" s="235" t="s">
        <v>943</v>
      </c>
      <c r="B131" s="257"/>
      <c r="C131" s="155">
        <f>SUM(C132:C134)</f>
        <v>0</v>
      </c>
      <c r="D131" s="155">
        <f t="shared" ref="D131:K131" si="19">SUM(D132:D134)</f>
        <v>0</v>
      </c>
      <c r="E131" s="155">
        <f t="shared" si="19"/>
        <v>0</v>
      </c>
      <c r="F131" s="157">
        <f t="shared" si="19"/>
        <v>0</v>
      </c>
      <c r="G131" s="155">
        <f t="shared" si="19"/>
        <v>0</v>
      </c>
      <c r="H131" s="158">
        <f t="shared" si="19"/>
        <v>0</v>
      </c>
      <c r="I131" s="159">
        <f t="shared" si="19"/>
        <v>0</v>
      </c>
      <c r="J131" s="155">
        <f t="shared" si="19"/>
        <v>0</v>
      </c>
      <c r="K131" s="158">
        <f t="shared" si="19"/>
        <v>0</v>
      </c>
    </row>
    <row r="132" spans="1:11" ht="13.35" customHeight="1" x14ac:dyDescent="0.2">
      <c r="A132" s="263" t="s">
        <v>944</v>
      </c>
      <c r="B132" s="257"/>
      <c r="C132" s="295"/>
      <c r="D132" s="295"/>
      <c r="E132" s="294"/>
      <c r="F132" s="556"/>
      <c r="G132" s="295"/>
      <c r="H132" s="294"/>
      <c r="I132" s="556"/>
      <c r="J132" s="295"/>
      <c r="K132" s="298"/>
    </row>
    <row r="133" spans="1:11" ht="13.35" customHeight="1" x14ac:dyDescent="0.2">
      <c r="A133" s="263" t="s">
        <v>945</v>
      </c>
      <c r="B133" s="257"/>
      <c r="C133" s="295"/>
      <c r="D133" s="295"/>
      <c r="E133" s="294"/>
      <c r="F133" s="556"/>
      <c r="G133" s="295"/>
      <c r="H133" s="294"/>
      <c r="I133" s="556"/>
      <c r="J133" s="295"/>
      <c r="K133" s="298"/>
    </row>
    <row r="134" spans="1:11" ht="13.35" customHeight="1" x14ac:dyDescent="0.2">
      <c r="A134" s="263" t="s">
        <v>852</v>
      </c>
      <c r="B134" s="257"/>
      <c r="C134" s="295"/>
      <c r="D134" s="295"/>
      <c r="E134" s="294"/>
      <c r="F134" s="556"/>
      <c r="G134" s="295"/>
      <c r="H134" s="294"/>
      <c r="I134" s="556"/>
      <c r="J134" s="295"/>
      <c r="K134" s="298"/>
    </row>
    <row r="135" spans="1:11" ht="5.0999999999999996" customHeight="1" x14ac:dyDescent="0.2">
      <c r="A135" s="281"/>
      <c r="B135" s="257"/>
      <c r="C135" s="66"/>
      <c r="D135" s="66"/>
      <c r="E135" s="268"/>
      <c r="F135" s="269"/>
      <c r="G135" s="66"/>
      <c r="H135" s="270"/>
      <c r="I135" s="269"/>
      <c r="J135" s="66"/>
      <c r="K135" s="268"/>
    </row>
    <row r="136" spans="1:11" ht="13.35" customHeight="1" x14ac:dyDescent="0.2">
      <c r="A136" s="256" t="s">
        <v>946</v>
      </c>
      <c r="B136" s="257"/>
      <c r="C136" s="66">
        <f t="shared" ref="C136:K136" si="20">SUM(C137:C137)</f>
        <v>0</v>
      </c>
      <c r="D136" s="66">
        <f t="shared" si="20"/>
        <v>0</v>
      </c>
      <c r="E136" s="268">
        <f t="shared" si="20"/>
        <v>0</v>
      </c>
      <c r="F136" s="269">
        <f t="shared" si="20"/>
        <v>0</v>
      </c>
      <c r="G136" s="66">
        <f t="shared" si="20"/>
        <v>0</v>
      </c>
      <c r="H136" s="270">
        <f t="shared" si="20"/>
        <v>0</v>
      </c>
      <c r="I136" s="269">
        <f t="shared" si="20"/>
        <v>0</v>
      </c>
      <c r="J136" s="66">
        <f t="shared" si="20"/>
        <v>0</v>
      </c>
      <c r="K136" s="268">
        <f t="shared" si="20"/>
        <v>0</v>
      </c>
    </row>
    <row r="137" spans="1:11" ht="13.35" customHeight="1" x14ac:dyDescent="0.2">
      <c r="A137" s="235" t="s">
        <v>946</v>
      </c>
      <c r="B137" s="257"/>
      <c r="C137" s="533"/>
      <c r="D137" s="533"/>
      <c r="E137" s="564"/>
      <c r="F137" s="565"/>
      <c r="G137" s="533"/>
      <c r="H137" s="566"/>
      <c r="I137" s="565"/>
      <c r="J137" s="533"/>
      <c r="K137" s="564"/>
    </row>
    <row r="138" spans="1:11" ht="5.0999999999999996" customHeight="1" x14ac:dyDescent="0.2">
      <c r="A138" s="267"/>
      <c r="B138" s="257"/>
      <c r="C138" s="66"/>
      <c r="D138" s="66"/>
      <c r="E138" s="268"/>
      <c r="F138" s="269"/>
      <c r="G138" s="66"/>
      <c r="H138" s="270"/>
      <c r="I138" s="269"/>
      <c r="J138" s="66"/>
      <c r="K138" s="268"/>
    </row>
    <row r="139" spans="1:11" ht="13.35" customHeight="1" x14ac:dyDescent="0.2">
      <c r="A139" s="256" t="s">
        <v>947</v>
      </c>
      <c r="B139" s="257"/>
      <c r="C139" s="66">
        <f>+C140+C141</f>
        <v>0</v>
      </c>
      <c r="D139" s="66">
        <f t="shared" ref="D139:K139" si="21">+D140+D141</f>
        <v>0</v>
      </c>
      <c r="E139" s="268">
        <f t="shared" si="21"/>
        <v>0</v>
      </c>
      <c r="F139" s="269">
        <f t="shared" si="21"/>
        <v>0</v>
      </c>
      <c r="G139" s="66">
        <f t="shared" si="21"/>
        <v>0</v>
      </c>
      <c r="H139" s="270">
        <f t="shared" si="21"/>
        <v>0</v>
      </c>
      <c r="I139" s="269">
        <f t="shared" si="21"/>
        <v>0</v>
      </c>
      <c r="J139" s="66">
        <f t="shared" si="21"/>
        <v>0</v>
      </c>
      <c r="K139" s="268">
        <f t="shared" si="21"/>
        <v>0</v>
      </c>
    </row>
    <row r="140" spans="1:11" ht="13.35" customHeight="1" x14ac:dyDescent="0.2">
      <c r="A140" s="239" t="s">
        <v>948</v>
      </c>
      <c r="B140" s="257"/>
      <c r="C140" s="533"/>
      <c r="D140" s="533"/>
      <c r="E140" s="564"/>
      <c r="F140" s="565"/>
      <c r="G140" s="533"/>
      <c r="H140" s="566"/>
      <c r="I140" s="565"/>
      <c r="J140" s="533"/>
      <c r="K140" s="564"/>
    </row>
    <row r="141" spans="1:11" ht="13.35" customHeight="1" x14ac:dyDescent="0.2">
      <c r="A141" s="239" t="s">
        <v>949</v>
      </c>
      <c r="B141" s="257"/>
      <c r="C141" s="155">
        <f>SUM(C142:C147)</f>
        <v>0</v>
      </c>
      <c r="D141" s="155">
        <f t="shared" ref="D141:K141" si="22">SUM(D142:D147)</f>
        <v>0</v>
      </c>
      <c r="E141" s="155">
        <f t="shared" si="22"/>
        <v>0</v>
      </c>
      <c r="F141" s="157">
        <f t="shared" si="22"/>
        <v>0</v>
      </c>
      <c r="G141" s="155">
        <f t="shared" si="22"/>
        <v>0</v>
      </c>
      <c r="H141" s="158">
        <f t="shared" si="22"/>
        <v>0</v>
      </c>
      <c r="I141" s="159">
        <f t="shared" si="22"/>
        <v>0</v>
      </c>
      <c r="J141" s="155">
        <f t="shared" si="22"/>
        <v>0</v>
      </c>
      <c r="K141" s="158">
        <f t="shared" si="22"/>
        <v>0</v>
      </c>
    </row>
    <row r="142" spans="1:11" ht="13.35" customHeight="1" x14ac:dyDescent="0.2">
      <c r="A142" s="263" t="s">
        <v>950</v>
      </c>
      <c r="B142" s="257"/>
      <c r="C142" s="295"/>
      <c r="D142" s="295"/>
      <c r="E142" s="294"/>
      <c r="F142" s="556"/>
      <c r="G142" s="295"/>
      <c r="H142" s="294"/>
      <c r="I142" s="556"/>
      <c r="J142" s="295"/>
      <c r="K142" s="298"/>
    </row>
    <row r="143" spans="1:11" ht="13.35" customHeight="1" x14ac:dyDescent="0.2">
      <c r="A143" s="263" t="s">
        <v>951</v>
      </c>
      <c r="B143" s="257"/>
      <c r="C143" s="295"/>
      <c r="D143" s="295"/>
      <c r="E143" s="294"/>
      <c r="F143" s="556"/>
      <c r="G143" s="295"/>
      <c r="H143" s="294"/>
      <c r="I143" s="556"/>
      <c r="J143" s="295"/>
      <c r="K143" s="298"/>
    </row>
    <row r="144" spans="1:11" ht="13.35" customHeight="1" x14ac:dyDescent="0.2">
      <c r="A144" s="263" t="s">
        <v>952</v>
      </c>
      <c r="B144" s="257"/>
      <c r="C144" s="295"/>
      <c r="D144" s="295"/>
      <c r="E144" s="294"/>
      <c r="F144" s="556"/>
      <c r="G144" s="295"/>
      <c r="H144" s="294"/>
      <c r="I144" s="556"/>
      <c r="J144" s="295"/>
      <c r="K144" s="298"/>
    </row>
    <row r="145" spans="1:11" ht="13.35" customHeight="1" x14ac:dyDescent="0.2">
      <c r="A145" s="263" t="s">
        <v>953</v>
      </c>
      <c r="B145" s="257"/>
      <c r="C145" s="295"/>
      <c r="D145" s="295"/>
      <c r="E145" s="294"/>
      <c r="F145" s="556"/>
      <c r="G145" s="295"/>
      <c r="H145" s="294"/>
      <c r="I145" s="556"/>
      <c r="J145" s="295"/>
      <c r="K145" s="298"/>
    </row>
    <row r="146" spans="1:11" ht="13.35" customHeight="1" x14ac:dyDescent="0.2">
      <c r="A146" s="263" t="s">
        <v>954</v>
      </c>
      <c r="B146" s="257"/>
      <c r="C146" s="295"/>
      <c r="D146" s="295"/>
      <c r="E146" s="294"/>
      <c r="F146" s="556"/>
      <c r="G146" s="295"/>
      <c r="H146" s="294"/>
      <c r="I146" s="556"/>
      <c r="J146" s="295"/>
      <c r="K146" s="298"/>
    </row>
    <row r="147" spans="1:11" ht="13.35" customHeight="1" x14ac:dyDescent="0.2">
      <c r="A147" s="263" t="s">
        <v>955</v>
      </c>
      <c r="B147" s="257"/>
      <c r="C147" s="295"/>
      <c r="D147" s="295"/>
      <c r="E147" s="294"/>
      <c r="F147" s="556"/>
      <c r="G147" s="295"/>
      <c r="H147" s="294"/>
      <c r="I147" s="556"/>
      <c r="J147" s="295"/>
      <c r="K147" s="298"/>
    </row>
    <row r="148" spans="1:11" ht="5.0999999999999996" customHeight="1" x14ac:dyDescent="0.2">
      <c r="A148" s="267"/>
      <c r="B148" s="257"/>
      <c r="C148" s="80"/>
      <c r="D148" s="80"/>
      <c r="E148" s="278"/>
      <c r="F148" s="279"/>
      <c r="G148" s="80"/>
      <c r="H148" s="280"/>
      <c r="I148" s="279"/>
      <c r="J148" s="80"/>
      <c r="K148" s="278"/>
    </row>
    <row r="149" spans="1:11" ht="13.35" customHeight="1" x14ac:dyDescent="0.2">
      <c r="A149" s="256" t="s">
        <v>956</v>
      </c>
      <c r="B149" s="257"/>
      <c r="C149" s="66">
        <f t="shared" ref="C149:K149" si="23">SUM(C150:C150)</f>
        <v>0</v>
      </c>
      <c r="D149" s="66">
        <f t="shared" si="23"/>
        <v>0</v>
      </c>
      <c r="E149" s="268">
        <f t="shared" si="23"/>
        <v>0</v>
      </c>
      <c r="F149" s="269">
        <f t="shared" si="23"/>
        <v>0</v>
      </c>
      <c r="G149" s="66">
        <f t="shared" si="23"/>
        <v>0</v>
      </c>
      <c r="H149" s="270">
        <f t="shared" si="23"/>
        <v>0</v>
      </c>
      <c r="I149" s="269">
        <f t="shared" si="23"/>
        <v>0</v>
      </c>
      <c r="J149" s="66">
        <f t="shared" si="23"/>
        <v>0</v>
      </c>
      <c r="K149" s="268">
        <f t="shared" si="23"/>
        <v>0</v>
      </c>
    </row>
    <row r="150" spans="1:11" ht="13.35" customHeight="1" x14ac:dyDescent="0.2">
      <c r="A150" s="235" t="s">
        <v>956</v>
      </c>
      <c r="B150" s="257"/>
      <c r="C150" s="533"/>
      <c r="D150" s="533"/>
      <c r="E150" s="564"/>
      <c r="F150" s="565"/>
      <c r="G150" s="533"/>
      <c r="H150" s="566"/>
      <c r="I150" s="565"/>
      <c r="J150" s="533"/>
      <c r="K150" s="564"/>
    </row>
    <row r="151" spans="1:11" ht="5.0999999999999996" customHeight="1" x14ac:dyDescent="0.2">
      <c r="A151" s="267"/>
      <c r="B151" s="257"/>
      <c r="C151" s="66"/>
      <c r="D151" s="66"/>
      <c r="E151" s="268"/>
      <c r="F151" s="269"/>
      <c r="G151" s="66"/>
      <c r="H151" s="270"/>
      <c r="I151" s="269"/>
      <c r="J151" s="66"/>
      <c r="K151" s="268"/>
    </row>
    <row r="152" spans="1:11" ht="13.35" customHeight="1" x14ac:dyDescent="0.2">
      <c r="A152" s="256" t="s">
        <v>957</v>
      </c>
      <c r="B152" s="257"/>
      <c r="C152" s="66">
        <f t="shared" ref="C152:K152" si="24">SUM(C153:C153)</f>
        <v>0</v>
      </c>
      <c r="D152" s="66">
        <f t="shared" si="24"/>
        <v>0</v>
      </c>
      <c r="E152" s="268">
        <f t="shared" si="24"/>
        <v>0</v>
      </c>
      <c r="F152" s="269">
        <f t="shared" si="24"/>
        <v>0</v>
      </c>
      <c r="G152" s="66">
        <f t="shared" si="24"/>
        <v>0</v>
      </c>
      <c r="H152" s="270">
        <f t="shared" si="24"/>
        <v>0</v>
      </c>
      <c r="I152" s="269">
        <f t="shared" si="24"/>
        <v>0</v>
      </c>
      <c r="J152" s="66">
        <f t="shared" si="24"/>
        <v>0</v>
      </c>
      <c r="K152" s="268">
        <f t="shared" si="24"/>
        <v>0</v>
      </c>
    </row>
    <row r="153" spans="1:11" ht="13.35" customHeight="1" x14ac:dyDescent="0.2">
      <c r="A153" s="235" t="s">
        <v>957</v>
      </c>
      <c r="B153" s="257"/>
      <c r="C153" s="533"/>
      <c r="D153" s="533"/>
      <c r="E153" s="564"/>
      <c r="F153" s="565"/>
      <c r="G153" s="533"/>
      <c r="H153" s="566"/>
      <c r="I153" s="565"/>
      <c r="J153" s="533"/>
      <c r="K153" s="564"/>
    </row>
    <row r="154" spans="1:11" ht="5.0999999999999996" customHeight="1" x14ac:dyDescent="0.2">
      <c r="A154" s="267"/>
      <c r="B154" s="257"/>
      <c r="C154" s="66"/>
      <c r="D154" s="66"/>
      <c r="E154" s="268"/>
      <c r="F154" s="269"/>
      <c r="G154" s="66"/>
      <c r="H154" s="270"/>
      <c r="I154" s="269"/>
      <c r="J154" s="66"/>
      <c r="K154" s="268"/>
    </row>
    <row r="155" spans="1:11" ht="13.35" customHeight="1" x14ac:dyDescent="0.2">
      <c r="A155" s="256" t="s">
        <v>958</v>
      </c>
      <c r="B155" s="257"/>
      <c r="C155" s="66">
        <f t="shared" ref="C155:K155" si="25">SUM(C156:C156)</f>
        <v>0</v>
      </c>
      <c r="D155" s="66">
        <f t="shared" si="25"/>
        <v>0</v>
      </c>
      <c r="E155" s="268">
        <f t="shared" si="25"/>
        <v>0</v>
      </c>
      <c r="F155" s="269">
        <f t="shared" si="25"/>
        <v>0</v>
      </c>
      <c r="G155" s="66">
        <f t="shared" si="25"/>
        <v>0</v>
      </c>
      <c r="H155" s="270">
        <f t="shared" si="25"/>
        <v>0</v>
      </c>
      <c r="I155" s="269">
        <f t="shared" si="25"/>
        <v>0</v>
      </c>
      <c r="J155" s="66">
        <f t="shared" si="25"/>
        <v>0</v>
      </c>
      <c r="K155" s="268">
        <f t="shared" si="25"/>
        <v>0</v>
      </c>
    </row>
    <row r="156" spans="1:11" ht="13.35" customHeight="1" x14ac:dyDescent="0.2">
      <c r="A156" s="235" t="s">
        <v>958</v>
      </c>
      <c r="B156" s="257"/>
      <c r="C156" s="533"/>
      <c r="D156" s="533"/>
      <c r="E156" s="564"/>
      <c r="F156" s="565"/>
      <c r="G156" s="533"/>
      <c r="H156" s="566"/>
      <c r="I156" s="565"/>
      <c r="J156" s="533"/>
      <c r="K156" s="564"/>
    </row>
    <row r="157" spans="1:11" ht="5.0999999999999996" customHeight="1" x14ac:dyDescent="0.2">
      <c r="A157" s="267"/>
      <c r="B157" s="257"/>
      <c r="C157" s="66"/>
      <c r="D157" s="66"/>
      <c r="E157" s="268"/>
      <c r="F157" s="269"/>
      <c r="G157" s="66"/>
      <c r="H157" s="270"/>
      <c r="I157" s="269"/>
      <c r="J157" s="66"/>
      <c r="K157" s="268"/>
    </row>
    <row r="158" spans="1:11" ht="13.35" customHeight="1" x14ac:dyDescent="0.2">
      <c r="A158" s="256" t="s">
        <v>959</v>
      </c>
      <c r="B158" s="257"/>
      <c r="C158" s="66">
        <f t="shared" ref="C158:K158" si="26">SUM(C159:C159)</f>
        <v>0</v>
      </c>
      <c r="D158" s="66">
        <f t="shared" si="26"/>
        <v>0</v>
      </c>
      <c r="E158" s="268">
        <f t="shared" si="26"/>
        <v>0</v>
      </c>
      <c r="F158" s="269">
        <f t="shared" si="26"/>
        <v>0</v>
      </c>
      <c r="G158" s="66">
        <f t="shared" si="26"/>
        <v>0</v>
      </c>
      <c r="H158" s="270">
        <f t="shared" si="26"/>
        <v>0</v>
      </c>
      <c r="I158" s="269">
        <f t="shared" si="26"/>
        <v>0</v>
      </c>
      <c r="J158" s="66">
        <f t="shared" si="26"/>
        <v>0</v>
      </c>
      <c r="K158" s="268">
        <f t="shared" si="26"/>
        <v>0</v>
      </c>
    </row>
    <row r="159" spans="1:11" ht="13.35" customHeight="1" x14ac:dyDescent="0.2">
      <c r="A159" s="235" t="s">
        <v>959</v>
      </c>
      <c r="B159" s="257"/>
      <c r="C159" s="533"/>
      <c r="D159" s="533"/>
      <c r="E159" s="564"/>
      <c r="F159" s="565"/>
      <c r="G159" s="533"/>
      <c r="H159" s="566"/>
      <c r="I159" s="565"/>
      <c r="J159" s="533"/>
      <c r="K159" s="564"/>
    </row>
    <row r="160" spans="1:11" ht="5.0999999999999996" customHeight="1" x14ac:dyDescent="0.2">
      <c r="A160" s="267"/>
      <c r="B160" s="257"/>
      <c r="C160" s="66"/>
      <c r="D160" s="66"/>
      <c r="E160" s="268"/>
      <c r="F160" s="269"/>
      <c r="G160" s="66"/>
      <c r="H160" s="270"/>
      <c r="I160" s="269"/>
      <c r="J160" s="66"/>
      <c r="K160" s="268"/>
    </row>
    <row r="161" spans="1:11" ht="13.35" customHeight="1" x14ac:dyDescent="0.2">
      <c r="A161" s="256" t="s">
        <v>974</v>
      </c>
      <c r="B161" s="257"/>
      <c r="C161" s="66">
        <f t="shared" ref="C161:K161" si="27">SUM(C162:C162)</f>
        <v>0</v>
      </c>
      <c r="D161" s="66">
        <f t="shared" si="27"/>
        <v>0</v>
      </c>
      <c r="E161" s="268">
        <f t="shared" si="27"/>
        <v>0</v>
      </c>
      <c r="F161" s="269">
        <f t="shared" si="27"/>
        <v>0</v>
      </c>
      <c r="G161" s="66">
        <f t="shared" si="27"/>
        <v>0</v>
      </c>
      <c r="H161" s="270">
        <f t="shared" si="27"/>
        <v>0</v>
      </c>
      <c r="I161" s="269">
        <f t="shared" si="27"/>
        <v>0</v>
      </c>
      <c r="J161" s="66">
        <f t="shared" si="27"/>
        <v>0</v>
      </c>
      <c r="K161" s="268">
        <f t="shared" si="27"/>
        <v>0</v>
      </c>
    </row>
    <row r="162" spans="1:11" ht="13.35" customHeight="1" x14ac:dyDescent="0.2">
      <c r="A162" s="235" t="s">
        <v>974</v>
      </c>
      <c r="B162" s="257"/>
      <c r="C162" s="533"/>
      <c r="D162" s="533"/>
      <c r="E162" s="564"/>
      <c r="F162" s="565"/>
      <c r="G162" s="533"/>
      <c r="H162" s="566"/>
      <c r="I162" s="565"/>
      <c r="J162" s="533"/>
      <c r="K162" s="564"/>
    </row>
    <row r="163" spans="1:11" ht="5.0999999999999996" customHeight="1" x14ac:dyDescent="0.2">
      <c r="A163" s="267"/>
      <c r="B163" s="257"/>
      <c r="C163" s="66"/>
      <c r="D163" s="66"/>
      <c r="E163" s="268"/>
      <c r="F163" s="269"/>
      <c r="G163" s="66"/>
      <c r="H163" s="270"/>
      <c r="I163" s="269"/>
      <c r="J163" s="66"/>
      <c r="K163" s="268"/>
    </row>
    <row r="164" spans="1:11" ht="13.35" customHeight="1" x14ac:dyDescent="0.2">
      <c r="A164" s="256" t="s">
        <v>960</v>
      </c>
      <c r="B164" s="257"/>
      <c r="C164" s="66">
        <f t="shared" ref="C164:K164" si="28">SUM(C165:C165)</f>
        <v>0</v>
      </c>
      <c r="D164" s="66">
        <f t="shared" si="28"/>
        <v>0</v>
      </c>
      <c r="E164" s="268">
        <f t="shared" si="28"/>
        <v>0</v>
      </c>
      <c r="F164" s="269">
        <f t="shared" si="28"/>
        <v>0</v>
      </c>
      <c r="G164" s="66">
        <f t="shared" si="28"/>
        <v>0</v>
      </c>
      <c r="H164" s="270">
        <f t="shared" si="28"/>
        <v>0</v>
      </c>
      <c r="I164" s="269">
        <f t="shared" si="28"/>
        <v>0</v>
      </c>
      <c r="J164" s="66">
        <f t="shared" si="28"/>
        <v>0</v>
      </c>
      <c r="K164" s="268">
        <f t="shared" si="28"/>
        <v>0</v>
      </c>
    </row>
    <row r="165" spans="1:11" ht="13.35" customHeight="1" x14ac:dyDescent="0.2">
      <c r="A165" s="235" t="s">
        <v>960</v>
      </c>
      <c r="B165" s="257"/>
      <c r="C165" s="533"/>
      <c r="D165" s="533"/>
      <c r="E165" s="564"/>
      <c r="F165" s="565"/>
      <c r="G165" s="533"/>
      <c r="H165" s="566"/>
      <c r="I165" s="565"/>
      <c r="J165" s="533"/>
      <c r="K165" s="564"/>
    </row>
    <row r="166" spans="1:11" ht="5.0999999999999996" customHeight="1" x14ac:dyDescent="0.2">
      <c r="A166" s="267"/>
      <c r="B166" s="257"/>
      <c r="C166" s="66"/>
      <c r="D166" s="66"/>
      <c r="E166" s="268"/>
      <c r="F166" s="269"/>
      <c r="G166" s="66"/>
      <c r="H166" s="270"/>
      <c r="I166" s="269"/>
      <c r="J166" s="66"/>
      <c r="K166" s="268"/>
    </row>
    <row r="167" spans="1:11" ht="13.35" customHeight="1" x14ac:dyDescent="0.2">
      <c r="A167" s="248" t="s">
        <v>777</v>
      </c>
      <c r="B167" s="568">
        <v>1</v>
      </c>
      <c r="C167" s="251">
        <f>C6+C74+C103+C110+C118+C136+C139+C149+C152+C155+C158+C161+C164</f>
        <v>1900603.32</v>
      </c>
      <c r="D167" s="251">
        <f t="shared" ref="D167:K167" si="29">D6+D74+D103+D110+D118+D136+D139+D149+D152+D155+D158+D161+D164</f>
        <v>20213151.590000004</v>
      </c>
      <c r="E167" s="569">
        <f t="shared" si="29"/>
        <v>1622300.66</v>
      </c>
      <c r="F167" s="570">
        <f t="shared" si="29"/>
        <v>12424393</v>
      </c>
      <c r="G167" s="251">
        <f t="shared" si="29"/>
        <v>12993093</v>
      </c>
      <c r="H167" s="571">
        <f t="shared" si="29"/>
        <v>12993093</v>
      </c>
      <c r="I167" s="570">
        <f t="shared" si="29"/>
        <v>15440447.523120001</v>
      </c>
      <c r="J167" s="251">
        <f t="shared" si="29"/>
        <v>9306350.8006910402</v>
      </c>
      <c r="K167" s="569">
        <f t="shared" si="29"/>
        <v>9693830.2359214462</v>
      </c>
    </row>
    <row r="168" spans="1:11" ht="12.75" customHeight="1" x14ac:dyDescent="0.2">
      <c r="A168" s="189" t="str">
        <f>head27a</f>
        <v>References</v>
      </c>
      <c r="B168" s="305"/>
      <c r="C168" s="77"/>
      <c r="D168" s="77"/>
      <c r="E168" s="77"/>
      <c r="F168" s="77"/>
      <c r="G168" s="77"/>
      <c r="H168" s="77"/>
      <c r="I168" s="77"/>
      <c r="J168" s="77"/>
      <c r="K168" s="77"/>
    </row>
    <row r="169" spans="1:11" ht="11.25" customHeight="1" x14ac:dyDescent="0.2">
      <c r="A169" s="185" t="s">
        <v>970</v>
      </c>
      <c r="B169" s="305"/>
      <c r="C169" s="286"/>
      <c r="D169" s="286"/>
      <c r="E169" s="77"/>
      <c r="F169" s="77"/>
      <c r="G169" s="77"/>
      <c r="H169" s="77"/>
      <c r="I169" s="77"/>
      <c r="J169" s="77"/>
      <c r="K169" s="77"/>
    </row>
    <row r="170" spans="1:11" ht="11.25" customHeight="1" x14ac:dyDescent="0.2">
      <c r="A170" s="86"/>
      <c r="B170" s="305"/>
      <c r="C170" s="286"/>
      <c r="D170" s="286"/>
      <c r="E170" s="77"/>
      <c r="F170" s="77"/>
      <c r="G170" s="77"/>
      <c r="H170" s="77"/>
      <c r="I170" s="77"/>
      <c r="J170" s="77"/>
      <c r="K170" s="77"/>
    </row>
    <row r="171" spans="1:11" ht="11.25" customHeight="1" x14ac:dyDescent="0.2"/>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2">
    <tabColor rgb="FFCCFFCC"/>
    <pageSetUpPr fitToPage="1"/>
  </sheetPr>
  <dimension ref="A1:O205"/>
  <sheetViews>
    <sheetView showGridLines="0" zoomScaleNormal="100" workbookViewId="0">
      <pane xSplit="2" ySplit="3" topLeftCell="C145" activePane="bottomRight" state="frozen"/>
      <selection activeCell="A23" sqref="A23"/>
      <selection pane="topRight" activeCell="A23" sqref="A23"/>
      <selection pane="bottomLeft" activeCell="A23" sqref="A23"/>
      <selection pane="bottomRight" activeCell="C159" sqref="C159:K159"/>
    </sheetView>
  </sheetViews>
  <sheetFormatPr defaultColWidth="9.109375" defaultRowHeight="10.199999999999999" x14ac:dyDescent="0.2"/>
  <cols>
    <col min="1" max="1" width="38.33203125" style="59" customWidth="1"/>
    <col min="2" max="2" width="3.109375"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2" ht="13.8" x14ac:dyDescent="0.3">
      <c r="A1" s="57" t="str">
        <f>MEB9c</f>
        <v>Centlec (Soc) Ltd - Supporting Table SD7c Expenditure on repairs and maintenance by asset class</v>
      </c>
    </row>
    <row r="2" spans="1:12" ht="20.399999999999999" x14ac:dyDescent="0.2">
      <c r="A2" s="551" t="str">
        <f>desc</f>
        <v>Description</v>
      </c>
      <c r="B2" s="552"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2" ht="20.399999999999999" x14ac:dyDescent="0.2">
      <c r="A3" s="234" t="s">
        <v>817</v>
      </c>
      <c r="B3" s="468">
        <v>1</v>
      </c>
      <c r="C3" s="469" t="str">
        <f>Head5</f>
        <v>Audited Outcome</v>
      </c>
      <c r="D3" s="470" t="str">
        <f>Head5</f>
        <v>Audited Outcome</v>
      </c>
      <c r="E3" s="471" t="str">
        <f>Head5</f>
        <v>Audited Outcome</v>
      </c>
      <c r="F3" s="553" t="str">
        <f>Head6</f>
        <v>Original Budget</v>
      </c>
      <c r="G3" s="469" t="str">
        <f>Head7</f>
        <v>Adjusted Budget</v>
      </c>
      <c r="H3" s="554" t="str">
        <f>Head8</f>
        <v>Full Year Forecast</v>
      </c>
      <c r="I3" s="553" t="str">
        <f>Head9</f>
        <v>Budget Year 2021/22</v>
      </c>
      <c r="J3" s="469" t="str">
        <f>Head10</f>
        <v>Budget Year +1 2022/23</v>
      </c>
      <c r="K3" s="471" t="str">
        <f>Head11</f>
        <v>Budget Year +2 2023/24</v>
      </c>
    </row>
    <row r="4" spans="1:12" ht="12.75" customHeight="1" x14ac:dyDescent="0.2">
      <c r="A4" s="65" t="s">
        <v>819</v>
      </c>
      <c r="B4" s="255"/>
      <c r="C4" s="68"/>
      <c r="D4" s="66"/>
      <c r="E4" s="67"/>
      <c r="F4" s="68"/>
      <c r="G4" s="66"/>
      <c r="H4" s="67"/>
      <c r="I4" s="68"/>
      <c r="J4" s="66"/>
      <c r="K4" s="67"/>
    </row>
    <row r="5" spans="1:12" ht="5.0999999999999996" customHeight="1" x14ac:dyDescent="0.2">
      <c r="A5" s="65"/>
      <c r="B5" s="255"/>
      <c r="C5" s="68"/>
      <c r="D5" s="66"/>
      <c r="E5" s="67"/>
      <c r="F5" s="68"/>
      <c r="G5" s="66"/>
      <c r="H5" s="67"/>
      <c r="I5" s="68"/>
      <c r="J5" s="66"/>
      <c r="K5" s="67"/>
    </row>
    <row r="6" spans="1:12" ht="13.35" customHeight="1" x14ac:dyDescent="0.2">
      <c r="A6" s="256" t="s">
        <v>159</v>
      </c>
      <c r="B6" s="257"/>
      <c r="C6" s="145">
        <f>C7+C12+C16+C26+C37+C44+C52+C62+C68</f>
        <v>57563553.820000008</v>
      </c>
      <c r="D6" s="145">
        <f t="shared" ref="D6:K6" si="0">D7+D12+D16+D26+D37+D44+D52+D62+D68</f>
        <v>92664443.909999996</v>
      </c>
      <c r="E6" s="258">
        <f t="shared" si="0"/>
        <v>94701086.409999996</v>
      </c>
      <c r="F6" s="259">
        <f t="shared" si="0"/>
        <v>94948299</v>
      </c>
      <c r="G6" s="145">
        <f t="shared" si="0"/>
        <v>16549037</v>
      </c>
      <c r="H6" s="260">
        <f t="shared" si="0"/>
        <v>16549037</v>
      </c>
      <c r="I6" s="259">
        <f t="shared" si="0"/>
        <v>34611390.498640001</v>
      </c>
      <c r="J6" s="145">
        <f t="shared" si="0"/>
        <v>36397796.567709766</v>
      </c>
      <c r="K6" s="258">
        <f t="shared" si="0"/>
        <v>38297555.394841745</v>
      </c>
      <c r="L6" s="261"/>
    </row>
    <row r="7" spans="1:12" s="262" customFormat="1" ht="13.35" customHeight="1" x14ac:dyDescent="0.25">
      <c r="A7" s="235" t="s">
        <v>849</v>
      </c>
      <c r="B7" s="257"/>
      <c r="C7" s="150">
        <f t="shared" ref="C7:K7" si="1">SUM(C8:C11)</f>
        <v>0</v>
      </c>
      <c r="D7" s="150">
        <f t="shared" si="1"/>
        <v>0</v>
      </c>
      <c r="E7" s="151">
        <f t="shared" si="1"/>
        <v>0</v>
      </c>
      <c r="F7" s="152">
        <f t="shared" si="1"/>
        <v>0</v>
      </c>
      <c r="G7" s="150">
        <f t="shared" si="1"/>
        <v>0</v>
      </c>
      <c r="H7" s="153">
        <f t="shared" si="1"/>
        <v>0</v>
      </c>
      <c r="I7" s="152">
        <f t="shared" si="1"/>
        <v>0</v>
      </c>
      <c r="J7" s="150">
        <f t="shared" si="1"/>
        <v>0</v>
      </c>
      <c r="K7" s="153">
        <f t="shared" si="1"/>
        <v>0</v>
      </c>
      <c r="L7" s="73"/>
    </row>
    <row r="8" spans="1:12" s="262" customFormat="1" ht="13.35" customHeight="1" x14ac:dyDescent="0.25">
      <c r="A8" s="263" t="s">
        <v>504</v>
      </c>
      <c r="B8" s="257"/>
      <c r="C8" s="295"/>
      <c r="D8" s="295"/>
      <c r="E8" s="555"/>
      <c r="F8" s="556"/>
      <c r="G8" s="295"/>
      <c r="H8" s="294"/>
      <c r="I8" s="556"/>
      <c r="J8" s="295"/>
      <c r="K8" s="555"/>
      <c r="L8" s="261"/>
    </row>
    <row r="9" spans="1:12" s="262" customFormat="1" ht="13.35" customHeight="1" x14ac:dyDescent="0.25">
      <c r="A9" s="263" t="s">
        <v>850</v>
      </c>
      <c r="B9" s="257"/>
      <c r="C9" s="295"/>
      <c r="D9" s="295"/>
      <c r="E9" s="555"/>
      <c r="F9" s="556"/>
      <c r="G9" s="295"/>
      <c r="H9" s="294"/>
      <c r="I9" s="556"/>
      <c r="J9" s="295"/>
      <c r="K9" s="555"/>
      <c r="L9" s="265"/>
    </row>
    <row r="10" spans="1:12" s="262" customFormat="1" ht="13.35" customHeight="1" x14ac:dyDescent="0.25">
      <c r="A10" s="263" t="s">
        <v>851</v>
      </c>
      <c r="B10" s="257"/>
      <c r="C10" s="295"/>
      <c r="D10" s="295"/>
      <c r="E10" s="555"/>
      <c r="F10" s="556"/>
      <c r="G10" s="295"/>
      <c r="H10" s="294"/>
      <c r="I10" s="556"/>
      <c r="J10" s="295"/>
      <c r="K10" s="555"/>
      <c r="L10" s="265"/>
    </row>
    <row r="11" spans="1:12" s="262" customFormat="1" ht="13.35" customHeight="1" x14ac:dyDescent="0.25">
      <c r="A11" s="263" t="s">
        <v>852</v>
      </c>
      <c r="B11" s="257"/>
      <c r="C11" s="295"/>
      <c r="D11" s="295"/>
      <c r="E11" s="555"/>
      <c r="F11" s="556"/>
      <c r="G11" s="295"/>
      <c r="H11" s="294"/>
      <c r="I11" s="556"/>
      <c r="J11" s="295"/>
      <c r="K11" s="555"/>
      <c r="L11" s="265"/>
    </row>
    <row r="12" spans="1:12" s="262" customFormat="1" ht="13.35" customHeight="1" x14ac:dyDescent="0.25">
      <c r="A12" s="235" t="s">
        <v>853</v>
      </c>
      <c r="B12" s="257"/>
      <c r="C12" s="155">
        <f>SUM(C13:C15)</f>
        <v>0</v>
      </c>
      <c r="D12" s="155">
        <f t="shared" ref="D12:K12" si="2">SUM(D13:D15)</f>
        <v>0</v>
      </c>
      <c r="E12" s="156">
        <f t="shared" si="2"/>
        <v>0</v>
      </c>
      <c r="F12" s="157">
        <f t="shared" si="2"/>
        <v>0</v>
      </c>
      <c r="G12" s="155">
        <f t="shared" si="2"/>
        <v>0</v>
      </c>
      <c r="H12" s="158">
        <f t="shared" si="2"/>
        <v>0</v>
      </c>
      <c r="I12" s="159">
        <f t="shared" si="2"/>
        <v>0</v>
      </c>
      <c r="J12" s="155">
        <f t="shared" si="2"/>
        <v>0</v>
      </c>
      <c r="K12" s="158">
        <f t="shared" si="2"/>
        <v>0</v>
      </c>
      <c r="L12" s="265"/>
    </row>
    <row r="13" spans="1:12" s="262" customFormat="1" ht="13.35" customHeight="1" x14ac:dyDescent="0.25">
      <c r="A13" s="263" t="s">
        <v>854</v>
      </c>
      <c r="B13" s="257"/>
      <c r="C13" s="295"/>
      <c r="D13" s="295"/>
      <c r="E13" s="296"/>
      <c r="F13" s="297"/>
      <c r="G13" s="295"/>
      <c r="H13" s="298"/>
      <c r="I13" s="557"/>
      <c r="J13" s="295"/>
      <c r="K13" s="298"/>
      <c r="L13" s="265"/>
    </row>
    <row r="14" spans="1:12" s="262" customFormat="1" ht="13.35" customHeight="1" x14ac:dyDescent="0.25">
      <c r="A14" s="263" t="s">
        <v>855</v>
      </c>
      <c r="B14" s="257"/>
      <c r="C14" s="295"/>
      <c r="D14" s="295"/>
      <c r="E14" s="296"/>
      <c r="F14" s="297"/>
      <c r="G14" s="295"/>
      <c r="H14" s="298"/>
      <c r="I14" s="557"/>
      <c r="J14" s="295"/>
      <c r="K14" s="298"/>
      <c r="L14" s="265"/>
    </row>
    <row r="15" spans="1:12" s="262" customFormat="1" ht="13.35" customHeight="1" x14ac:dyDescent="0.25">
      <c r="A15" s="263" t="s">
        <v>856</v>
      </c>
      <c r="B15" s="257"/>
      <c r="C15" s="295"/>
      <c r="D15" s="295"/>
      <c r="E15" s="296"/>
      <c r="F15" s="297"/>
      <c r="G15" s="295"/>
      <c r="H15" s="298"/>
      <c r="I15" s="557"/>
      <c r="J15" s="295"/>
      <c r="K15" s="298"/>
      <c r="L15" s="265"/>
    </row>
    <row r="16" spans="1:12" s="262" customFormat="1" ht="13.35" customHeight="1" x14ac:dyDescent="0.25">
      <c r="A16" s="235" t="s">
        <v>857</v>
      </c>
      <c r="B16" s="257"/>
      <c r="C16" s="155">
        <f t="shared" ref="C16:K16" si="3">SUM(C17:C25)</f>
        <v>57563553.820000008</v>
      </c>
      <c r="D16" s="155">
        <f t="shared" si="3"/>
        <v>92664443.909999996</v>
      </c>
      <c r="E16" s="156">
        <f t="shared" si="3"/>
        <v>94701086.409999996</v>
      </c>
      <c r="F16" s="157">
        <f t="shared" si="3"/>
        <v>94948299</v>
      </c>
      <c r="G16" s="155">
        <f t="shared" si="3"/>
        <v>16549037</v>
      </c>
      <c r="H16" s="158">
        <f t="shared" si="3"/>
        <v>16549037</v>
      </c>
      <c r="I16" s="159">
        <f t="shared" si="3"/>
        <v>34611390.498640001</v>
      </c>
      <c r="J16" s="155">
        <f t="shared" si="3"/>
        <v>36397796.567709766</v>
      </c>
      <c r="K16" s="158">
        <f t="shared" si="3"/>
        <v>38297555.394841745</v>
      </c>
      <c r="L16" s="265"/>
    </row>
    <row r="17" spans="1:12" s="262" customFormat="1" ht="13.35" customHeight="1" x14ac:dyDescent="0.25">
      <c r="A17" s="263" t="s">
        <v>858</v>
      </c>
      <c r="B17" s="257"/>
      <c r="C17" s="295"/>
      <c r="D17" s="295">
        <v>87523953.129999995</v>
      </c>
      <c r="E17" s="296">
        <v>90363424.840000004</v>
      </c>
      <c r="F17" s="297">
        <v>88065143</v>
      </c>
      <c r="G17" s="295">
        <v>934256</v>
      </c>
      <c r="H17" s="298">
        <v>934256</v>
      </c>
      <c r="I17" s="557"/>
      <c r="J17" s="295"/>
      <c r="K17" s="298"/>
      <c r="L17" s="265"/>
    </row>
    <row r="18" spans="1:12" s="262" customFormat="1" ht="13.35" customHeight="1" x14ac:dyDescent="0.25">
      <c r="A18" s="263" t="s">
        <v>859</v>
      </c>
      <c r="B18" s="257"/>
      <c r="C18" s="295">
        <v>41115883.520000003</v>
      </c>
      <c r="D18" s="295">
        <v>5140490.78</v>
      </c>
      <c r="E18" s="296">
        <v>4337661.57</v>
      </c>
      <c r="F18" s="297">
        <v>6883156</v>
      </c>
      <c r="G18" s="295">
        <v>15614781</v>
      </c>
      <c r="H18" s="298">
        <v>15614781</v>
      </c>
      <c r="I18" s="557">
        <v>34611390.498640001</v>
      </c>
      <c r="J18" s="295">
        <v>36397796.567709766</v>
      </c>
      <c r="K18" s="298">
        <v>38297555.394841745</v>
      </c>
      <c r="L18" s="265"/>
    </row>
    <row r="19" spans="1:12" s="262" customFormat="1" ht="13.35" customHeight="1" x14ac:dyDescent="0.25">
      <c r="A19" s="263" t="s">
        <v>860</v>
      </c>
      <c r="B19" s="257"/>
      <c r="C19" s="295"/>
      <c r="D19" s="295"/>
      <c r="E19" s="296"/>
      <c r="F19" s="297"/>
      <c r="G19" s="295"/>
      <c r="H19" s="298"/>
      <c r="I19" s="557"/>
      <c r="J19" s="295"/>
      <c r="K19" s="298"/>
      <c r="L19" s="265"/>
    </row>
    <row r="20" spans="1:12" s="262" customFormat="1" ht="13.35" customHeight="1" x14ac:dyDescent="0.25">
      <c r="A20" s="263" t="s">
        <v>861</v>
      </c>
      <c r="B20" s="257"/>
      <c r="C20" s="295"/>
      <c r="D20" s="295"/>
      <c r="E20" s="296"/>
      <c r="F20" s="297"/>
      <c r="G20" s="295"/>
      <c r="H20" s="298"/>
      <c r="I20" s="557"/>
      <c r="J20" s="295"/>
      <c r="K20" s="298"/>
      <c r="L20" s="265"/>
    </row>
    <row r="21" spans="1:12" s="262" customFormat="1" ht="13.35" customHeight="1" x14ac:dyDescent="0.25">
      <c r="A21" s="263" t="s">
        <v>862</v>
      </c>
      <c r="B21" s="257"/>
      <c r="C21" s="295">
        <v>13335284.300000001</v>
      </c>
      <c r="D21" s="295"/>
      <c r="E21" s="296"/>
      <c r="F21" s="297"/>
      <c r="G21" s="295"/>
      <c r="H21" s="298"/>
      <c r="I21" s="557"/>
      <c r="J21" s="295"/>
      <c r="K21" s="298"/>
      <c r="L21" s="265"/>
    </row>
    <row r="22" spans="1:12" s="262" customFormat="1" ht="13.35" customHeight="1" x14ac:dyDescent="0.25">
      <c r="A22" s="263" t="s">
        <v>863</v>
      </c>
      <c r="B22" s="257"/>
      <c r="C22" s="295"/>
      <c r="D22" s="295"/>
      <c r="E22" s="296"/>
      <c r="F22" s="297"/>
      <c r="G22" s="295"/>
      <c r="H22" s="298"/>
      <c r="I22" s="557"/>
      <c r="J22" s="295"/>
      <c r="K22" s="298"/>
      <c r="L22" s="261"/>
    </row>
    <row r="23" spans="1:12" s="262" customFormat="1" ht="13.35" customHeight="1" x14ac:dyDescent="0.25">
      <c r="A23" s="263" t="s">
        <v>864</v>
      </c>
      <c r="B23" s="257"/>
      <c r="C23" s="295"/>
      <c r="D23" s="295"/>
      <c r="E23" s="296"/>
      <c r="F23" s="297"/>
      <c r="G23" s="295"/>
      <c r="H23" s="298"/>
      <c r="I23" s="557"/>
      <c r="J23" s="295"/>
      <c r="K23" s="298"/>
      <c r="L23" s="265"/>
    </row>
    <row r="24" spans="1:12" s="262" customFormat="1" ht="13.35" customHeight="1" x14ac:dyDescent="0.25">
      <c r="A24" s="263" t="s">
        <v>865</v>
      </c>
      <c r="B24" s="257"/>
      <c r="C24" s="295">
        <v>3112386</v>
      </c>
      <c r="D24" s="295"/>
      <c r="E24" s="296"/>
      <c r="F24" s="297"/>
      <c r="G24" s="295"/>
      <c r="H24" s="298"/>
      <c r="I24" s="557"/>
      <c r="J24" s="295"/>
      <c r="K24" s="298"/>
      <c r="L24" s="265"/>
    </row>
    <row r="25" spans="1:12" s="262" customFormat="1" ht="13.35" customHeight="1" x14ac:dyDescent="0.25">
      <c r="A25" s="263" t="s">
        <v>852</v>
      </c>
      <c r="B25" s="257"/>
      <c r="C25" s="295"/>
      <c r="D25" s="295"/>
      <c r="E25" s="296"/>
      <c r="F25" s="297"/>
      <c r="G25" s="295"/>
      <c r="H25" s="298"/>
      <c r="I25" s="557"/>
      <c r="J25" s="295"/>
      <c r="K25" s="298"/>
      <c r="L25" s="265"/>
    </row>
    <row r="26" spans="1:12" ht="13.35" customHeight="1" x14ac:dyDescent="0.2">
      <c r="A26" s="239" t="s">
        <v>866</v>
      </c>
      <c r="B26" s="266"/>
      <c r="C26" s="155">
        <f>SUM(C27:C36)</f>
        <v>0</v>
      </c>
      <c r="D26" s="155">
        <f t="shared" ref="D26:K26" si="4">SUM(D27:D36)</f>
        <v>0</v>
      </c>
      <c r="E26" s="156">
        <f t="shared" si="4"/>
        <v>0</v>
      </c>
      <c r="F26" s="157">
        <f t="shared" si="4"/>
        <v>0</v>
      </c>
      <c r="G26" s="155">
        <f t="shared" si="4"/>
        <v>0</v>
      </c>
      <c r="H26" s="158">
        <f t="shared" si="4"/>
        <v>0</v>
      </c>
      <c r="I26" s="159">
        <f t="shared" si="4"/>
        <v>0</v>
      </c>
      <c r="J26" s="155">
        <f t="shared" si="4"/>
        <v>0</v>
      </c>
      <c r="K26" s="158">
        <f t="shared" si="4"/>
        <v>0</v>
      </c>
      <c r="L26" s="73"/>
    </row>
    <row r="27" spans="1:12" ht="13.35" customHeight="1" x14ac:dyDescent="0.2">
      <c r="A27" s="263" t="s">
        <v>867</v>
      </c>
      <c r="B27" s="257"/>
      <c r="C27" s="295"/>
      <c r="D27" s="295"/>
      <c r="E27" s="296"/>
      <c r="F27" s="297"/>
      <c r="G27" s="295"/>
      <c r="H27" s="298"/>
      <c r="I27" s="557"/>
      <c r="J27" s="295"/>
      <c r="K27" s="298"/>
      <c r="L27" s="73"/>
    </row>
    <row r="28" spans="1:12" ht="13.35" customHeight="1" x14ac:dyDescent="0.2">
      <c r="A28" s="263" t="s">
        <v>868</v>
      </c>
      <c r="B28" s="257"/>
      <c r="C28" s="295"/>
      <c r="D28" s="295"/>
      <c r="E28" s="296"/>
      <c r="F28" s="297"/>
      <c r="G28" s="295"/>
      <c r="H28" s="298"/>
      <c r="I28" s="557"/>
      <c r="J28" s="295"/>
      <c r="K28" s="298"/>
      <c r="L28" s="265"/>
    </row>
    <row r="29" spans="1:12" ht="13.35" customHeight="1" x14ac:dyDescent="0.2">
      <c r="A29" s="263" t="s">
        <v>869</v>
      </c>
      <c r="B29" s="257"/>
      <c r="C29" s="295"/>
      <c r="D29" s="295"/>
      <c r="E29" s="296"/>
      <c r="F29" s="297"/>
      <c r="G29" s="295"/>
      <c r="H29" s="298"/>
      <c r="I29" s="557"/>
      <c r="J29" s="295"/>
      <c r="K29" s="298"/>
      <c r="L29" s="265"/>
    </row>
    <row r="30" spans="1:12" ht="13.35" customHeight="1" x14ac:dyDescent="0.2">
      <c r="A30" s="263" t="s">
        <v>870</v>
      </c>
      <c r="B30" s="257"/>
      <c r="C30" s="295"/>
      <c r="D30" s="295"/>
      <c r="E30" s="296"/>
      <c r="F30" s="297"/>
      <c r="G30" s="295"/>
      <c r="H30" s="298"/>
      <c r="I30" s="557"/>
      <c r="J30" s="295"/>
      <c r="K30" s="298"/>
      <c r="L30" s="265"/>
    </row>
    <row r="31" spans="1:12" ht="13.35" customHeight="1" x14ac:dyDescent="0.2">
      <c r="A31" s="263" t="s">
        <v>871</v>
      </c>
      <c r="B31" s="257"/>
      <c r="C31" s="295"/>
      <c r="D31" s="295"/>
      <c r="E31" s="296"/>
      <c r="F31" s="297"/>
      <c r="G31" s="295"/>
      <c r="H31" s="298"/>
      <c r="I31" s="557"/>
      <c r="J31" s="295"/>
      <c r="K31" s="298"/>
      <c r="L31" s="265"/>
    </row>
    <row r="32" spans="1:12" ht="13.35" customHeight="1" x14ac:dyDescent="0.2">
      <c r="A32" s="263" t="s">
        <v>872</v>
      </c>
      <c r="B32" s="257"/>
      <c r="C32" s="295"/>
      <c r="D32" s="295"/>
      <c r="E32" s="296"/>
      <c r="F32" s="297"/>
      <c r="G32" s="295"/>
      <c r="H32" s="298"/>
      <c r="I32" s="557"/>
      <c r="J32" s="295"/>
      <c r="K32" s="298"/>
      <c r="L32" s="265"/>
    </row>
    <row r="33" spans="1:15" ht="13.35" customHeight="1" x14ac:dyDescent="0.2">
      <c r="A33" s="263" t="s">
        <v>873</v>
      </c>
      <c r="B33" s="257"/>
      <c r="C33" s="295"/>
      <c r="D33" s="295"/>
      <c r="E33" s="296"/>
      <c r="F33" s="297"/>
      <c r="G33" s="295"/>
      <c r="H33" s="298"/>
      <c r="I33" s="557"/>
      <c r="J33" s="295"/>
      <c r="K33" s="298"/>
      <c r="L33" s="265"/>
    </row>
    <row r="34" spans="1:15" ht="13.35" customHeight="1" x14ac:dyDescent="0.2">
      <c r="A34" s="263" t="s">
        <v>874</v>
      </c>
      <c r="B34" s="257"/>
      <c r="C34" s="295"/>
      <c r="D34" s="295"/>
      <c r="E34" s="296"/>
      <c r="F34" s="297"/>
      <c r="G34" s="295"/>
      <c r="H34" s="298"/>
      <c r="I34" s="557"/>
      <c r="J34" s="295"/>
      <c r="K34" s="298"/>
      <c r="L34" s="265"/>
    </row>
    <row r="35" spans="1:15" ht="13.35" customHeight="1" x14ac:dyDescent="0.2">
      <c r="A35" s="263" t="s">
        <v>875</v>
      </c>
      <c r="B35" s="257"/>
      <c r="C35" s="295"/>
      <c r="D35" s="295"/>
      <c r="E35" s="296"/>
      <c r="F35" s="297"/>
      <c r="G35" s="295"/>
      <c r="H35" s="298"/>
      <c r="I35" s="557"/>
      <c r="J35" s="295"/>
      <c r="K35" s="298"/>
      <c r="L35" s="265"/>
    </row>
    <row r="36" spans="1:15" ht="13.35" customHeight="1" x14ac:dyDescent="0.2">
      <c r="A36" s="263" t="s">
        <v>852</v>
      </c>
      <c r="B36" s="257"/>
      <c r="C36" s="295"/>
      <c r="D36" s="295"/>
      <c r="E36" s="296"/>
      <c r="F36" s="297"/>
      <c r="G36" s="295"/>
      <c r="H36" s="298"/>
      <c r="I36" s="557"/>
      <c r="J36" s="295"/>
      <c r="K36" s="298"/>
      <c r="L36" s="265"/>
    </row>
    <row r="37" spans="1:15" ht="13.35" customHeight="1" x14ac:dyDescent="0.2">
      <c r="A37" s="239" t="s">
        <v>876</v>
      </c>
      <c r="B37" s="257"/>
      <c r="C37" s="155">
        <f>SUM(C38:C43)</f>
        <v>0</v>
      </c>
      <c r="D37" s="155">
        <f t="shared" ref="D37:K37" si="5">SUM(D38:D43)</f>
        <v>0</v>
      </c>
      <c r="E37" s="156">
        <f t="shared" si="5"/>
        <v>0</v>
      </c>
      <c r="F37" s="157">
        <f t="shared" si="5"/>
        <v>0</v>
      </c>
      <c r="G37" s="155">
        <f t="shared" si="5"/>
        <v>0</v>
      </c>
      <c r="H37" s="158">
        <f t="shared" si="5"/>
        <v>0</v>
      </c>
      <c r="I37" s="159">
        <f t="shared" si="5"/>
        <v>0</v>
      </c>
      <c r="J37" s="155">
        <f t="shared" si="5"/>
        <v>0</v>
      </c>
      <c r="K37" s="158">
        <f t="shared" si="5"/>
        <v>0</v>
      </c>
      <c r="L37" s="265"/>
      <c r="O37" s="73"/>
    </row>
    <row r="38" spans="1:15" ht="13.35" customHeight="1" x14ac:dyDescent="0.2">
      <c r="A38" s="263" t="s">
        <v>877</v>
      </c>
      <c r="B38" s="257"/>
      <c r="C38" s="295"/>
      <c r="D38" s="295"/>
      <c r="E38" s="296"/>
      <c r="F38" s="297"/>
      <c r="G38" s="295"/>
      <c r="H38" s="298"/>
      <c r="I38" s="557"/>
      <c r="J38" s="295"/>
      <c r="K38" s="298"/>
      <c r="L38" s="265"/>
    </row>
    <row r="39" spans="1:15" ht="13.35" customHeight="1" x14ac:dyDescent="0.2">
      <c r="A39" s="263" t="s">
        <v>494</v>
      </c>
      <c r="B39" s="257"/>
      <c r="C39" s="295"/>
      <c r="D39" s="295"/>
      <c r="E39" s="296"/>
      <c r="F39" s="297"/>
      <c r="G39" s="295"/>
      <c r="H39" s="298"/>
      <c r="I39" s="557"/>
      <c r="J39" s="295"/>
      <c r="K39" s="298"/>
      <c r="L39" s="265"/>
    </row>
    <row r="40" spans="1:15" ht="13.35" customHeight="1" x14ac:dyDescent="0.2">
      <c r="A40" s="263" t="s">
        <v>878</v>
      </c>
      <c r="B40" s="257"/>
      <c r="C40" s="295"/>
      <c r="D40" s="295"/>
      <c r="E40" s="296"/>
      <c r="F40" s="297"/>
      <c r="G40" s="295"/>
      <c r="H40" s="298"/>
      <c r="I40" s="557"/>
      <c r="J40" s="295"/>
      <c r="K40" s="298"/>
      <c r="L40" s="73"/>
    </row>
    <row r="41" spans="1:15" ht="13.35" customHeight="1" x14ac:dyDescent="0.2">
      <c r="A41" s="263" t="s">
        <v>879</v>
      </c>
      <c r="B41" s="257"/>
      <c r="C41" s="295"/>
      <c r="D41" s="295"/>
      <c r="E41" s="296"/>
      <c r="F41" s="297"/>
      <c r="G41" s="295"/>
      <c r="H41" s="298"/>
      <c r="I41" s="557"/>
      <c r="J41" s="295"/>
      <c r="K41" s="298"/>
      <c r="L41" s="265"/>
    </row>
    <row r="42" spans="1:15" ht="13.35" customHeight="1" x14ac:dyDescent="0.2">
      <c r="A42" s="263" t="s">
        <v>880</v>
      </c>
      <c r="B42" s="257"/>
      <c r="C42" s="295"/>
      <c r="D42" s="295"/>
      <c r="E42" s="296"/>
      <c r="F42" s="297"/>
      <c r="G42" s="295"/>
      <c r="H42" s="298"/>
      <c r="I42" s="557"/>
      <c r="J42" s="295"/>
      <c r="K42" s="298"/>
      <c r="L42" s="73"/>
    </row>
    <row r="43" spans="1:15" ht="13.35" customHeight="1" x14ac:dyDescent="0.2">
      <c r="A43" s="263" t="s">
        <v>852</v>
      </c>
      <c r="B43" s="257"/>
      <c r="C43" s="295"/>
      <c r="D43" s="295"/>
      <c r="E43" s="296"/>
      <c r="F43" s="297"/>
      <c r="G43" s="295"/>
      <c r="H43" s="298"/>
      <c r="I43" s="557"/>
      <c r="J43" s="295"/>
      <c r="K43" s="298"/>
      <c r="L43" s="73"/>
    </row>
    <row r="44" spans="1:15" ht="13.35" customHeight="1" x14ac:dyDescent="0.2">
      <c r="A44" s="239" t="s">
        <v>881</v>
      </c>
      <c r="B44" s="257"/>
      <c r="C44" s="155">
        <f>SUM(C45:C51)</f>
        <v>0</v>
      </c>
      <c r="D44" s="155">
        <f t="shared" ref="D44:K44" si="6">SUM(D45:D51)</f>
        <v>0</v>
      </c>
      <c r="E44" s="156">
        <f t="shared" si="6"/>
        <v>0</v>
      </c>
      <c r="F44" s="157">
        <f t="shared" si="6"/>
        <v>0</v>
      </c>
      <c r="G44" s="155">
        <f t="shared" si="6"/>
        <v>0</v>
      </c>
      <c r="H44" s="158">
        <f t="shared" si="6"/>
        <v>0</v>
      </c>
      <c r="I44" s="159">
        <f t="shared" si="6"/>
        <v>0</v>
      </c>
      <c r="J44" s="155">
        <f t="shared" si="6"/>
        <v>0</v>
      </c>
      <c r="K44" s="158">
        <f t="shared" si="6"/>
        <v>0</v>
      </c>
      <c r="L44" s="73"/>
    </row>
    <row r="45" spans="1:15" ht="13.35" customHeight="1" x14ac:dyDescent="0.2">
      <c r="A45" s="263" t="s">
        <v>882</v>
      </c>
      <c r="B45" s="257"/>
      <c r="C45" s="295"/>
      <c r="D45" s="295"/>
      <c r="E45" s="296"/>
      <c r="F45" s="297"/>
      <c r="G45" s="295"/>
      <c r="H45" s="298"/>
      <c r="I45" s="557"/>
      <c r="J45" s="295"/>
      <c r="K45" s="298"/>
      <c r="L45" s="73"/>
    </row>
    <row r="46" spans="1:15" ht="13.35" customHeight="1" x14ac:dyDescent="0.2">
      <c r="A46" s="263" t="s">
        <v>883</v>
      </c>
      <c r="B46" s="257"/>
      <c r="C46" s="295"/>
      <c r="D46" s="295"/>
      <c r="E46" s="296"/>
      <c r="F46" s="297"/>
      <c r="G46" s="295"/>
      <c r="H46" s="298"/>
      <c r="I46" s="557"/>
      <c r="J46" s="295"/>
      <c r="K46" s="298"/>
      <c r="L46" s="73"/>
    </row>
    <row r="47" spans="1:15" ht="13.35" customHeight="1" x14ac:dyDescent="0.2">
      <c r="A47" s="263" t="s">
        <v>884</v>
      </c>
      <c r="B47" s="257"/>
      <c r="C47" s="295"/>
      <c r="D47" s="295"/>
      <c r="E47" s="296"/>
      <c r="F47" s="297"/>
      <c r="G47" s="295"/>
      <c r="H47" s="298"/>
      <c r="I47" s="557"/>
      <c r="J47" s="295"/>
      <c r="K47" s="298"/>
      <c r="L47" s="73"/>
    </row>
    <row r="48" spans="1:15" ht="13.35" customHeight="1" x14ac:dyDescent="0.2">
      <c r="A48" s="263" t="s">
        <v>885</v>
      </c>
      <c r="B48" s="257"/>
      <c r="C48" s="295"/>
      <c r="D48" s="295"/>
      <c r="E48" s="296"/>
      <c r="F48" s="297"/>
      <c r="G48" s="295"/>
      <c r="H48" s="298"/>
      <c r="I48" s="557"/>
      <c r="J48" s="295"/>
      <c r="K48" s="298"/>
      <c r="L48" s="265"/>
    </row>
    <row r="49" spans="1:12" ht="13.35" customHeight="1" x14ac:dyDescent="0.2">
      <c r="A49" s="263" t="s">
        <v>886</v>
      </c>
      <c r="B49" s="257"/>
      <c r="C49" s="295"/>
      <c r="D49" s="295"/>
      <c r="E49" s="296"/>
      <c r="F49" s="297"/>
      <c r="G49" s="295"/>
      <c r="H49" s="298"/>
      <c r="I49" s="557"/>
      <c r="J49" s="295"/>
      <c r="K49" s="298"/>
      <c r="L49" s="73"/>
    </row>
    <row r="50" spans="1:12" ht="13.35" customHeight="1" x14ac:dyDescent="0.2">
      <c r="A50" s="263" t="s">
        <v>887</v>
      </c>
      <c r="B50" s="257"/>
      <c r="C50" s="295"/>
      <c r="D50" s="295"/>
      <c r="E50" s="296"/>
      <c r="F50" s="297"/>
      <c r="G50" s="295"/>
      <c r="H50" s="298"/>
      <c r="I50" s="557"/>
      <c r="J50" s="295"/>
      <c r="K50" s="298"/>
      <c r="L50" s="73"/>
    </row>
    <row r="51" spans="1:12" ht="13.35" customHeight="1" x14ac:dyDescent="0.2">
      <c r="A51" s="263" t="s">
        <v>852</v>
      </c>
      <c r="B51" s="257"/>
      <c r="C51" s="295"/>
      <c r="D51" s="295"/>
      <c r="E51" s="296"/>
      <c r="F51" s="297"/>
      <c r="G51" s="295"/>
      <c r="H51" s="298"/>
      <c r="I51" s="557"/>
      <c r="J51" s="295"/>
      <c r="K51" s="298"/>
      <c r="L51" s="73"/>
    </row>
    <row r="52" spans="1:12" ht="13.35" customHeight="1" x14ac:dyDescent="0.2">
      <c r="A52" s="235" t="s">
        <v>888</v>
      </c>
      <c r="B52" s="257"/>
      <c r="C52" s="155">
        <f t="shared" ref="C52:K52" si="7">SUM(C53:C61)</f>
        <v>0</v>
      </c>
      <c r="D52" s="155">
        <f t="shared" si="7"/>
        <v>0</v>
      </c>
      <c r="E52" s="156">
        <f t="shared" si="7"/>
        <v>0</v>
      </c>
      <c r="F52" s="157">
        <f t="shared" si="7"/>
        <v>0</v>
      </c>
      <c r="G52" s="155">
        <f t="shared" si="7"/>
        <v>0</v>
      </c>
      <c r="H52" s="158">
        <f t="shared" si="7"/>
        <v>0</v>
      </c>
      <c r="I52" s="159">
        <f t="shared" si="7"/>
        <v>0</v>
      </c>
      <c r="J52" s="155">
        <f t="shared" si="7"/>
        <v>0</v>
      </c>
      <c r="K52" s="158">
        <f t="shared" si="7"/>
        <v>0</v>
      </c>
      <c r="L52" s="265"/>
    </row>
    <row r="53" spans="1:12" ht="13.35" customHeight="1" x14ac:dyDescent="0.2">
      <c r="A53" s="263" t="s">
        <v>889</v>
      </c>
      <c r="B53" s="257"/>
      <c r="C53" s="295"/>
      <c r="D53" s="295"/>
      <c r="E53" s="296"/>
      <c r="F53" s="297"/>
      <c r="G53" s="295"/>
      <c r="H53" s="298"/>
      <c r="I53" s="557"/>
      <c r="J53" s="295"/>
      <c r="K53" s="298"/>
      <c r="L53" s="73"/>
    </row>
    <row r="54" spans="1:12" ht="13.35" customHeight="1" x14ac:dyDescent="0.2">
      <c r="A54" s="263" t="s">
        <v>890</v>
      </c>
      <c r="B54" s="257"/>
      <c r="C54" s="295"/>
      <c r="D54" s="295"/>
      <c r="E54" s="296"/>
      <c r="F54" s="297"/>
      <c r="G54" s="295"/>
      <c r="H54" s="298"/>
      <c r="I54" s="557"/>
      <c r="J54" s="295"/>
      <c r="K54" s="298"/>
      <c r="L54" s="265"/>
    </row>
    <row r="55" spans="1:12" ht="13.35" customHeight="1" x14ac:dyDescent="0.2">
      <c r="A55" s="263" t="s">
        <v>891</v>
      </c>
      <c r="B55" s="257"/>
      <c r="C55" s="295"/>
      <c r="D55" s="295"/>
      <c r="E55" s="296"/>
      <c r="F55" s="297"/>
      <c r="G55" s="295"/>
      <c r="H55" s="298"/>
      <c r="I55" s="557"/>
      <c r="J55" s="295"/>
      <c r="K55" s="298"/>
      <c r="L55" s="265"/>
    </row>
    <row r="56" spans="1:12" ht="13.35" customHeight="1" x14ac:dyDescent="0.2">
      <c r="A56" s="263" t="s">
        <v>854</v>
      </c>
      <c r="B56" s="257"/>
      <c r="C56" s="295"/>
      <c r="D56" s="295"/>
      <c r="E56" s="296"/>
      <c r="F56" s="297"/>
      <c r="G56" s="295"/>
      <c r="H56" s="298"/>
      <c r="I56" s="557"/>
      <c r="J56" s="295"/>
      <c r="K56" s="298"/>
      <c r="L56" s="265"/>
    </row>
    <row r="57" spans="1:12" ht="13.35" customHeight="1" x14ac:dyDescent="0.2">
      <c r="A57" s="263" t="s">
        <v>855</v>
      </c>
      <c r="B57" s="257"/>
      <c r="C57" s="295"/>
      <c r="D57" s="295"/>
      <c r="E57" s="296"/>
      <c r="F57" s="297"/>
      <c r="G57" s="295"/>
      <c r="H57" s="298"/>
      <c r="I57" s="557"/>
      <c r="J57" s="295"/>
      <c r="K57" s="298"/>
      <c r="L57" s="265"/>
    </row>
    <row r="58" spans="1:12" ht="13.35" customHeight="1" x14ac:dyDescent="0.2">
      <c r="A58" s="263" t="s">
        <v>856</v>
      </c>
      <c r="B58" s="257"/>
      <c r="C58" s="295"/>
      <c r="D58" s="295"/>
      <c r="E58" s="296"/>
      <c r="F58" s="297"/>
      <c r="G58" s="295"/>
      <c r="H58" s="298"/>
      <c r="I58" s="557"/>
      <c r="J58" s="295"/>
      <c r="K58" s="298"/>
      <c r="L58" s="261"/>
    </row>
    <row r="59" spans="1:12" ht="13.35" customHeight="1" x14ac:dyDescent="0.2">
      <c r="A59" s="263" t="s">
        <v>862</v>
      </c>
      <c r="B59" s="257"/>
      <c r="C59" s="295"/>
      <c r="D59" s="295"/>
      <c r="E59" s="296"/>
      <c r="F59" s="297"/>
      <c r="G59" s="295"/>
      <c r="H59" s="298"/>
      <c r="I59" s="557"/>
      <c r="J59" s="295"/>
      <c r="K59" s="298"/>
      <c r="L59" s="265"/>
    </row>
    <row r="60" spans="1:12" ht="13.35" customHeight="1" x14ac:dyDescent="0.2">
      <c r="A60" s="263" t="s">
        <v>865</v>
      </c>
      <c r="B60" s="257"/>
      <c r="C60" s="295"/>
      <c r="D60" s="295"/>
      <c r="E60" s="296"/>
      <c r="F60" s="297"/>
      <c r="G60" s="295"/>
      <c r="H60" s="298"/>
      <c r="I60" s="557"/>
      <c r="J60" s="295"/>
      <c r="K60" s="298"/>
      <c r="L60" s="265"/>
    </row>
    <row r="61" spans="1:12" ht="13.35" customHeight="1" x14ac:dyDescent="0.2">
      <c r="A61" s="263" t="s">
        <v>852</v>
      </c>
      <c r="B61" s="257"/>
      <c r="C61" s="295"/>
      <c r="D61" s="295"/>
      <c r="E61" s="296"/>
      <c r="F61" s="297"/>
      <c r="G61" s="295"/>
      <c r="H61" s="298"/>
      <c r="I61" s="557"/>
      <c r="J61" s="295"/>
      <c r="K61" s="298"/>
      <c r="L61" s="265"/>
    </row>
    <row r="62" spans="1:12" ht="13.35" customHeight="1" x14ac:dyDescent="0.2">
      <c r="A62" s="239" t="s">
        <v>892</v>
      </c>
      <c r="B62" s="257"/>
      <c r="C62" s="155">
        <f>SUM(C63:C67)</f>
        <v>0</v>
      </c>
      <c r="D62" s="155">
        <f t="shared" ref="D62:K62" si="8">SUM(D63:D67)</f>
        <v>0</v>
      </c>
      <c r="E62" s="156">
        <f t="shared" si="8"/>
        <v>0</v>
      </c>
      <c r="F62" s="157">
        <f t="shared" si="8"/>
        <v>0</v>
      </c>
      <c r="G62" s="155">
        <f t="shared" si="8"/>
        <v>0</v>
      </c>
      <c r="H62" s="158">
        <f t="shared" si="8"/>
        <v>0</v>
      </c>
      <c r="I62" s="159">
        <f t="shared" si="8"/>
        <v>0</v>
      </c>
      <c r="J62" s="155">
        <f t="shared" si="8"/>
        <v>0</v>
      </c>
      <c r="K62" s="158">
        <f t="shared" si="8"/>
        <v>0</v>
      </c>
      <c r="L62" s="265"/>
    </row>
    <row r="63" spans="1:12" ht="13.35" customHeight="1" x14ac:dyDescent="0.2">
      <c r="A63" s="263" t="s">
        <v>893</v>
      </c>
      <c r="B63" s="257"/>
      <c r="C63" s="295"/>
      <c r="D63" s="295"/>
      <c r="E63" s="296"/>
      <c r="F63" s="297"/>
      <c r="G63" s="295"/>
      <c r="H63" s="298"/>
      <c r="I63" s="557"/>
      <c r="J63" s="295"/>
      <c r="K63" s="298"/>
      <c r="L63" s="265"/>
    </row>
    <row r="64" spans="1:12" ht="13.35" customHeight="1" x14ac:dyDescent="0.2">
      <c r="A64" s="263" t="s">
        <v>894</v>
      </c>
      <c r="B64" s="257"/>
      <c r="C64" s="295"/>
      <c r="D64" s="295"/>
      <c r="E64" s="296"/>
      <c r="F64" s="297"/>
      <c r="G64" s="295"/>
      <c r="H64" s="298"/>
      <c r="I64" s="557"/>
      <c r="J64" s="295"/>
      <c r="K64" s="298"/>
      <c r="L64" s="73"/>
    </row>
    <row r="65" spans="1:12" ht="13.35" customHeight="1" x14ac:dyDescent="0.2">
      <c r="A65" s="263" t="s">
        <v>895</v>
      </c>
      <c r="B65" s="257"/>
      <c r="C65" s="295"/>
      <c r="D65" s="295"/>
      <c r="E65" s="296"/>
      <c r="F65" s="297"/>
      <c r="G65" s="295"/>
      <c r="H65" s="298"/>
      <c r="I65" s="557"/>
      <c r="J65" s="295"/>
      <c r="K65" s="298"/>
      <c r="L65" s="73"/>
    </row>
    <row r="66" spans="1:12" ht="13.35" customHeight="1" x14ac:dyDescent="0.2">
      <c r="A66" s="263" t="s">
        <v>896</v>
      </c>
      <c r="B66" s="257"/>
      <c r="C66" s="295"/>
      <c r="D66" s="295"/>
      <c r="E66" s="296"/>
      <c r="F66" s="297"/>
      <c r="G66" s="295"/>
      <c r="H66" s="298"/>
      <c r="I66" s="557"/>
      <c r="J66" s="295"/>
      <c r="K66" s="298"/>
      <c r="L66" s="73"/>
    </row>
    <row r="67" spans="1:12" ht="13.35" customHeight="1" x14ac:dyDescent="0.2">
      <c r="A67" s="263" t="s">
        <v>852</v>
      </c>
      <c r="B67" s="257"/>
      <c r="C67" s="295"/>
      <c r="D67" s="295"/>
      <c r="E67" s="296"/>
      <c r="F67" s="297"/>
      <c r="G67" s="295"/>
      <c r="H67" s="298"/>
      <c r="I67" s="557"/>
      <c r="J67" s="295"/>
      <c r="K67" s="298"/>
      <c r="L67" s="73"/>
    </row>
    <row r="68" spans="1:12" ht="13.35" customHeight="1" x14ac:dyDescent="0.2">
      <c r="A68" s="235" t="s">
        <v>897</v>
      </c>
      <c r="B68" s="257"/>
      <c r="C68" s="155">
        <f>SUM(C69:C72)</f>
        <v>0</v>
      </c>
      <c r="D68" s="155">
        <f t="shared" ref="D68:K68" si="9">SUM(D69:D72)</f>
        <v>0</v>
      </c>
      <c r="E68" s="155">
        <f t="shared" si="9"/>
        <v>0</v>
      </c>
      <c r="F68" s="157">
        <f t="shared" si="9"/>
        <v>0</v>
      </c>
      <c r="G68" s="155">
        <f t="shared" si="9"/>
        <v>0</v>
      </c>
      <c r="H68" s="158">
        <f t="shared" si="9"/>
        <v>0</v>
      </c>
      <c r="I68" s="159">
        <f t="shared" si="9"/>
        <v>0</v>
      </c>
      <c r="J68" s="155">
        <f t="shared" si="9"/>
        <v>0</v>
      </c>
      <c r="K68" s="158">
        <f t="shared" si="9"/>
        <v>0</v>
      </c>
      <c r="L68" s="73"/>
    </row>
    <row r="69" spans="1:12" ht="13.35" customHeight="1" x14ac:dyDescent="0.2">
      <c r="A69" s="263" t="s">
        <v>898</v>
      </c>
      <c r="B69" s="257"/>
      <c r="C69" s="295"/>
      <c r="D69" s="295"/>
      <c r="E69" s="294"/>
      <c r="F69" s="556"/>
      <c r="G69" s="295"/>
      <c r="H69" s="294"/>
      <c r="I69" s="556"/>
      <c r="J69" s="295"/>
      <c r="K69" s="298"/>
      <c r="L69" s="73"/>
    </row>
    <row r="70" spans="1:12" ht="13.35" customHeight="1" x14ac:dyDescent="0.2">
      <c r="A70" s="263" t="s">
        <v>899</v>
      </c>
      <c r="B70" s="257"/>
      <c r="C70" s="295"/>
      <c r="D70" s="295"/>
      <c r="E70" s="555"/>
      <c r="F70" s="556"/>
      <c r="G70" s="295"/>
      <c r="H70" s="294"/>
      <c r="I70" s="556"/>
      <c r="J70" s="295"/>
      <c r="K70" s="298"/>
      <c r="L70" s="73"/>
    </row>
    <row r="71" spans="1:12" ht="13.35" customHeight="1" x14ac:dyDescent="0.2">
      <c r="A71" s="263" t="s">
        <v>900</v>
      </c>
      <c r="B71" s="257"/>
      <c r="C71" s="295"/>
      <c r="D71" s="295"/>
      <c r="E71" s="555"/>
      <c r="F71" s="556"/>
      <c r="G71" s="295"/>
      <c r="H71" s="294"/>
      <c r="I71" s="556"/>
      <c r="J71" s="295"/>
      <c r="K71" s="555"/>
      <c r="L71" s="73"/>
    </row>
    <row r="72" spans="1:12" ht="13.35" customHeight="1" x14ac:dyDescent="0.2">
      <c r="A72" s="263" t="s">
        <v>852</v>
      </c>
      <c r="B72" s="257"/>
      <c r="C72" s="295"/>
      <c r="D72" s="295"/>
      <c r="E72" s="555"/>
      <c r="F72" s="556"/>
      <c r="G72" s="295"/>
      <c r="H72" s="294"/>
      <c r="I72" s="556"/>
      <c r="J72" s="295"/>
      <c r="K72" s="555"/>
      <c r="L72" s="73"/>
    </row>
    <row r="73" spans="1:12" ht="5.0999999999999996" customHeight="1" x14ac:dyDescent="0.2">
      <c r="A73" s="267"/>
      <c r="B73" s="257"/>
      <c r="C73" s="66"/>
      <c r="D73" s="66"/>
      <c r="E73" s="268"/>
      <c r="F73" s="269"/>
      <c r="G73" s="66"/>
      <c r="H73" s="270"/>
      <c r="I73" s="269"/>
      <c r="J73" s="66"/>
      <c r="K73" s="268"/>
      <c r="L73" s="73"/>
    </row>
    <row r="74" spans="1:12" ht="13.35" customHeight="1" x14ac:dyDescent="0.2">
      <c r="A74" s="256" t="s">
        <v>901</v>
      </c>
      <c r="B74" s="257"/>
      <c r="C74" s="145">
        <f>C75+C98</f>
        <v>0</v>
      </c>
      <c r="D74" s="145">
        <f t="shared" ref="D74:K74" si="10">D75+D98</f>
        <v>0</v>
      </c>
      <c r="E74" s="258">
        <f t="shared" si="10"/>
        <v>0</v>
      </c>
      <c r="F74" s="259">
        <f t="shared" si="10"/>
        <v>0</v>
      </c>
      <c r="G74" s="145">
        <f t="shared" si="10"/>
        <v>0</v>
      </c>
      <c r="H74" s="260">
        <f t="shared" si="10"/>
        <v>0</v>
      </c>
      <c r="I74" s="259">
        <f t="shared" si="10"/>
        <v>0</v>
      </c>
      <c r="J74" s="145">
        <f t="shared" si="10"/>
        <v>0</v>
      </c>
      <c r="K74" s="258">
        <f t="shared" si="10"/>
        <v>0</v>
      </c>
      <c r="L74" s="73"/>
    </row>
    <row r="75" spans="1:12" ht="13.35" customHeight="1" x14ac:dyDescent="0.2">
      <c r="A75" s="235" t="s">
        <v>902</v>
      </c>
      <c r="B75" s="257"/>
      <c r="C75" s="150">
        <f>SUM(C76:C97)</f>
        <v>0</v>
      </c>
      <c r="D75" s="150">
        <f t="shared" ref="D75:K75" si="11">SUM(D76:D97)</f>
        <v>0</v>
      </c>
      <c r="E75" s="151">
        <f t="shared" si="11"/>
        <v>0</v>
      </c>
      <c r="F75" s="152">
        <f t="shared" si="11"/>
        <v>0</v>
      </c>
      <c r="G75" s="150">
        <f t="shared" si="11"/>
        <v>0</v>
      </c>
      <c r="H75" s="153">
        <f t="shared" si="11"/>
        <v>0</v>
      </c>
      <c r="I75" s="152">
        <f t="shared" si="11"/>
        <v>0</v>
      </c>
      <c r="J75" s="150">
        <f t="shared" si="11"/>
        <v>0</v>
      </c>
      <c r="K75" s="153">
        <f t="shared" si="11"/>
        <v>0</v>
      </c>
      <c r="L75" s="73"/>
    </row>
    <row r="76" spans="1:12" ht="13.35" customHeight="1" x14ac:dyDescent="0.2">
      <c r="A76" s="263" t="s">
        <v>903</v>
      </c>
      <c r="B76" s="257"/>
      <c r="C76" s="295"/>
      <c r="D76" s="295"/>
      <c r="E76" s="555"/>
      <c r="F76" s="556"/>
      <c r="G76" s="295"/>
      <c r="H76" s="294"/>
      <c r="I76" s="556"/>
      <c r="J76" s="295"/>
      <c r="K76" s="555"/>
      <c r="L76" s="73"/>
    </row>
    <row r="77" spans="1:12" ht="13.35" customHeight="1" x14ac:dyDescent="0.2">
      <c r="A77" s="263" t="s">
        <v>904</v>
      </c>
      <c r="B77" s="257"/>
      <c r="C77" s="295"/>
      <c r="D77" s="295"/>
      <c r="E77" s="555"/>
      <c r="F77" s="556"/>
      <c r="G77" s="295"/>
      <c r="H77" s="294"/>
      <c r="I77" s="556"/>
      <c r="J77" s="295"/>
      <c r="K77" s="555"/>
      <c r="L77" s="73"/>
    </row>
    <row r="78" spans="1:12" ht="13.35" customHeight="1" x14ac:dyDescent="0.2">
      <c r="A78" s="263" t="s">
        <v>905</v>
      </c>
      <c r="B78" s="257"/>
      <c r="C78" s="295"/>
      <c r="D78" s="295"/>
      <c r="E78" s="555"/>
      <c r="F78" s="556"/>
      <c r="G78" s="295"/>
      <c r="H78" s="294"/>
      <c r="I78" s="556"/>
      <c r="J78" s="295"/>
      <c r="K78" s="555"/>
      <c r="L78" s="73"/>
    </row>
    <row r="79" spans="1:12" ht="13.35" customHeight="1" x14ac:dyDescent="0.2">
      <c r="A79" s="263" t="s">
        <v>906</v>
      </c>
      <c r="B79" s="257"/>
      <c r="C79" s="295"/>
      <c r="D79" s="295"/>
      <c r="E79" s="555"/>
      <c r="F79" s="556"/>
      <c r="G79" s="295"/>
      <c r="H79" s="294"/>
      <c r="I79" s="556"/>
      <c r="J79" s="295"/>
      <c r="K79" s="555"/>
      <c r="L79" s="73"/>
    </row>
    <row r="80" spans="1:12" ht="13.35" customHeight="1" x14ac:dyDescent="0.2">
      <c r="A80" s="263" t="s">
        <v>907</v>
      </c>
      <c r="B80" s="257"/>
      <c r="C80" s="295"/>
      <c r="D80" s="295"/>
      <c r="E80" s="555"/>
      <c r="F80" s="556"/>
      <c r="G80" s="295"/>
      <c r="H80" s="294"/>
      <c r="I80" s="556"/>
      <c r="J80" s="295"/>
      <c r="K80" s="555"/>
      <c r="L80" s="73"/>
    </row>
    <row r="81" spans="1:12" ht="13.35" customHeight="1" x14ac:dyDescent="0.2">
      <c r="A81" s="263" t="s">
        <v>908</v>
      </c>
      <c r="B81" s="257"/>
      <c r="C81" s="295"/>
      <c r="D81" s="295"/>
      <c r="E81" s="555"/>
      <c r="F81" s="556"/>
      <c r="G81" s="295"/>
      <c r="H81" s="294"/>
      <c r="I81" s="556"/>
      <c r="J81" s="295"/>
      <c r="K81" s="555"/>
      <c r="L81" s="73"/>
    </row>
    <row r="82" spans="1:12" ht="13.35" customHeight="1" x14ac:dyDescent="0.2">
      <c r="A82" s="263" t="s">
        <v>909</v>
      </c>
      <c r="B82" s="257"/>
      <c r="C82" s="295"/>
      <c r="D82" s="295"/>
      <c r="E82" s="555"/>
      <c r="F82" s="556"/>
      <c r="G82" s="295"/>
      <c r="H82" s="294"/>
      <c r="I82" s="556"/>
      <c r="J82" s="295"/>
      <c r="K82" s="555"/>
      <c r="L82" s="73"/>
    </row>
    <row r="83" spans="1:12" ht="13.35" customHeight="1" x14ac:dyDescent="0.2">
      <c r="A83" s="263" t="s">
        <v>910</v>
      </c>
      <c r="B83" s="257"/>
      <c r="C83" s="295"/>
      <c r="D83" s="295"/>
      <c r="E83" s="555"/>
      <c r="F83" s="556"/>
      <c r="G83" s="295"/>
      <c r="H83" s="294"/>
      <c r="I83" s="556"/>
      <c r="J83" s="295"/>
      <c r="K83" s="555"/>
      <c r="L83" s="73"/>
    </row>
    <row r="84" spans="1:12" ht="13.35" customHeight="1" x14ac:dyDescent="0.2">
      <c r="A84" s="263" t="s">
        <v>911</v>
      </c>
      <c r="B84" s="257"/>
      <c r="C84" s="295"/>
      <c r="D84" s="295"/>
      <c r="E84" s="555"/>
      <c r="F84" s="556"/>
      <c r="G84" s="295"/>
      <c r="H84" s="294"/>
      <c r="I84" s="556"/>
      <c r="J84" s="295"/>
      <c r="K84" s="555"/>
      <c r="L84" s="271"/>
    </row>
    <row r="85" spans="1:12" ht="13.35" customHeight="1" x14ac:dyDescent="0.2">
      <c r="A85" s="263" t="s">
        <v>88</v>
      </c>
      <c r="B85" s="257"/>
      <c r="C85" s="295"/>
      <c r="D85" s="295"/>
      <c r="E85" s="555"/>
      <c r="F85" s="556"/>
      <c r="G85" s="295"/>
      <c r="H85" s="294"/>
      <c r="I85" s="556"/>
      <c r="J85" s="295"/>
      <c r="K85" s="555"/>
    </row>
    <row r="86" spans="1:12" ht="13.35" customHeight="1" x14ac:dyDescent="0.2">
      <c r="A86" s="263" t="s">
        <v>912</v>
      </c>
      <c r="B86" s="257"/>
      <c r="C86" s="295"/>
      <c r="D86" s="295"/>
      <c r="E86" s="555"/>
      <c r="F86" s="556"/>
      <c r="G86" s="295"/>
      <c r="H86" s="294"/>
      <c r="I86" s="556"/>
      <c r="J86" s="295"/>
      <c r="K86" s="555"/>
    </row>
    <row r="87" spans="1:12" ht="13.35" customHeight="1" x14ac:dyDescent="0.2">
      <c r="A87" s="263" t="s">
        <v>913</v>
      </c>
      <c r="B87" s="257"/>
      <c r="C87" s="295"/>
      <c r="D87" s="295"/>
      <c r="E87" s="555"/>
      <c r="F87" s="556"/>
      <c r="G87" s="295"/>
      <c r="H87" s="294"/>
      <c r="I87" s="556"/>
      <c r="J87" s="295"/>
      <c r="K87" s="555"/>
    </row>
    <row r="88" spans="1:12" ht="13.35" customHeight="1" x14ac:dyDescent="0.2">
      <c r="A88" s="263" t="s">
        <v>1012</v>
      </c>
      <c r="B88" s="257"/>
      <c r="C88" s="295"/>
      <c r="D88" s="295"/>
      <c r="E88" s="555"/>
      <c r="F88" s="556"/>
      <c r="G88" s="295"/>
      <c r="H88" s="294"/>
      <c r="I88" s="556"/>
      <c r="J88" s="295"/>
      <c r="K88" s="555"/>
    </row>
    <row r="89" spans="1:12" ht="13.35" customHeight="1" x14ac:dyDescent="0.2">
      <c r="A89" s="263" t="s">
        <v>914</v>
      </c>
      <c r="B89" s="257"/>
      <c r="C89" s="295"/>
      <c r="D89" s="295"/>
      <c r="E89" s="555"/>
      <c r="F89" s="556"/>
      <c r="G89" s="295"/>
      <c r="H89" s="294"/>
      <c r="I89" s="556"/>
      <c r="J89" s="295"/>
      <c r="K89" s="555"/>
    </row>
    <row r="90" spans="1:12" ht="13.35" customHeight="1" x14ac:dyDescent="0.2">
      <c r="A90" s="263" t="s">
        <v>915</v>
      </c>
      <c r="B90" s="257"/>
      <c r="C90" s="295"/>
      <c r="D90" s="295"/>
      <c r="E90" s="555"/>
      <c r="F90" s="556"/>
      <c r="G90" s="295"/>
      <c r="H90" s="294"/>
      <c r="I90" s="556"/>
      <c r="J90" s="295"/>
      <c r="K90" s="555"/>
    </row>
    <row r="91" spans="1:12" ht="13.35" customHeight="1" x14ac:dyDescent="0.2">
      <c r="A91" s="263" t="s">
        <v>916</v>
      </c>
      <c r="B91" s="257"/>
      <c r="C91" s="295"/>
      <c r="D91" s="295"/>
      <c r="E91" s="555"/>
      <c r="F91" s="556"/>
      <c r="G91" s="295"/>
      <c r="H91" s="294"/>
      <c r="I91" s="556"/>
      <c r="J91" s="295"/>
      <c r="K91" s="555"/>
    </row>
    <row r="92" spans="1:12" ht="13.35" customHeight="1" x14ac:dyDescent="0.2">
      <c r="A92" s="263" t="s">
        <v>11</v>
      </c>
      <c r="B92" s="257"/>
      <c r="C92" s="295"/>
      <c r="D92" s="295"/>
      <c r="E92" s="555"/>
      <c r="F92" s="556"/>
      <c r="G92" s="295"/>
      <c r="H92" s="294"/>
      <c r="I92" s="556"/>
      <c r="J92" s="295"/>
      <c r="K92" s="555"/>
    </row>
    <row r="93" spans="1:12" ht="13.35" customHeight="1" x14ac:dyDescent="0.2">
      <c r="A93" s="263" t="s">
        <v>917</v>
      </c>
      <c r="B93" s="257"/>
      <c r="C93" s="295"/>
      <c r="D93" s="295"/>
      <c r="E93" s="555"/>
      <c r="F93" s="556"/>
      <c r="G93" s="295"/>
      <c r="H93" s="294"/>
      <c r="I93" s="556"/>
      <c r="J93" s="295"/>
      <c r="K93" s="555"/>
    </row>
    <row r="94" spans="1:12" ht="13.35" customHeight="1" x14ac:dyDescent="0.2">
      <c r="A94" s="263" t="s">
        <v>10</v>
      </c>
      <c r="B94" s="257"/>
      <c r="C94" s="295"/>
      <c r="D94" s="295"/>
      <c r="E94" s="555"/>
      <c r="F94" s="556"/>
      <c r="G94" s="295"/>
      <c r="H94" s="294"/>
      <c r="I94" s="556"/>
      <c r="J94" s="295"/>
      <c r="K94" s="555"/>
    </row>
    <row r="95" spans="1:12" ht="13.35" customHeight="1" x14ac:dyDescent="0.2">
      <c r="A95" s="263" t="s">
        <v>918</v>
      </c>
      <c r="B95" s="257"/>
      <c r="C95" s="295"/>
      <c r="D95" s="295"/>
      <c r="E95" s="555"/>
      <c r="F95" s="556"/>
      <c r="G95" s="295"/>
      <c r="H95" s="294"/>
      <c r="I95" s="556"/>
      <c r="J95" s="295"/>
      <c r="K95" s="555"/>
    </row>
    <row r="96" spans="1:12" ht="13.35" customHeight="1" x14ac:dyDescent="0.2">
      <c r="A96" s="263" t="s">
        <v>919</v>
      </c>
      <c r="B96" s="257"/>
      <c r="C96" s="295"/>
      <c r="D96" s="295"/>
      <c r="E96" s="555"/>
      <c r="F96" s="556"/>
      <c r="G96" s="295"/>
      <c r="H96" s="294"/>
      <c r="I96" s="556"/>
      <c r="J96" s="295"/>
      <c r="K96" s="555"/>
    </row>
    <row r="97" spans="1:11" ht="13.35" customHeight="1" x14ac:dyDescent="0.2">
      <c r="A97" s="263" t="s">
        <v>852</v>
      </c>
      <c r="B97" s="257"/>
      <c r="C97" s="295"/>
      <c r="D97" s="295"/>
      <c r="E97" s="555"/>
      <c r="F97" s="556"/>
      <c r="G97" s="295"/>
      <c r="H97" s="294"/>
      <c r="I97" s="556"/>
      <c r="J97" s="295"/>
      <c r="K97" s="555"/>
    </row>
    <row r="98" spans="1:11" ht="13.35" customHeight="1" x14ac:dyDescent="0.2">
      <c r="A98" s="235" t="s">
        <v>920</v>
      </c>
      <c r="B98" s="257"/>
      <c r="C98" s="155">
        <f>SUM(C99:C101)</f>
        <v>0</v>
      </c>
      <c r="D98" s="155">
        <f t="shared" ref="D98:K98" si="12">SUM(D99:D101)</f>
        <v>0</v>
      </c>
      <c r="E98" s="155">
        <f t="shared" si="12"/>
        <v>0</v>
      </c>
      <c r="F98" s="157">
        <f t="shared" si="12"/>
        <v>0</v>
      </c>
      <c r="G98" s="155">
        <f t="shared" si="12"/>
        <v>0</v>
      </c>
      <c r="H98" s="158">
        <f t="shared" si="12"/>
        <v>0</v>
      </c>
      <c r="I98" s="159">
        <f t="shared" si="12"/>
        <v>0</v>
      </c>
      <c r="J98" s="155">
        <f t="shared" si="12"/>
        <v>0</v>
      </c>
      <c r="K98" s="158">
        <f t="shared" si="12"/>
        <v>0</v>
      </c>
    </row>
    <row r="99" spans="1:11" ht="13.35" customHeight="1" x14ac:dyDescent="0.2">
      <c r="A99" s="263" t="s">
        <v>921</v>
      </c>
      <c r="B99" s="257"/>
      <c r="C99" s="295"/>
      <c r="D99" s="295"/>
      <c r="E99" s="294"/>
      <c r="F99" s="556"/>
      <c r="G99" s="295"/>
      <c r="H99" s="294"/>
      <c r="I99" s="556"/>
      <c r="J99" s="295"/>
      <c r="K99" s="298"/>
    </row>
    <row r="100" spans="1:11" ht="13.35" customHeight="1" x14ac:dyDescent="0.2">
      <c r="A100" s="263" t="s">
        <v>922</v>
      </c>
      <c r="B100" s="257"/>
      <c r="C100" s="295"/>
      <c r="D100" s="295"/>
      <c r="E100" s="555"/>
      <c r="F100" s="556"/>
      <c r="G100" s="295"/>
      <c r="H100" s="294"/>
      <c r="I100" s="556"/>
      <c r="J100" s="295"/>
      <c r="K100" s="298"/>
    </row>
    <row r="101" spans="1:11" ht="13.35" customHeight="1" x14ac:dyDescent="0.2">
      <c r="A101" s="263" t="s">
        <v>852</v>
      </c>
      <c r="B101" s="257"/>
      <c r="C101" s="295"/>
      <c r="D101" s="295"/>
      <c r="E101" s="555"/>
      <c r="F101" s="556"/>
      <c r="G101" s="295"/>
      <c r="H101" s="294"/>
      <c r="I101" s="556"/>
      <c r="J101" s="295"/>
      <c r="K101" s="555"/>
    </row>
    <row r="102" spans="1:11" ht="5.0999999999999996" customHeight="1" x14ac:dyDescent="0.2">
      <c r="A102" s="267"/>
      <c r="B102" s="257"/>
      <c r="C102" s="66"/>
      <c r="D102" s="66"/>
      <c r="E102" s="268"/>
      <c r="F102" s="269"/>
      <c r="G102" s="66"/>
      <c r="H102" s="270"/>
      <c r="I102" s="269"/>
      <c r="J102" s="66"/>
      <c r="K102" s="268"/>
    </row>
    <row r="103" spans="1:11" ht="13.35" customHeight="1" x14ac:dyDescent="0.2">
      <c r="A103" s="256" t="s">
        <v>184</v>
      </c>
      <c r="B103" s="257"/>
      <c r="C103" s="66">
        <f>SUM(C104:C108)</f>
        <v>0</v>
      </c>
      <c r="D103" s="66">
        <f t="shared" ref="D103:K103" si="13">SUM(D104:D108)</f>
        <v>0</v>
      </c>
      <c r="E103" s="268">
        <f t="shared" si="13"/>
        <v>0</v>
      </c>
      <c r="F103" s="269">
        <f t="shared" si="13"/>
        <v>0</v>
      </c>
      <c r="G103" s="66">
        <f t="shared" si="13"/>
        <v>0</v>
      </c>
      <c r="H103" s="270">
        <f t="shared" si="13"/>
        <v>0</v>
      </c>
      <c r="I103" s="269">
        <f t="shared" si="13"/>
        <v>0</v>
      </c>
      <c r="J103" s="66">
        <f t="shared" si="13"/>
        <v>0</v>
      </c>
      <c r="K103" s="268">
        <f t="shared" si="13"/>
        <v>0</v>
      </c>
    </row>
    <row r="104" spans="1:11" ht="13.35" customHeight="1" x14ac:dyDescent="0.2">
      <c r="A104" s="235" t="s">
        <v>923</v>
      </c>
      <c r="B104" s="257"/>
      <c r="C104" s="531"/>
      <c r="D104" s="531"/>
      <c r="E104" s="558"/>
      <c r="F104" s="559"/>
      <c r="G104" s="531"/>
      <c r="H104" s="560"/>
      <c r="I104" s="559"/>
      <c r="J104" s="531"/>
      <c r="K104" s="558"/>
    </row>
    <row r="105" spans="1:11" ht="13.35" customHeight="1" x14ac:dyDescent="0.2">
      <c r="A105" s="239" t="s">
        <v>924</v>
      </c>
      <c r="B105" s="257"/>
      <c r="C105" s="532"/>
      <c r="D105" s="532"/>
      <c r="E105" s="561"/>
      <c r="F105" s="562"/>
      <c r="G105" s="532"/>
      <c r="H105" s="563"/>
      <c r="I105" s="562"/>
      <c r="J105" s="532"/>
      <c r="K105" s="561"/>
    </row>
    <row r="106" spans="1:11" ht="13.35" customHeight="1" x14ac:dyDescent="0.2">
      <c r="A106" s="235" t="s">
        <v>925</v>
      </c>
      <c r="B106" s="257"/>
      <c r="C106" s="532"/>
      <c r="D106" s="532"/>
      <c r="E106" s="561"/>
      <c r="F106" s="562"/>
      <c r="G106" s="532"/>
      <c r="H106" s="563"/>
      <c r="I106" s="562"/>
      <c r="J106" s="532"/>
      <c r="K106" s="561"/>
    </row>
    <row r="107" spans="1:11" ht="13.35" customHeight="1" x14ac:dyDescent="0.2">
      <c r="A107" s="235" t="s">
        <v>926</v>
      </c>
      <c r="B107" s="257"/>
      <c r="C107" s="532"/>
      <c r="D107" s="532"/>
      <c r="E107" s="561"/>
      <c r="F107" s="562"/>
      <c r="G107" s="532"/>
      <c r="H107" s="563"/>
      <c r="I107" s="562"/>
      <c r="J107" s="532"/>
      <c r="K107" s="561"/>
    </row>
    <row r="108" spans="1:11" ht="13.35" customHeight="1" x14ac:dyDescent="0.2">
      <c r="A108" s="239" t="s">
        <v>927</v>
      </c>
      <c r="B108" s="257"/>
      <c r="C108" s="532"/>
      <c r="D108" s="532"/>
      <c r="E108" s="561"/>
      <c r="F108" s="562"/>
      <c r="G108" s="532"/>
      <c r="H108" s="563"/>
      <c r="I108" s="562"/>
      <c r="J108" s="532"/>
      <c r="K108" s="561"/>
    </row>
    <row r="109" spans="1:11" ht="5.0999999999999996" customHeight="1" x14ac:dyDescent="0.2">
      <c r="A109" s="276"/>
      <c r="B109" s="257"/>
      <c r="C109" s="66"/>
      <c r="D109" s="66"/>
      <c r="E109" s="268"/>
      <c r="F109" s="269"/>
      <c r="G109" s="66"/>
      <c r="H109" s="270"/>
      <c r="I109" s="269"/>
      <c r="J109" s="66"/>
      <c r="K109" s="268"/>
    </row>
    <row r="110" spans="1:11" ht="13.35" customHeight="1" x14ac:dyDescent="0.2">
      <c r="A110" s="277" t="s">
        <v>185</v>
      </c>
      <c r="B110" s="257"/>
      <c r="C110" s="80">
        <f>+C111+C114</f>
        <v>0</v>
      </c>
      <c r="D110" s="80">
        <f t="shared" ref="D110:K110" si="14">+D111+D114</f>
        <v>0</v>
      </c>
      <c r="E110" s="278">
        <f t="shared" si="14"/>
        <v>0</v>
      </c>
      <c r="F110" s="279">
        <f t="shared" si="14"/>
        <v>0</v>
      </c>
      <c r="G110" s="80">
        <f t="shared" si="14"/>
        <v>0</v>
      </c>
      <c r="H110" s="280">
        <f t="shared" si="14"/>
        <v>0</v>
      </c>
      <c r="I110" s="279">
        <f t="shared" si="14"/>
        <v>0</v>
      </c>
      <c r="J110" s="80">
        <f t="shared" si="14"/>
        <v>0</v>
      </c>
      <c r="K110" s="278">
        <f t="shared" si="14"/>
        <v>0</v>
      </c>
    </row>
    <row r="111" spans="1:11" ht="13.35" customHeight="1" x14ac:dyDescent="0.2">
      <c r="A111" s="235" t="s">
        <v>928</v>
      </c>
      <c r="B111" s="257"/>
      <c r="C111" s="150">
        <f t="shared" ref="C111:K111" si="15">SUM(C112:C113)</f>
        <v>0</v>
      </c>
      <c r="D111" s="150">
        <f t="shared" si="15"/>
        <v>0</v>
      </c>
      <c r="E111" s="150">
        <f t="shared" si="15"/>
        <v>0</v>
      </c>
      <c r="F111" s="152">
        <f t="shared" si="15"/>
        <v>0</v>
      </c>
      <c r="G111" s="150">
        <f t="shared" si="15"/>
        <v>0</v>
      </c>
      <c r="H111" s="153">
        <f t="shared" si="15"/>
        <v>0</v>
      </c>
      <c r="I111" s="154">
        <f t="shared" si="15"/>
        <v>0</v>
      </c>
      <c r="J111" s="150">
        <f t="shared" si="15"/>
        <v>0</v>
      </c>
      <c r="K111" s="153">
        <f t="shared" si="15"/>
        <v>0</v>
      </c>
    </row>
    <row r="112" spans="1:11" ht="13.35" customHeight="1" x14ac:dyDescent="0.2">
      <c r="A112" s="263" t="s">
        <v>929</v>
      </c>
      <c r="B112" s="257"/>
      <c r="C112" s="295"/>
      <c r="D112" s="295"/>
      <c r="E112" s="294"/>
      <c r="F112" s="556"/>
      <c r="G112" s="295"/>
      <c r="H112" s="294"/>
      <c r="I112" s="556"/>
      <c r="J112" s="295"/>
      <c r="K112" s="298"/>
    </row>
    <row r="113" spans="1:11" ht="13.35" customHeight="1" x14ac:dyDescent="0.2">
      <c r="A113" s="263" t="s">
        <v>930</v>
      </c>
      <c r="B113" s="257"/>
      <c r="C113" s="295"/>
      <c r="D113" s="295"/>
      <c r="E113" s="555"/>
      <c r="F113" s="556"/>
      <c r="G113" s="295"/>
      <c r="H113" s="294"/>
      <c r="I113" s="556"/>
      <c r="J113" s="295"/>
      <c r="K113" s="298"/>
    </row>
    <row r="114" spans="1:11" ht="13.35" customHeight="1" x14ac:dyDescent="0.2">
      <c r="A114" s="235" t="s">
        <v>931</v>
      </c>
      <c r="B114" s="257"/>
      <c r="C114" s="155">
        <f>SUM(C115:C116)</f>
        <v>0</v>
      </c>
      <c r="D114" s="155">
        <f t="shared" ref="D114:K114" si="16">SUM(D115:D116)</f>
        <v>0</v>
      </c>
      <c r="E114" s="155">
        <f t="shared" si="16"/>
        <v>0</v>
      </c>
      <c r="F114" s="157">
        <f t="shared" si="16"/>
        <v>0</v>
      </c>
      <c r="G114" s="155">
        <f t="shared" si="16"/>
        <v>0</v>
      </c>
      <c r="H114" s="158">
        <f t="shared" si="16"/>
        <v>0</v>
      </c>
      <c r="I114" s="159">
        <f t="shared" si="16"/>
        <v>0</v>
      </c>
      <c r="J114" s="155">
        <f t="shared" si="16"/>
        <v>0</v>
      </c>
      <c r="K114" s="158">
        <f t="shared" si="16"/>
        <v>0</v>
      </c>
    </row>
    <row r="115" spans="1:11" ht="13.35" customHeight="1" x14ac:dyDescent="0.2">
      <c r="A115" s="263" t="s">
        <v>929</v>
      </c>
      <c r="B115" s="257"/>
      <c r="C115" s="295"/>
      <c r="D115" s="295"/>
      <c r="E115" s="294"/>
      <c r="F115" s="556"/>
      <c r="G115" s="295"/>
      <c r="H115" s="294"/>
      <c r="I115" s="556"/>
      <c r="J115" s="295"/>
      <c r="K115" s="298"/>
    </row>
    <row r="116" spans="1:11" ht="13.35" customHeight="1" x14ac:dyDescent="0.2">
      <c r="A116" s="263" t="s">
        <v>930</v>
      </c>
      <c r="B116" s="257"/>
      <c r="C116" s="295"/>
      <c r="D116" s="295"/>
      <c r="E116" s="555"/>
      <c r="F116" s="556"/>
      <c r="G116" s="295"/>
      <c r="H116" s="294"/>
      <c r="I116" s="556"/>
      <c r="J116" s="295"/>
      <c r="K116" s="298"/>
    </row>
    <row r="117" spans="1:11" ht="5.0999999999999996" customHeight="1" x14ac:dyDescent="0.2">
      <c r="A117" s="276"/>
      <c r="B117" s="257"/>
      <c r="C117" s="66"/>
      <c r="D117" s="66"/>
      <c r="E117" s="268"/>
      <c r="F117" s="269"/>
      <c r="G117" s="66"/>
      <c r="H117" s="270"/>
      <c r="I117" s="269"/>
      <c r="J117" s="66"/>
      <c r="K117" s="268"/>
    </row>
    <row r="118" spans="1:11" ht="13.35" customHeight="1" x14ac:dyDescent="0.2">
      <c r="A118" s="277" t="s">
        <v>186</v>
      </c>
      <c r="B118" s="257"/>
      <c r="C118" s="80">
        <f>+C119+C131</f>
        <v>3897227.78</v>
      </c>
      <c r="D118" s="80">
        <f t="shared" ref="D118:K118" si="17">+D119+D131</f>
        <v>8274308.0999999996</v>
      </c>
      <c r="E118" s="278">
        <f t="shared" si="17"/>
        <v>6787737.6200000001</v>
      </c>
      <c r="F118" s="279">
        <f t="shared" si="17"/>
        <v>14818373</v>
      </c>
      <c r="G118" s="80">
        <f t="shared" si="17"/>
        <v>1818438.9900000002</v>
      </c>
      <c r="H118" s="280">
        <f t="shared" si="17"/>
        <v>1818438.9900000002</v>
      </c>
      <c r="I118" s="279">
        <f t="shared" si="17"/>
        <v>1892994.9989999996</v>
      </c>
      <c r="J118" s="80">
        <f t="shared" si="17"/>
        <v>1976286.7789559995</v>
      </c>
      <c r="K118" s="278">
        <f t="shared" si="17"/>
        <v>2065219.6840090195</v>
      </c>
    </row>
    <row r="119" spans="1:11" ht="13.35" customHeight="1" x14ac:dyDescent="0.2">
      <c r="A119" s="235" t="s">
        <v>932</v>
      </c>
      <c r="B119" s="257"/>
      <c r="C119" s="150">
        <f>SUM(C120:C130)</f>
        <v>3897227.78</v>
      </c>
      <c r="D119" s="150">
        <f t="shared" ref="D119:K119" si="18">SUM(D120:D130)</f>
        <v>8274308.0999999996</v>
      </c>
      <c r="E119" s="150">
        <f t="shared" si="18"/>
        <v>6787737.6200000001</v>
      </c>
      <c r="F119" s="152">
        <f t="shared" si="18"/>
        <v>14818373</v>
      </c>
      <c r="G119" s="150">
        <f t="shared" si="18"/>
        <v>1818438.9900000002</v>
      </c>
      <c r="H119" s="153">
        <f t="shared" si="18"/>
        <v>1818438.9900000002</v>
      </c>
      <c r="I119" s="154">
        <f t="shared" si="18"/>
        <v>1892994.9989999996</v>
      </c>
      <c r="J119" s="150">
        <f t="shared" si="18"/>
        <v>1976286.7789559995</v>
      </c>
      <c r="K119" s="153">
        <f t="shared" si="18"/>
        <v>2065219.6840090195</v>
      </c>
    </row>
    <row r="120" spans="1:11" ht="13.35" customHeight="1" x14ac:dyDescent="0.2">
      <c r="A120" s="263" t="s">
        <v>933</v>
      </c>
      <c r="B120" s="257"/>
      <c r="C120" s="295">
        <v>3897227.78</v>
      </c>
      <c r="D120" s="295">
        <v>8274308.0999999996</v>
      </c>
      <c r="E120" s="294">
        <v>6787737.6200000001</v>
      </c>
      <c r="F120" s="556">
        <v>14818373</v>
      </c>
      <c r="G120" s="295">
        <v>1818438.9900000002</v>
      </c>
      <c r="H120" s="294">
        <v>1818438.9900000002</v>
      </c>
      <c r="I120" s="556">
        <v>1892994.9989999996</v>
      </c>
      <c r="J120" s="295">
        <v>1976286.7789559995</v>
      </c>
      <c r="K120" s="298">
        <v>2065219.6840090195</v>
      </c>
    </row>
    <row r="121" spans="1:11" ht="13.35" customHeight="1" x14ac:dyDescent="0.2">
      <c r="A121" s="263" t="s">
        <v>934</v>
      </c>
      <c r="B121" s="257"/>
      <c r="C121" s="295"/>
      <c r="D121" s="295"/>
      <c r="E121" s="294"/>
      <c r="F121" s="556"/>
      <c r="G121" s="295"/>
      <c r="H121" s="294"/>
      <c r="I121" s="556"/>
      <c r="J121" s="295"/>
      <c r="K121" s="298"/>
    </row>
    <row r="122" spans="1:11" ht="13.35" customHeight="1" x14ac:dyDescent="0.2">
      <c r="A122" s="263" t="s">
        <v>935</v>
      </c>
      <c r="B122" s="257"/>
      <c r="C122" s="295"/>
      <c r="D122" s="295"/>
      <c r="E122" s="294"/>
      <c r="F122" s="556"/>
      <c r="G122" s="295"/>
      <c r="H122" s="294"/>
      <c r="I122" s="556"/>
      <c r="J122" s="295"/>
      <c r="K122" s="298"/>
    </row>
    <row r="123" spans="1:11" ht="13.35" customHeight="1" x14ac:dyDescent="0.2">
      <c r="A123" s="263" t="s">
        <v>936</v>
      </c>
      <c r="B123" s="257"/>
      <c r="C123" s="295"/>
      <c r="D123" s="295"/>
      <c r="E123" s="294"/>
      <c r="F123" s="556"/>
      <c r="G123" s="295"/>
      <c r="H123" s="294"/>
      <c r="I123" s="556"/>
      <c r="J123" s="295"/>
      <c r="K123" s="298"/>
    </row>
    <row r="124" spans="1:11" ht="13.35" customHeight="1" x14ac:dyDescent="0.2">
      <c r="A124" s="263" t="s">
        <v>937</v>
      </c>
      <c r="B124" s="257"/>
      <c r="C124" s="295"/>
      <c r="D124" s="295"/>
      <c r="E124" s="294"/>
      <c r="F124" s="556"/>
      <c r="G124" s="295"/>
      <c r="H124" s="294"/>
      <c r="I124" s="556"/>
      <c r="J124" s="295"/>
      <c r="K124" s="298"/>
    </row>
    <row r="125" spans="1:11" ht="13.35" customHeight="1" x14ac:dyDescent="0.2">
      <c r="A125" s="263" t="s">
        <v>938</v>
      </c>
      <c r="B125" s="257"/>
      <c r="C125" s="295"/>
      <c r="D125" s="295"/>
      <c r="E125" s="294"/>
      <c r="F125" s="556"/>
      <c r="G125" s="295"/>
      <c r="H125" s="294"/>
      <c r="I125" s="556"/>
      <c r="J125" s="295"/>
      <c r="K125" s="298"/>
    </row>
    <row r="126" spans="1:11" ht="13.35" customHeight="1" x14ac:dyDescent="0.2">
      <c r="A126" s="263" t="s">
        <v>939</v>
      </c>
      <c r="B126" s="257"/>
      <c r="C126" s="295"/>
      <c r="D126" s="295"/>
      <c r="E126" s="294"/>
      <c r="F126" s="556"/>
      <c r="G126" s="295"/>
      <c r="H126" s="294"/>
      <c r="I126" s="556"/>
      <c r="J126" s="295"/>
      <c r="K126" s="298"/>
    </row>
    <row r="127" spans="1:11" ht="13.35" customHeight="1" x14ac:dyDescent="0.2">
      <c r="A127" s="263" t="s">
        <v>940</v>
      </c>
      <c r="B127" s="257"/>
      <c r="C127" s="295"/>
      <c r="D127" s="295"/>
      <c r="E127" s="294"/>
      <c r="F127" s="556"/>
      <c r="G127" s="295"/>
      <c r="H127" s="294"/>
      <c r="I127" s="556"/>
      <c r="J127" s="295"/>
      <c r="K127" s="298"/>
    </row>
    <row r="128" spans="1:11" ht="13.35" customHeight="1" x14ac:dyDescent="0.2">
      <c r="A128" s="263" t="s">
        <v>941</v>
      </c>
      <c r="B128" s="257"/>
      <c r="C128" s="295"/>
      <c r="D128" s="295"/>
      <c r="E128" s="294"/>
      <c r="F128" s="556"/>
      <c r="G128" s="295"/>
      <c r="H128" s="294"/>
      <c r="I128" s="556"/>
      <c r="J128" s="295"/>
      <c r="K128" s="298"/>
    </row>
    <row r="129" spans="1:11" ht="13.35" customHeight="1" x14ac:dyDescent="0.2">
      <c r="A129" s="263" t="s">
        <v>942</v>
      </c>
      <c r="B129" s="257"/>
      <c r="C129" s="295"/>
      <c r="D129" s="295"/>
      <c r="E129" s="294"/>
      <c r="F129" s="556"/>
      <c r="G129" s="295"/>
      <c r="H129" s="294"/>
      <c r="I129" s="556"/>
      <c r="J129" s="295"/>
      <c r="K129" s="298"/>
    </row>
    <row r="130" spans="1:11" ht="13.35" customHeight="1" x14ac:dyDescent="0.2">
      <c r="A130" s="263" t="s">
        <v>852</v>
      </c>
      <c r="B130" s="257"/>
      <c r="C130" s="295"/>
      <c r="D130" s="295"/>
      <c r="E130" s="294"/>
      <c r="F130" s="556"/>
      <c r="G130" s="295"/>
      <c r="H130" s="294"/>
      <c r="I130" s="556"/>
      <c r="J130" s="295"/>
      <c r="K130" s="298"/>
    </row>
    <row r="131" spans="1:11" ht="13.35" customHeight="1" x14ac:dyDescent="0.2">
      <c r="A131" s="235" t="s">
        <v>943</v>
      </c>
      <c r="B131" s="257"/>
      <c r="C131" s="155">
        <f>SUM(C132:C134)</f>
        <v>0</v>
      </c>
      <c r="D131" s="155">
        <f t="shared" ref="D131:K131" si="19">SUM(D132:D134)</f>
        <v>0</v>
      </c>
      <c r="E131" s="155">
        <f t="shared" si="19"/>
        <v>0</v>
      </c>
      <c r="F131" s="157">
        <f t="shared" si="19"/>
        <v>0</v>
      </c>
      <c r="G131" s="155">
        <f t="shared" si="19"/>
        <v>0</v>
      </c>
      <c r="H131" s="158">
        <f t="shared" si="19"/>
        <v>0</v>
      </c>
      <c r="I131" s="159">
        <f t="shared" si="19"/>
        <v>0</v>
      </c>
      <c r="J131" s="155">
        <f t="shared" si="19"/>
        <v>0</v>
      </c>
      <c r="K131" s="158">
        <f t="shared" si="19"/>
        <v>0</v>
      </c>
    </row>
    <row r="132" spans="1:11" ht="13.35" customHeight="1" x14ac:dyDescent="0.2">
      <c r="A132" s="263" t="s">
        <v>944</v>
      </c>
      <c r="B132" s="257"/>
      <c r="C132" s="295"/>
      <c r="D132" s="295"/>
      <c r="E132" s="294"/>
      <c r="F132" s="556"/>
      <c r="G132" s="295"/>
      <c r="H132" s="294"/>
      <c r="I132" s="556"/>
      <c r="J132" s="295"/>
      <c r="K132" s="298"/>
    </row>
    <row r="133" spans="1:11" ht="13.35" customHeight="1" x14ac:dyDescent="0.2">
      <c r="A133" s="263" t="s">
        <v>945</v>
      </c>
      <c r="B133" s="257"/>
      <c r="C133" s="295"/>
      <c r="D133" s="295"/>
      <c r="E133" s="294"/>
      <c r="F133" s="556"/>
      <c r="G133" s="295"/>
      <c r="H133" s="294"/>
      <c r="I133" s="556"/>
      <c r="J133" s="295"/>
      <c r="K133" s="298"/>
    </row>
    <row r="134" spans="1:11" ht="13.35" customHeight="1" x14ac:dyDescent="0.2">
      <c r="A134" s="263" t="s">
        <v>852</v>
      </c>
      <c r="B134" s="257"/>
      <c r="C134" s="295"/>
      <c r="D134" s="295"/>
      <c r="E134" s="294"/>
      <c r="F134" s="556"/>
      <c r="G134" s="295"/>
      <c r="H134" s="294"/>
      <c r="I134" s="556"/>
      <c r="J134" s="295"/>
      <c r="K134" s="298"/>
    </row>
    <row r="135" spans="1:11" ht="5.0999999999999996" customHeight="1" x14ac:dyDescent="0.2">
      <c r="A135" s="281"/>
      <c r="B135" s="257"/>
      <c r="C135" s="66"/>
      <c r="D135" s="66"/>
      <c r="E135" s="268"/>
      <c r="F135" s="269"/>
      <c r="G135" s="66"/>
      <c r="H135" s="270"/>
      <c r="I135" s="269"/>
      <c r="J135" s="66"/>
      <c r="K135" s="268"/>
    </row>
    <row r="136" spans="1:11" ht="13.35" customHeight="1" x14ac:dyDescent="0.2">
      <c r="A136" s="256" t="s">
        <v>946</v>
      </c>
      <c r="B136" s="257"/>
      <c r="C136" s="66">
        <f t="shared" ref="C136:K136" si="20">SUM(C137:C137)</f>
        <v>0</v>
      </c>
      <c r="D136" s="66">
        <f t="shared" si="20"/>
        <v>0</v>
      </c>
      <c r="E136" s="268">
        <f t="shared" si="20"/>
        <v>0</v>
      </c>
      <c r="F136" s="269">
        <f t="shared" si="20"/>
        <v>0</v>
      </c>
      <c r="G136" s="66">
        <f t="shared" si="20"/>
        <v>0</v>
      </c>
      <c r="H136" s="270">
        <f t="shared" si="20"/>
        <v>0</v>
      </c>
      <c r="I136" s="269">
        <f t="shared" si="20"/>
        <v>0</v>
      </c>
      <c r="J136" s="66">
        <f t="shared" si="20"/>
        <v>0</v>
      </c>
      <c r="K136" s="268">
        <f t="shared" si="20"/>
        <v>0</v>
      </c>
    </row>
    <row r="137" spans="1:11" ht="13.35" customHeight="1" x14ac:dyDescent="0.2">
      <c r="A137" s="235" t="s">
        <v>946</v>
      </c>
      <c r="B137" s="257"/>
      <c r="C137" s="533"/>
      <c r="D137" s="533"/>
      <c r="E137" s="564"/>
      <c r="F137" s="565"/>
      <c r="G137" s="533"/>
      <c r="H137" s="566"/>
      <c r="I137" s="565"/>
      <c r="J137" s="533"/>
      <c r="K137" s="564"/>
    </row>
    <row r="138" spans="1:11" ht="5.0999999999999996" customHeight="1" x14ac:dyDescent="0.2">
      <c r="A138" s="267"/>
      <c r="B138" s="257"/>
      <c r="C138" s="66"/>
      <c r="D138" s="66"/>
      <c r="E138" s="268"/>
      <c r="F138" s="269"/>
      <c r="G138" s="66"/>
      <c r="H138" s="270"/>
      <c r="I138" s="269"/>
      <c r="J138" s="66"/>
      <c r="K138" s="268"/>
    </row>
    <row r="139" spans="1:11" ht="13.35" customHeight="1" x14ac:dyDescent="0.2">
      <c r="A139" s="256" t="s">
        <v>947</v>
      </c>
      <c r="B139" s="257"/>
      <c r="C139" s="66">
        <f>+C140+C141</f>
        <v>0</v>
      </c>
      <c r="D139" s="66">
        <f t="shared" ref="D139:K139" si="21">+D140+D141</f>
        <v>0</v>
      </c>
      <c r="E139" s="268">
        <f t="shared" si="21"/>
        <v>0</v>
      </c>
      <c r="F139" s="269">
        <f t="shared" si="21"/>
        <v>0</v>
      </c>
      <c r="G139" s="66">
        <f t="shared" si="21"/>
        <v>0</v>
      </c>
      <c r="H139" s="270">
        <f t="shared" si="21"/>
        <v>0</v>
      </c>
      <c r="I139" s="269">
        <f t="shared" si="21"/>
        <v>0</v>
      </c>
      <c r="J139" s="66">
        <f t="shared" si="21"/>
        <v>0</v>
      </c>
      <c r="K139" s="268">
        <f t="shared" si="21"/>
        <v>0</v>
      </c>
    </row>
    <row r="140" spans="1:11" ht="13.35" customHeight="1" x14ac:dyDescent="0.2">
      <c r="A140" s="239" t="s">
        <v>948</v>
      </c>
      <c r="B140" s="257"/>
      <c r="C140" s="533"/>
      <c r="D140" s="533"/>
      <c r="E140" s="564"/>
      <c r="F140" s="565"/>
      <c r="G140" s="533"/>
      <c r="H140" s="566"/>
      <c r="I140" s="565"/>
      <c r="J140" s="533"/>
      <c r="K140" s="564"/>
    </row>
    <row r="141" spans="1:11" ht="13.35" customHeight="1" x14ac:dyDescent="0.2">
      <c r="A141" s="239" t="s">
        <v>949</v>
      </c>
      <c r="B141" s="257"/>
      <c r="C141" s="155">
        <f>SUM(C142:C147)</f>
        <v>0</v>
      </c>
      <c r="D141" s="155">
        <f t="shared" ref="D141:K141" si="22">SUM(D142:D147)</f>
        <v>0</v>
      </c>
      <c r="E141" s="155">
        <f t="shared" si="22"/>
        <v>0</v>
      </c>
      <c r="F141" s="157">
        <f t="shared" si="22"/>
        <v>0</v>
      </c>
      <c r="G141" s="155">
        <f t="shared" si="22"/>
        <v>0</v>
      </c>
      <c r="H141" s="158">
        <f t="shared" si="22"/>
        <v>0</v>
      </c>
      <c r="I141" s="159">
        <f t="shared" si="22"/>
        <v>0</v>
      </c>
      <c r="J141" s="155">
        <f t="shared" si="22"/>
        <v>0</v>
      </c>
      <c r="K141" s="158">
        <f t="shared" si="22"/>
        <v>0</v>
      </c>
    </row>
    <row r="142" spans="1:11" ht="13.35" customHeight="1" x14ac:dyDescent="0.2">
      <c r="A142" s="263" t="s">
        <v>950</v>
      </c>
      <c r="B142" s="257"/>
      <c r="C142" s="295"/>
      <c r="D142" s="295"/>
      <c r="E142" s="294"/>
      <c r="F142" s="556"/>
      <c r="G142" s="295"/>
      <c r="H142" s="294"/>
      <c r="I142" s="556"/>
      <c r="J142" s="295"/>
      <c r="K142" s="298"/>
    </row>
    <row r="143" spans="1:11" ht="13.35" customHeight="1" x14ac:dyDescent="0.2">
      <c r="A143" s="263" t="s">
        <v>951</v>
      </c>
      <c r="B143" s="257"/>
      <c r="C143" s="295"/>
      <c r="D143" s="295"/>
      <c r="E143" s="294"/>
      <c r="F143" s="556"/>
      <c r="G143" s="295"/>
      <c r="H143" s="294"/>
      <c r="I143" s="556"/>
      <c r="J143" s="295"/>
      <c r="K143" s="298"/>
    </row>
    <row r="144" spans="1:11" ht="13.35" customHeight="1" x14ac:dyDescent="0.2">
      <c r="A144" s="263" t="s">
        <v>952</v>
      </c>
      <c r="B144" s="257"/>
      <c r="C144" s="295"/>
      <c r="D144" s="295"/>
      <c r="E144" s="294"/>
      <c r="F144" s="556"/>
      <c r="G144" s="295"/>
      <c r="H144" s="294"/>
      <c r="I144" s="556"/>
      <c r="J144" s="295"/>
      <c r="K144" s="298"/>
    </row>
    <row r="145" spans="1:11" ht="13.35" customHeight="1" x14ac:dyDescent="0.2">
      <c r="A145" s="263" t="s">
        <v>953</v>
      </c>
      <c r="B145" s="257"/>
      <c r="C145" s="295"/>
      <c r="D145" s="295"/>
      <c r="E145" s="294"/>
      <c r="F145" s="556"/>
      <c r="G145" s="295"/>
      <c r="H145" s="294"/>
      <c r="I145" s="556"/>
      <c r="J145" s="295"/>
      <c r="K145" s="298"/>
    </row>
    <row r="146" spans="1:11" ht="13.35" customHeight="1" x14ac:dyDescent="0.2">
      <c r="A146" s="263" t="s">
        <v>954</v>
      </c>
      <c r="B146" s="257"/>
      <c r="C146" s="295"/>
      <c r="D146" s="295"/>
      <c r="E146" s="294"/>
      <c r="F146" s="556"/>
      <c r="G146" s="295"/>
      <c r="H146" s="294"/>
      <c r="I146" s="556"/>
      <c r="J146" s="295"/>
      <c r="K146" s="298"/>
    </row>
    <row r="147" spans="1:11" ht="13.35" customHeight="1" x14ac:dyDescent="0.2">
      <c r="A147" s="263" t="s">
        <v>955</v>
      </c>
      <c r="B147" s="257"/>
      <c r="C147" s="295"/>
      <c r="D147" s="295"/>
      <c r="E147" s="294"/>
      <c r="F147" s="556"/>
      <c r="G147" s="295"/>
      <c r="H147" s="294"/>
      <c r="I147" s="556"/>
      <c r="J147" s="295"/>
      <c r="K147" s="298"/>
    </row>
    <row r="148" spans="1:11" ht="5.0999999999999996" customHeight="1" x14ac:dyDescent="0.2">
      <c r="A148" s="267"/>
      <c r="B148" s="257"/>
      <c r="C148" s="80"/>
      <c r="D148" s="80"/>
      <c r="E148" s="278"/>
      <c r="F148" s="279"/>
      <c r="G148" s="80"/>
      <c r="H148" s="280"/>
      <c r="I148" s="279"/>
      <c r="J148" s="80"/>
      <c r="K148" s="278"/>
    </row>
    <row r="149" spans="1:11" ht="13.35" customHeight="1" x14ac:dyDescent="0.2">
      <c r="A149" s="256" t="s">
        <v>956</v>
      </c>
      <c r="B149" s="257"/>
      <c r="C149" s="66">
        <f t="shared" ref="C149:K149" si="23">SUM(C150:C150)</f>
        <v>4855117.8600000003</v>
      </c>
      <c r="D149" s="66">
        <f t="shared" si="23"/>
        <v>0</v>
      </c>
      <c r="E149" s="268">
        <f t="shared" si="23"/>
        <v>0</v>
      </c>
      <c r="F149" s="269">
        <f t="shared" si="23"/>
        <v>0</v>
      </c>
      <c r="G149" s="66">
        <f t="shared" si="23"/>
        <v>0</v>
      </c>
      <c r="H149" s="270">
        <f t="shared" si="23"/>
        <v>0</v>
      </c>
      <c r="I149" s="269">
        <f t="shared" si="23"/>
        <v>0</v>
      </c>
      <c r="J149" s="66">
        <f t="shared" si="23"/>
        <v>0</v>
      </c>
      <c r="K149" s="268">
        <f t="shared" si="23"/>
        <v>0</v>
      </c>
    </row>
    <row r="150" spans="1:11" ht="13.35" customHeight="1" x14ac:dyDescent="0.2">
      <c r="A150" s="235" t="s">
        <v>956</v>
      </c>
      <c r="B150" s="257"/>
      <c r="C150" s="533">
        <v>4855117.8600000003</v>
      </c>
      <c r="D150" s="533"/>
      <c r="E150" s="564"/>
      <c r="F150" s="565"/>
      <c r="G150" s="533"/>
      <c r="H150" s="566"/>
      <c r="I150" s="565"/>
      <c r="J150" s="533"/>
      <c r="K150" s="564"/>
    </row>
    <row r="151" spans="1:11" ht="5.0999999999999996" customHeight="1" x14ac:dyDescent="0.2">
      <c r="A151" s="267"/>
      <c r="B151" s="257"/>
      <c r="C151" s="66"/>
      <c r="D151" s="66"/>
      <c r="E151" s="268"/>
      <c r="F151" s="269"/>
      <c r="G151" s="66"/>
      <c r="H151" s="270"/>
      <c r="I151" s="269"/>
      <c r="J151" s="66"/>
      <c r="K151" s="268"/>
    </row>
    <row r="152" spans="1:11" ht="13.35" customHeight="1" x14ac:dyDescent="0.2">
      <c r="A152" s="256" t="s">
        <v>957</v>
      </c>
      <c r="B152" s="257"/>
      <c r="C152" s="66">
        <f t="shared" ref="C152:K152" si="24">SUM(C153:C153)</f>
        <v>0</v>
      </c>
      <c r="D152" s="66">
        <f t="shared" si="24"/>
        <v>0</v>
      </c>
      <c r="E152" s="268">
        <f t="shared" si="24"/>
        <v>0</v>
      </c>
      <c r="F152" s="269">
        <f t="shared" si="24"/>
        <v>0</v>
      </c>
      <c r="G152" s="66">
        <f t="shared" si="24"/>
        <v>0</v>
      </c>
      <c r="H152" s="270">
        <f t="shared" si="24"/>
        <v>0</v>
      </c>
      <c r="I152" s="269">
        <f t="shared" si="24"/>
        <v>0</v>
      </c>
      <c r="J152" s="66">
        <f t="shared" si="24"/>
        <v>0</v>
      </c>
      <c r="K152" s="268">
        <f t="shared" si="24"/>
        <v>0</v>
      </c>
    </row>
    <row r="153" spans="1:11" ht="13.35" customHeight="1" x14ac:dyDescent="0.2">
      <c r="A153" s="235" t="s">
        <v>957</v>
      </c>
      <c r="B153" s="257"/>
      <c r="C153" s="533"/>
      <c r="D153" s="533"/>
      <c r="E153" s="564"/>
      <c r="F153" s="565"/>
      <c r="G153" s="533"/>
      <c r="H153" s="566"/>
      <c r="I153" s="565"/>
      <c r="J153" s="533"/>
      <c r="K153" s="564"/>
    </row>
    <row r="154" spans="1:11" ht="5.0999999999999996" customHeight="1" x14ac:dyDescent="0.2">
      <c r="A154" s="267"/>
      <c r="B154" s="257"/>
      <c r="C154" s="66"/>
      <c r="D154" s="66"/>
      <c r="E154" s="268"/>
      <c r="F154" s="269"/>
      <c r="G154" s="66"/>
      <c r="H154" s="270"/>
      <c r="I154" s="269"/>
      <c r="J154" s="66"/>
      <c r="K154" s="268"/>
    </row>
    <row r="155" spans="1:11" ht="13.35" customHeight="1" x14ac:dyDescent="0.2">
      <c r="A155" s="256" t="s">
        <v>958</v>
      </c>
      <c r="B155" s="257"/>
      <c r="C155" s="66">
        <f t="shared" ref="C155:K155" si="25">SUM(C156:C156)</f>
        <v>92318.41</v>
      </c>
      <c r="D155" s="66">
        <f t="shared" si="25"/>
        <v>512174.01</v>
      </c>
      <c r="E155" s="268">
        <f t="shared" si="25"/>
        <v>929159.94</v>
      </c>
      <c r="F155" s="269">
        <f t="shared" si="25"/>
        <v>551653</v>
      </c>
      <c r="G155" s="66">
        <f t="shared" si="25"/>
        <v>0</v>
      </c>
      <c r="H155" s="270">
        <f t="shared" si="25"/>
        <v>0</v>
      </c>
      <c r="I155" s="269">
        <f t="shared" si="25"/>
        <v>0</v>
      </c>
      <c r="J155" s="66">
        <f t="shared" si="25"/>
        <v>0</v>
      </c>
      <c r="K155" s="268">
        <f t="shared" si="25"/>
        <v>0</v>
      </c>
    </row>
    <row r="156" spans="1:11" ht="13.35" customHeight="1" x14ac:dyDescent="0.2">
      <c r="A156" s="235" t="s">
        <v>958</v>
      </c>
      <c r="B156" s="257"/>
      <c r="C156" s="533">
        <v>92318.41</v>
      </c>
      <c r="D156" s="533">
        <v>512174.01</v>
      </c>
      <c r="E156" s="564">
        <v>929159.94</v>
      </c>
      <c r="F156" s="565">
        <v>551653</v>
      </c>
      <c r="G156" s="533"/>
      <c r="H156" s="566"/>
      <c r="I156" s="565"/>
      <c r="J156" s="533"/>
      <c r="K156" s="564"/>
    </row>
    <row r="157" spans="1:11" ht="5.0999999999999996" customHeight="1" x14ac:dyDescent="0.2">
      <c r="A157" s="267"/>
      <c r="B157" s="257"/>
      <c r="C157" s="66"/>
      <c r="D157" s="66"/>
      <c r="E157" s="268"/>
      <c r="F157" s="269"/>
      <c r="G157" s="66"/>
      <c r="H157" s="270"/>
      <c r="I157" s="269"/>
      <c r="J157" s="66"/>
      <c r="K157" s="268"/>
    </row>
    <row r="158" spans="1:11" ht="13.35" customHeight="1" x14ac:dyDescent="0.2">
      <c r="A158" s="256" t="s">
        <v>959</v>
      </c>
      <c r="B158" s="257"/>
      <c r="C158" s="66">
        <f t="shared" ref="C158:K158" si="26">SUM(C159:C159)</f>
        <v>7003324.5700000003</v>
      </c>
      <c r="D158" s="66">
        <f t="shared" si="26"/>
        <v>5050755.25</v>
      </c>
      <c r="E158" s="268">
        <f t="shared" si="26"/>
        <v>7887723.1500000004</v>
      </c>
      <c r="F158" s="269">
        <f t="shared" si="26"/>
        <v>5651472</v>
      </c>
      <c r="G158" s="66">
        <f t="shared" si="26"/>
        <v>12340255.625</v>
      </c>
      <c r="H158" s="270">
        <f t="shared" si="26"/>
        <v>12340255.625</v>
      </c>
      <c r="I158" s="269">
        <f t="shared" si="26"/>
        <v>6964803.2130000014</v>
      </c>
      <c r="J158" s="66">
        <f t="shared" si="26"/>
        <v>7271254.5543720005</v>
      </c>
      <c r="K158" s="268">
        <f t="shared" si="26"/>
        <v>7598461.009318741</v>
      </c>
    </row>
    <row r="159" spans="1:11" ht="13.35" customHeight="1" x14ac:dyDescent="0.2">
      <c r="A159" s="235" t="s">
        <v>959</v>
      </c>
      <c r="B159" s="257"/>
      <c r="C159" s="533">
        <v>7003324.5700000003</v>
      </c>
      <c r="D159" s="533">
        <v>5050755.25</v>
      </c>
      <c r="E159" s="564">
        <v>7887723.1500000004</v>
      </c>
      <c r="F159" s="565">
        <v>5651472</v>
      </c>
      <c r="G159" s="533">
        <v>12340255.625</v>
      </c>
      <c r="H159" s="566">
        <v>12340255.625</v>
      </c>
      <c r="I159" s="565">
        <v>6964803.2130000014</v>
      </c>
      <c r="J159" s="533">
        <v>7271254.5543720005</v>
      </c>
      <c r="K159" s="564">
        <v>7598461.009318741</v>
      </c>
    </row>
    <row r="160" spans="1:11" ht="5.0999999999999996" customHeight="1" x14ac:dyDescent="0.2">
      <c r="A160" s="267"/>
      <c r="B160" s="257"/>
      <c r="C160" s="66"/>
      <c r="D160" s="66"/>
      <c r="E160" s="268"/>
      <c r="F160" s="269"/>
      <c r="G160" s="66"/>
      <c r="H160" s="270"/>
      <c r="I160" s="269"/>
      <c r="J160" s="66"/>
      <c r="K160" s="268"/>
    </row>
    <row r="161" spans="1:11" ht="13.35" customHeight="1" x14ac:dyDescent="0.2">
      <c r="A161" s="256" t="s">
        <v>974</v>
      </c>
      <c r="B161" s="257"/>
      <c r="C161" s="66">
        <f t="shared" ref="C161:K161" si="27">SUM(C162:C162)</f>
        <v>0</v>
      </c>
      <c r="D161" s="66">
        <f t="shared" si="27"/>
        <v>0</v>
      </c>
      <c r="E161" s="268">
        <f t="shared" si="27"/>
        <v>0</v>
      </c>
      <c r="F161" s="269">
        <f t="shared" si="27"/>
        <v>0</v>
      </c>
      <c r="G161" s="66">
        <f t="shared" si="27"/>
        <v>0</v>
      </c>
      <c r="H161" s="270">
        <f t="shared" si="27"/>
        <v>0</v>
      </c>
      <c r="I161" s="269">
        <f t="shared" si="27"/>
        <v>0</v>
      </c>
      <c r="J161" s="66">
        <f t="shared" si="27"/>
        <v>0</v>
      </c>
      <c r="K161" s="268">
        <f t="shared" si="27"/>
        <v>0</v>
      </c>
    </row>
    <row r="162" spans="1:11" ht="13.35" customHeight="1" x14ac:dyDescent="0.2">
      <c r="A162" s="235" t="s">
        <v>974</v>
      </c>
      <c r="B162" s="257"/>
      <c r="C162" s="533"/>
      <c r="D162" s="533"/>
      <c r="E162" s="564"/>
      <c r="F162" s="565"/>
      <c r="G162" s="533"/>
      <c r="H162" s="566"/>
      <c r="I162" s="565"/>
      <c r="J162" s="533"/>
      <c r="K162" s="564"/>
    </row>
    <row r="163" spans="1:11" ht="5.0999999999999996" customHeight="1" x14ac:dyDescent="0.2">
      <c r="A163" s="267"/>
      <c r="B163" s="257"/>
      <c r="C163" s="66"/>
      <c r="D163" s="66"/>
      <c r="E163" s="268"/>
      <c r="F163" s="269"/>
      <c r="G163" s="66"/>
      <c r="H163" s="270"/>
      <c r="I163" s="269"/>
      <c r="J163" s="66"/>
      <c r="K163" s="268"/>
    </row>
    <row r="164" spans="1:11" ht="13.35" customHeight="1" x14ac:dyDescent="0.2">
      <c r="A164" s="256" t="s">
        <v>960</v>
      </c>
      <c r="B164" s="257"/>
      <c r="C164" s="66">
        <f t="shared" ref="C164:K164" si="28">SUM(C165:C165)</f>
        <v>0</v>
      </c>
      <c r="D164" s="66">
        <f t="shared" si="28"/>
        <v>0</v>
      </c>
      <c r="E164" s="268">
        <f t="shared" si="28"/>
        <v>0</v>
      </c>
      <c r="F164" s="269">
        <f t="shared" si="28"/>
        <v>0</v>
      </c>
      <c r="G164" s="66">
        <f t="shared" si="28"/>
        <v>0</v>
      </c>
      <c r="H164" s="270">
        <f t="shared" si="28"/>
        <v>0</v>
      </c>
      <c r="I164" s="269">
        <f t="shared" si="28"/>
        <v>0</v>
      </c>
      <c r="J164" s="66">
        <f t="shared" si="28"/>
        <v>0</v>
      </c>
      <c r="K164" s="268">
        <f t="shared" si="28"/>
        <v>0</v>
      </c>
    </row>
    <row r="165" spans="1:11" ht="13.35" customHeight="1" x14ac:dyDescent="0.2">
      <c r="A165" s="235" t="s">
        <v>960</v>
      </c>
      <c r="B165" s="257"/>
      <c r="C165" s="533"/>
      <c r="D165" s="533"/>
      <c r="E165" s="564"/>
      <c r="F165" s="565"/>
      <c r="G165" s="533"/>
      <c r="H165" s="566"/>
      <c r="I165" s="565"/>
      <c r="J165" s="533"/>
      <c r="K165" s="564"/>
    </row>
    <row r="166" spans="1:11" ht="5.0999999999999996" customHeight="1" x14ac:dyDescent="0.2">
      <c r="A166" s="267"/>
      <c r="B166" s="257"/>
      <c r="C166" s="66"/>
      <c r="D166" s="66"/>
      <c r="E166" s="268"/>
      <c r="F166" s="269"/>
      <c r="G166" s="66"/>
      <c r="H166" s="270"/>
      <c r="I166" s="269"/>
      <c r="J166" s="66"/>
      <c r="K166" s="268"/>
    </row>
    <row r="167" spans="1:11" ht="13.35" customHeight="1" x14ac:dyDescent="0.2">
      <c r="A167" s="248" t="s">
        <v>826</v>
      </c>
      <c r="B167" s="568"/>
      <c r="C167" s="251">
        <f>C6+C74+C103+C110+C118+C136+C139+C149+C152+C155+C158+C161+C164</f>
        <v>73411542.439999998</v>
      </c>
      <c r="D167" s="251">
        <f t="shared" ref="D167:K167" si="29">D6+D74+D103+D110+D118+D136+D139+D149+D152+D155+D158+D161+D164</f>
        <v>106501681.27</v>
      </c>
      <c r="E167" s="569">
        <f t="shared" si="29"/>
        <v>110305707.12</v>
      </c>
      <c r="F167" s="570">
        <f t="shared" si="29"/>
        <v>115969797</v>
      </c>
      <c r="G167" s="251">
        <f t="shared" si="29"/>
        <v>30707731.615000002</v>
      </c>
      <c r="H167" s="571">
        <f t="shared" si="29"/>
        <v>30707731.615000002</v>
      </c>
      <c r="I167" s="570">
        <f t="shared" si="29"/>
        <v>43469188.710639998</v>
      </c>
      <c r="J167" s="251">
        <f t="shared" si="29"/>
        <v>45645337.90103776</v>
      </c>
      <c r="K167" s="569">
        <f t="shared" si="29"/>
        <v>47961236.088169508</v>
      </c>
    </row>
    <row r="168" spans="1:11" ht="12.75" customHeight="1" x14ac:dyDescent="0.2">
      <c r="A168" s="189"/>
      <c r="B168" s="305"/>
      <c r="C168" s="77"/>
      <c r="D168" s="77"/>
      <c r="E168" s="77"/>
      <c r="F168" s="77"/>
      <c r="G168" s="77"/>
      <c r="H168" s="77"/>
      <c r="I168" s="77"/>
      <c r="J168" s="77"/>
      <c r="K168" s="77"/>
    </row>
    <row r="169" spans="1:11" ht="12.75" customHeight="1" x14ac:dyDescent="0.2">
      <c r="A169" s="136"/>
      <c r="B169" s="305"/>
      <c r="C169" s="286"/>
      <c r="D169" s="286"/>
      <c r="E169" s="77"/>
      <c r="F169" s="77"/>
      <c r="G169" s="77"/>
      <c r="H169" s="77"/>
      <c r="I169" s="77"/>
      <c r="J169" s="77"/>
      <c r="K169" s="77"/>
    </row>
    <row r="170" spans="1:11" ht="11.25" customHeight="1" x14ac:dyDescent="0.2">
      <c r="A170" s="86"/>
      <c r="B170" s="305"/>
      <c r="C170" s="286"/>
      <c r="D170" s="286"/>
      <c r="E170" s="77"/>
      <c r="F170" s="77"/>
      <c r="G170" s="77"/>
      <c r="H170" s="77"/>
      <c r="I170" s="77"/>
      <c r="J170" s="77"/>
      <c r="K170" s="77"/>
    </row>
    <row r="171" spans="1:11" ht="11.25" customHeight="1" x14ac:dyDescent="0.2"/>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4">
    <tabColor rgb="FFCCFFCC"/>
    <pageSetUpPr fitToPage="1"/>
  </sheetPr>
  <dimension ref="A1:O205"/>
  <sheetViews>
    <sheetView showGridLines="0" zoomScaleNormal="100" workbookViewId="0">
      <pane xSplit="2" ySplit="3" topLeftCell="C150" activePane="bottomRight" state="frozen"/>
      <selection activeCell="A23" sqref="A23"/>
      <selection pane="topRight" activeCell="A23" sqref="A23"/>
      <selection pane="bottomLeft" activeCell="A23" sqref="A23"/>
      <selection pane="bottomRight" activeCell="C159" sqref="C159:K159"/>
    </sheetView>
  </sheetViews>
  <sheetFormatPr defaultColWidth="9.109375" defaultRowHeight="10.199999999999999" x14ac:dyDescent="0.2"/>
  <cols>
    <col min="1" max="1" width="35.6640625" style="59" customWidth="1"/>
    <col min="2" max="2" width="3.109375"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2" ht="13.8" x14ac:dyDescent="0.3">
      <c r="A1" s="57" t="str">
        <f>MEB9d</f>
        <v>Centlec (Soc) Ltd - Supporting Table SD7d Depreciation by asset class</v>
      </c>
    </row>
    <row r="2" spans="1:12" ht="20.399999999999999" x14ac:dyDescent="0.2">
      <c r="A2" s="551" t="str">
        <f>desc</f>
        <v>Description</v>
      </c>
      <c r="B2" s="552"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2" ht="20.399999999999999" x14ac:dyDescent="0.2">
      <c r="A3" s="234" t="s">
        <v>817</v>
      </c>
      <c r="B3" s="468">
        <v>1</v>
      </c>
      <c r="C3" s="469" t="str">
        <f>Head5</f>
        <v>Audited Outcome</v>
      </c>
      <c r="D3" s="470" t="str">
        <f>Head5</f>
        <v>Audited Outcome</v>
      </c>
      <c r="E3" s="471" t="str">
        <f>Head5</f>
        <v>Audited Outcome</v>
      </c>
      <c r="F3" s="553" t="str">
        <f>Head6</f>
        <v>Original Budget</v>
      </c>
      <c r="G3" s="469" t="str">
        <f>Head7</f>
        <v>Adjusted Budget</v>
      </c>
      <c r="H3" s="554" t="str">
        <f>Head8</f>
        <v>Full Year Forecast</v>
      </c>
      <c r="I3" s="553" t="str">
        <f>Head9</f>
        <v>Budget Year 2021/22</v>
      </c>
      <c r="J3" s="469" t="str">
        <f>Head10</f>
        <v>Budget Year +1 2022/23</v>
      </c>
      <c r="K3" s="471" t="str">
        <f>Head11</f>
        <v>Budget Year +2 2023/24</v>
      </c>
    </row>
    <row r="4" spans="1:12" ht="12.75" customHeight="1" x14ac:dyDescent="0.2">
      <c r="A4" s="572" t="s">
        <v>964</v>
      </c>
      <c r="B4" s="255"/>
      <c r="C4" s="68"/>
      <c r="D4" s="66"/>
      <c r="E4" s="67"/>
      <c r="F4" s="68"/>
      <c r="G4" s="66"/>
      <c r="H4" s="67"/>
      <c r="I4" s="68"/>
      <c r="J4" s="66"/>
      <c r="K4" s="67"/>
    </row>
    <row r="5" spans="1:12" ht="5.0999999999999996" customHeight="1" x14ac:dyDescent="0.2">
      <c r="A5" s="65"/>
      <c r="B5" s="255"/>
      <c r="C5" s="68"/>
      <c r="D5" s="66"/>
      <c r="E5" s="67"/>
      <c r="F5" s="68"/>
      <c r="G5" s="66"/>
      <c r="H5" s="67"/>
      <c r="I5" s="68"/>
      <c r="J5" s="66"/>
      <c r="K5" s="67"/>
    </row>
    <row r="6" spans="1:12" ht="13.35" customHeight="1" x14ac:dyDescent="0.2">
      <c r="A6" s="256" t="s">
        <v>159</v>
      </c>
      <c r="B6" s="257"/>
      <c r="C6" s="145">
        <f>C7+C12+C16+C26+C37+C44+C52+C62+C68</f>
        <v>1941876.31</v>
      </c>
      <c r="D6" s="145">
        <f t="shared" ref="D6:K6" si="0">D7+D12+D16+D26+D37+D44+D52+D62+D68</f>
        <v>107904147.79000001</v>
      </c>
      <c r="E6" s="258">
        <f t="shared" si="0"/>
        <v>126060297.59999999</v>
      </c>
      <c r="F6" s="259">
        <f t="shared" si="0"/>
        <v>40213832</v>
      </c>
      <c r="G6" s="145">
        <f t="shared" si="0"/>
        <v>17733266</v>
      </c>
      <c r="H6" s="260">
        <f t="shared" si="0"/>
        <v>17733266</v>
      </c>
      <c r="I6" s="259">
        <f t="shared" si="0"/>
        <v>18460329.905999999</v>
      </c>
      <c r="J6" s="145">
        <f t="shared" si="0"/>
        <v>19272584.421864003</v>
      </c>
      <c r="K6" s="258">
        <f t="shared" si="0"/>
        <v>20139850.720847882</v>
      </c>
      <c r="L6" s="261"/>
    </row>
    <row r="7" spans="1:12" s="262" customFormat="1" ht="13.35" customHeight="1" x14ac:dyDescent="0.25">
      <c r="A7" s="235" t="s">
        <v>849</v>
      </c>
      <c r="B7" s="257"/>
      <c r="C7" s="150">
        <f t="shared" ref="C7:K7" si="1">SUM(C8:C11)</f>
        <v>0</v>
      </c>
      <c r="D7" s="150">
        <f t="shared" si="1"/>
        <v>0</v>
      </c>
      <c r="E7" s="151">
        <f t="shared" si="1"/>
        <v>0</v>
      </c>
      <c r="F7" s="152">
        <f t="shared" si="1"/>
        <v>0</v>
      </c>
      <c r="G7" s="150">
        <f t="shared" si="1"/>
        <v>0</v>
      </c>
      <c r="H7" s="153">
        <f t="shared" si="1"/>
        <v>0</v>
      </c>
      <c r="I7" s="152">
        <f t="shared" si="1"/>
        <v>0</v>
      </c>
      <c r="J7" s="150">
        <f t="shared" si="1"/>
        <v>0</v>
      </c>
      <c r="K7" s="153">
        <f t="shared" si="1"/>
        <v>0</v>
      </c>
      <c r="L7" s="73"/>
    </row>
    <row r="8" spans="1:12" s="262" customFormat="1" ht="13.35" customHeight="1" x14ac:dyDescent="0.25">
      <c r="A8" s="263" t="s">
        <v>504</v>
      </c>
      <c r="B8" s="257"/>
      <c r="C8" s="295"/>
      <c r="D8" s="295"/>
      <c r="E8" s="555"/>
      <c r="F8" s="556"/>
      <c r="G8" s="295"/>
      <c r="H8" s="294"/>
      <c r="I8" s="556"/>
      <c r="J8" s="295"/>
      <c r="K8" s="555"/>
      <c r="L8" s="261"/>
    </row>
    <row r="9" spans="1:12" s="262" customFormat="1" ht="13.35" customHeight="1" x14ac:dyDescent="0.25">
      <c r="A9" s="263" t="s">
        <v>850</v>
      </c>
      <c r="B9" s="257"/>
      <c r="C9" s="295"/>
      <c r="D9" s="295"/>
      <c r="E9" s="555"/>
      <c r="F9" s="556"/>
      <c r="G9" s="295"/>
      <c r="H9" s="294"/>
      <c r="I9" s="556"/>
      <c r="J9" s="295"/>
      <c r="K9" s="555"/>
      <c r="L9" s="265"/>
    </row>
    <row r="10" spans="1:12" s="262" customFormat="1" ht="13.35" customHeight="1" x14ac:dyDescent="0.25">
      <c r="A10" s="263" t="s">
        <v>851</v>
      </c>
      <c r="B10" s="257"/>
      <c r="C10" s="295"/>
      <c r="D10" s="295"/>
      <c r="E10" s="555"/>
      <c r="F10" s="556"/>
      <c r="G10" s="295"/>
      <c r="H10" s="294"/>
      <c r="I10" s="556"/>
      <c r="J10" s="295"/>
      <c r="K10" s="555"/>
      <c r="L10" s="265"/>
    </row>
    <row r="11" spans="1:12" s="262" customFormat="1" ht="13.35" customHeight="1" x14ac:dyDescent="0.25">
      <c r="A11" s="263" t="s">
        <v>852</v>
      </c>
      <c r="B11" s="257"/>
      <c r="C11" s="295"/>
      <c r="D11" s="295"/>
      <c r="E11" s="555"/>
      <c r="F11" s="556"/>
      <c r="G11" s="295"/>
      <c r="H11" s="294"/>
      <c r="I11" s="556"/>
      <c r="J11" s="295"/>
      <c r="K11" s="555"/>
      <c r="L11" s="265"/>
    </row>
    <row r="12" spans="1:12" s="262" customFormat="1" ht="13.35" customHeight="1" x14ac:dyDescent="0.25">
      <c r="A12" s="235" t="s">
        <v>853</v>
      </c>
      <c r="B12" s="257"/>
      <c r="C12" s="155">
        <f>SUM(C13:C15)</f>
        <v>0</v>
      </c>
      <c r="D12" s="155">
        <f t="shared" ref="D12:K12" si="2">SUM(D13:D15)</f>
        <v>0</v>
      </c>
      <c r="E12" s="156">
        <f t="shared" si="2"/>
        <v>0</v>
      </c>
      <c r="F12" s="157">
        <f t="shared" si="2"/>
        <v>0</v>
      </c>
      <c r="G12" s="155">
        <f t="shared" si="2"/>
        <v>0</v>
      </c>
      <c r="H12" s="158">
        <f t="shared" si="2"/>
        <v>0</v>
      </c>
      <c r="I12" s="159">
        <f t="shared" si="2"/>
        <v>0</v>
      </c>
      <c r="J12" s="155">
        <f t="shared" si="2"/>
        <v>0</v>
      </c>
      <c r="K12" s="158">
        <f t="shared" si="2"/>
        <v>0</v>
      </c>
      <c r="L12" s="265"/>
    </row>
    <row r="13" spans="1:12" s="262" customFormat="1" ht="13.35" customHeight="1" x14ac:dyDescent="0.25">
      <c r="A13" s="263" t="s">
        <v>854</v>
      </c>
      <c r="B13" s="257"/>
      <c r="C13" s="295"/>
      <c r="D13" s="295"/>
      <c r="E13" s="296"/>
      <c r="F13" s="297"/>
      <c r="G13" s="295"/>
      <c r="H13" s="298"/>
      <c r="I13" s="557"/>
      <c r="J13" s="295"/>
      <c r="K13" s="298"/>
      <c r="L13" s="265"/>
    </row>
    <row r="14" spans="1:12" s="262" customFormat="1" ht="13.35" customHeight="1" x14ac:dyDescent="0.25">
      <c r="A14" s="263" t="s">
        <v>855</v>
      </c>
      <c r="B14" s="257"/>
      <c r="C14" s="295"/>
      <c r="D14" s="295"/>
      <c r="E14" s="296"/>
      <c r="F14" s="297"/>
      <c r="G14" s="295"/>
      <c r="H14" s="298"/>
      <c r="I14" s="557"/>
      <c r="J14" s="295"/>
      <c r="K14" s="298"/>
      <c r="L14" s="265"/>
    </row>
    <row r="15" spans="1:12" s="262" customFormat="1" ht="13.35" customHeight="1" x14ac:dyDescent="0.25">
      <c r="A15" s="263" t="s">
        <v>856</v>
      </c>
      <c r="B15" s="257"/>
      <c r="C15" s="295"/>
      <c r="D15" s="295"/>
      <c r="E15" s="296"/>
      <c r="F15" s="297"/>
      <c r="G15" s="295"/>
      <c r="H15" s="298"/>
      <c r="I15" s="557"/>
      <c r="J15" s="295"/>
      <c r="K15" s="298"/>
      <c r="L15" s="265"/>
    </row>
    <row r="16" spans="1:12" s="262" customFormat="1" ht="13.35" customHeight="1" x14ac:dyDescent="0.25">
      <c r="A16" s="235" t="s">
        <v>857</v>
      </c>
      <c r="B16" s="257"/>
      <c r="C16" s="155">
        <f t="shared" ref="C16:K16" si="3">SUM(C17:C25)</f>
        <v>1941876.31</v>
      </c>
      <c r="D16" s="155">
        <f t="shared" si="3"/>
        <v>107904147.79000001</v>
      </c>
      <c r="E16" s="156">
        <f t="shared" si="3"/>
        <v>126060297.59999999</v>
      </c>
      <c r="F16" s="157">
        <f t="shared" si="3"/>
        <v>40213832</v>
      </c>
      <c r="G16" s="155">
        <f t="shared" si="3"/>
        <v>17733266</v>
      </c>
      <c r="H16" s="158">
        <f t="shared" si="3"/>
        <v>17733266</v>
      </c>
      <c r="I16" s="159">
        <f t="shared" si="3"/>
        <v>18460329.905999999</v>
      </c>
      <c r="J16" s="155">
        <f t="shared" si="3"/>
        <v>19272584.421864003</v>
      </c>
      <c r="K16" s="158">
        <f t="shared" si="3"/>
        <v>20139850.720847882</v>
      </c>
      <c r="L16" s="265"/>
    </row>
    <row r="17" spans="1:12" s="262" customFormat="1" ht="13.35" customHeight="1" x14ac:dyDescent="0.25">
      <c r="A17" s="263" t="s">
        <v>858</v>
      </c>
      <c r="B17" s="257"/>
      <c r="C17" s="295"/>
      <c r="D17" s="295"/>
      <c r="E17" s="296"/>
      <c r="F17" s="297"/>
      <c r="G17" s="295"/>
      <c r="H17" s="298"/>
      <c r="I17" s="557"/>
      <c r="J17" s="295"/>
      <c r="K17" s="298"/>
      <c r="L17" s="265"/>
    </row>
    <row r="18" spans="1:12" s="262" customFormat="1" ht="13.35" customHeight="1" x14ac:dyDescent="0.25">
      <c r="A18" s="263" t="s">
        <v>859</v>
      </c>
      <c r="B18" s="257"/>
      <c r="C18" s="295"/>
      <c r="D18" s="295"/>
      <c r="E18" s="296"/>
      <c r="F18" s="297"/>
      <c r="G18" s="295"/>
      <c r="H18" s="298"/>
      <c r="I18" s="557"/>
      <c r="J18" s="295"/>
      <c r="K18" s="298"/>
      <c r="L18" s="265"/>
    </row>
    <row r="19" spans="1:12" s="262" customFormat="1" ht="13.35" customHeight="1" x14ac:dyDescent="0.25">
      <c r="A19" s="263" t="s">
        <v>860</v>
      </c>
      <c r="B19" s="257"/>
      <c r="C19" s="295"/>
      <c r="D19" s="295"/>
      <c r="E19" s="296"/>
      <c r="F19" s="297"/>
      <c r="G19" s="295"/>
      <c r="H19" s="298"/>
      <c r="I19" s="557"/>
      <c r="J19" s="295"/>
      <c r="K19" s="298"/>
      <c r="L19" s="265"/>
    </row>
    <row r="20" spans="1:12" s="262" customFormat="1" ht="13.35" customHeight="1" x14ac:dyDescent="0.25">
      <c r="A20" s="263" t="s">
        <v>861</v>
      </c>
      <c r="B20" s="257"/>
      <c r="C20" s="295"/>
      <c r="D20" s="295"/>
      <c r="E20" s="296"/>
      <c r="F20" s="297"/>
      <c r="G20" s="295"/>
      <c r="H20" s="298"/>
      <c r="I20" s="557"/>
      <c r="J20" s="295"/>
      <c r="K20" s="298"/>
      <c r="L20" s="265"/>
    </row>
    <row r="21" spans="1:12" s="262" customFormat="1" ht="13.35" customHeight="1" x14ac:dyDescent="0.25">
      <c r="A21" s="263" t="s">
        <v>862</v>
      </c>
      <c r="B21" s="257"/>
      <c r="C21" s="295"/>
      <c r="D21" s="295"/>
      <c r="E21" s="296"/>
      <c r="F21" s="297"/>
      <c r="G21" s="295"/>
      <c r="H21" s="298"/>
      <c r="I21" s="557"/>
      <c r="J21" s="295"/>
      <c r="K21" s="298"/>
      <c r="L21" s="265"/>
    </row>
    <row r="22" spans="1:12" s="262" customFormat="1" ht="13.35" customHeight="1" x14ac:dyDescent="0.25">
      <c r="A22" s="263" t="s">
        <v>863</v>
      </c>
      <c r="B22" s="257"/>
      <c r="C22" s="295"/>
      <c r="D22" s="295"/>
      <c r="E22" s="296"/>
      <c r="F22" s="297"/>
      <c r="G22" s="295"/>
      <c r="H22" s="298"/>
      <c r="I22" s="557"/>
      <c r="J22" s="295"/>
      <c r="K22" s="298"/>
      <c r="L22" s="261"/>
    </row>
    <row r="23" spans="1:12" s="262" customFormat="1" ht="13.35" customHeight="1" x14ac:dyDescent="0.25">
      <c r="A23" s="263" t="s">
        <v>864</v>
      </c>
      <c r="B23" s="257"/>
      <c r="C23" s="295"/>
      <c r="D23" s="295"/>
      <c r="E23" s="296"/>
      <c r="F23" s="297"/>
      <c r="G23" s="295"/>
      <c r="H23" s="298"/>
      <c r="I23" s="557"/>
      <c r="J23" s="295"/>
      <c r="K23" s="298"/>
      <c r="L23" s="265"/>
    </row>
    <row r="24" spans="1:12" s="262" customFormat="1" ht="13.35" customHeight="1" x14ac:dyDescent="0.25">
      <c r="A24" s="263" t="s">
        <v>865</v>
      </c>
      <c r="B24" s="257"/>
      <c r="C24" s="295">
        <v>1941876.31</v>
      </c>
      <c r="D24" s="295">
        <v>107904147.79000001</v>
      </c>
      <c r="E24" s="296">
        <v>126060297.59999999</v>
      </c>
      <c r="F24" s="297">
        <v>40213832</v>
      </c>
      <c r="G24" s="295">
        <v>17733266</v>
      </c>
      <c r="H24" s="298">
        <v>17733266</v>
      </c>
      <c r="I24" s="557">
        <v>18460329.905999999</v>
      </c>
      <c r="J24" s="295">
        <v>19272584.421864003</v>
      </c>
      <c r="K24" s="298">
        <v>20139850.720847882</v>
      </c>
      <c r="L24" s="265"/>
    </row>
    <row r="25" spans="1:12" s="262" customFormat="1" ht="13.35" customHeight="1" x14ac:dyDescent="0.25">
      <c r="A25" s="263" t="s">
        <v>852</v>
      </c>
      <c r="B25" s="257"/>
      <c r="C25" s="295"/>
      <c r="D25" s="295"/>
      <c r="E25" s="296"/>
      <c r="F25" s="297"/>
      <c r="G25" s="295"/>
      <c r="H25" s="298"/>
      <c r="I25" s="557"/>
      <c r="J25" s="295"/>
      <c r="K25" s="298"/>
      <c r="L25" s="265"/>
    </row>
    <row r="26" spans="1:12" ht="13.35" customHeight="1" x14ac:dyDescent="0.2">
      <c r="A26" s="239" t="s">
        <v>866</v>
      </c>
      <c r="B26" s="266"/>
      <c r="C26" s="155">
        <f>SUM(C27:C36)</f>
        <v>0</v>
      </c>
      <c r="D26" s="155">
        <f t="shared" ref="D26:K26" si="4">SUM(D27:D36)</f>
        <v>0</v>
      </c>
      <c r="E26" s="156">
        <f t="shared" si="4"/>
        <v>0</v>
      </c>
      <c r="F26" s="157">
        <f t="shared" si="4"/>
        <v>0</v>
      </c>
      <c r="G26" s="155">
        <f t="shared" si="4"/>
        <v>0</v>
      </c>
      <c r="H26" s="158">
        <f t="shared" si="4"/>
        <v>0</v>
      </c>
      <c r="I26" s="159">
        <f t="shared" si="4"/>
        <v>0</v>
      </c>
      <c r="J26" s="155">
        <f t="shared" si="4"/>
        <v>0</v>
      </c>
      <c r="K26" s="158">
        <f t="shared" si="4"/>
        <v>0</v>
      </c>
      <c r="L26" s="73"/>
    </row>
    <row r="27" spans="1:12" ht="13.35" customHeight="1" x14ac:dyDescent="0.2">
      <c r="A27" s="263" t="s">
        <v>867</v>
      </c>
      <c r="B27" s="257"/>
      <c r="C27" s="295"/>
      <c r="D27" s="295"/>
      <c r="E27" s="296"/>
      <c r="F27" s="297"/>
      <c r="G27" s="295"/>
      <c r="H27" s="298"/>
      <c r="I27" s="557"/>
      <c r="J27" s="295"/>
      <c r="K27" s="298"/>
      <c r="L27" s="73"/>
    </row>
    <row r="28" spans="1:12" ht="13.35" customHeight="1" x14ac:dyDescent="0.2">
      <c r="A28" s="263" t="s">
        <v>868</v>
      </c>
      <c r="B28" s="257"/>
      <c r="C28" s="295"/>
      <c r="D28" s="295"/>
      <c r="E28" s="296"/>
      <c r="F28" s="297"/>
      <c r="G28" s="295"/>
      <c r="H28" s="298"/>
      <c r="I28" s="557"/>
      <c r="J28" s="295"/>
      <c r="K28" s="298"/>
      <c r="L28" s="265"/>
    </row>
    <row r="29" spans="1:12" ht="13.35" customHeight="1" x14ac:dyDescent="0.2">
      <c r="A29" s="263" t="s">
        <v>869</v>
      </c>
      <c r="B29" s="257"/>
      <c r="C29" s="295"/>
      <c r="D29" s="295"/>
      <c r="E29" s="296"/>
      <c r="F29" s="297"/>
      <c r="G29" s="295"/>
      <c r="H29" s="298"/>
      <c r="I29" s="557"/>
      <c r="J29" s="295"/>
      <c r="K29" s="298"/>
      <c r="L29" s="265"/>
    </row>
    <row r="30" spans="1:12" ht="13.35" customHeight="1" x14ac:dyDescent="0.2">
      <c r="A30" s="263" t="s">
        <v>870</v>
      </c>
      <c r="B30" s="257"/>
      <c r="C30" s="295"/>
      <c r="D30" s="295"/>
      <c r="E30" s="296"/>
      <c r="F30" s="297"/>
      <c r="G30" s="295"/>
      <c r="H30" s="298"/>
      <c r="I30" s="557"/>
      <c r="J30" s="295"/>
      <c r="K30" s="298"/>
      <c r="L30" s="265"/>
    </row>
    <row r="31" spans="1:12" ht="13.35" customHeight="1" x14ac:dyDescent="0.2">
      <c r="A31" s="263" t="s">
        <v>871</v>
      </c>
      <c r="B31" s="257"/>
      <c r="C31" s="295"/>
      <c r="D31" s="295"/>
      <c r="E31" s="296"/>
      <c r="F31" s="297"/>
      <c r="G31" s="295"/>
      <c r="H31" s="298"/>
      <c r="I31" s="557"/>
      <c r="J31" s="295"/>
      <c r="K31" s="298"/>
      <c r="L31" s="265"/>
    </row>
    <row r="32" spans="1:12" ht="13.35" customHeight="1" x14ac:dyDescent="0.2">
      <c r="A32" s="263" t="s">
        <v>872</v>
      </c>
      <c r="B32" s="257"/>
      <c r="C32" s="295"/>
      <c r="D32" s="295"/>
      <c r="E32" s="296"/>
      <c r="F32" s="297"/>
      <c r="G32" s="295"/>
      <c r="H32" s="298"/>
      <c r="I32" s="557"/>
      <c r="J32" s="295"/>
      <c r="K32" s="298"/>
      <c r="L32" s="265"/>
    </row>
    <row r="33" spans="1:15" ht="13.35" customHeight="1" x14ac:dyDescent="0.2">
      <c r="A33" s="263" t="s">
        <v>873</v>
      </c>
      <c r="B33" s="257"/>
      <c r="C33" s="295"/>
      <c r="D33" s="295"/>
      <c r="E33" s="296"/>
      <c r="F33" s="297"/>
      <c r="G33" s="295"/>
      <c r="H33" s="298"/>
      <c r="I33" s="557"/>
      <c r="J33" s="295"/>
      <c r="K33" s="298"/>
      <c r="L33" s="265"/>
    </row>
    <row r="34" spans="1:15" ht="13.35" customHeight="1" x14ac:dyDescent="0.2">
      <c r="A34" s="263" t="s">
        <v>874</v>
      </c>
      <c r="B34" s="257"/>
      <c r="C34" s="295"/>
      <c r="D34" s="295"/>
      <c r="E34" s="296"/>
      <c r="F34" s="297"/>
      <c r="G34" s="295"/>
      <c r="H34" s="298"/>
      <c r="I34" s="557"/>
      <c r="J34" s="295"/>
      <c r="K34" s="298"/>
      <c r="L34" s="265"/>
    </row>
    <row r="35" spans="1:15" ht="13.35" customHeight="1" x14ac:dyDescent="0.2">
      <c r="A35" s="263" t="s">
        <v>875</v>
      </c>
      <c r="B35" s="257"/>
      <c r="C35" s="295"/>
      <c r="D35" s="295"/>
      <c r="E35" s="296"/>
      <c r="F35" s="297"/>
      <c r="G35" s="295"/>
      <c r="H35" s="298"/>
      <c r="I35" s="557"/>
      <c r="J35" s="295"/>
      <c r="K35" s="298"/>
      <c r="L35" s="265"/>
    </row>
    <row r="36" spans="1:15" ht="13.35" customHeight="1" x14ac:dyDescent="0.2">
      <c r="A36" s="263" t="s">
        <v>852</v>
      </c>
      <c r="B36" s="257"/>
      <c r="C36" s="295"/>
      <c r="D36" s="295"/>
      <c r="E36" s="296"/>
      <c r="F36" s="297"/>
      <c r="G36" s="295"/>
      <c r="H36" s="298"/>
      <c r="I36" s="557"/>
      <c r="J36" s="295"/>
      <c r="K36" s="298"/>
      <c r="L36" s="265"/>
    </row>
    <row r="37" spans="1:15" ht="13.35" customHeight="1" x14ac:dyDescent="0.2">
      <c r="A37" s="239" t="s">
        <v>876</v>
      </c>
      <c r="B37" s="257"/>
      <c r="C37" s="155">
        <f>SUM(C38:C43)</f>
        <v>0</v>
      </c>
      <c r="D37" s="155">
        <f t="shared" ref="D37:K37" si="5">SUM(D38:D43)</f>
        <v>0</v>
      </c>
      <c r="E37" s="156">
        <f t="shared" si="5"/>
        <v>0</v>
      </c>
      <c r="F37" s="157">
        <f t="shared" si="5"/>
        <v>0</v>
      </c>
      <c r="G37" s="155">
        <f t="shared" si="5"/>
        <v>0</v>
      </c>
      <c r="H37" s="158">
        <f t="shared" si="5"/>
        <v>0</v>
      </c>
      <c r="I37" s="159">
        <f t="shared" si="5"/>
        <v>0</v>
      </c>
      <c r="J37" s="155">
        <f t="shared" si="5"/>
        <v>0</v>
      </c>
      <c r="K37" s="158">
        <f t="shared" si="5"/>
        <v>0</v>
      </c>
      <c r="L37" s="265"/>
      <c r="O37" s="73"/>
    </row>
    <row r="38" spans="1:15" ht="13.35" customHeight="1" x14ac:dyDescent="0.2">
      <c r="A38" s="263" t="s">
        <v>877</v>
      </c>
      <c r="B38" s="257"/>
      <c r="C38" s="295"/>
      <c r="D38" s="295"/>
      <c r="E38" s="296"/>
      <c r="F38" s="297"/>
      <c r="G38" s="295"/>
      <c r="H38" s="298"/>
      <c r="I38" s="557"/>
      <c r="J38" s="295"/>
      <c r="K38" s="298"/>
      <c r="L38" s="265"/>
    </row>
    <row r="39" spans="1:15" ht="13.35" customHeight="1" x14ac:dyDescent="0.2">
      <c r="A39" s="263" t="s">
        <v>494</v>
      </c>
      <c r="B39" s="257"/>
      <c r="C39" s="295"/>
      <c r="D39" s="295"/>
      <c r="E39" s="296"/>
      <c r="F39" s="297"/>
      <c r="G39" s="295"/>
      <c r="H39" s="298"/>
      <c r="I39" s="557"/>
      <c r="J39" s="295"/>
      <c r="K39" s="298"/>
      <c r="L39" s="265"/>
    </row>
    <row r="40" spans="1:15" ht="13.35" customHeight="1" x14ac:dyDescent="0.2">
      <c r="A40" s="263" t="s">
        <v>878</v>
      </c>
      <c r="B40" s="257"/>
      <c r="C40" s="295"/>
      <c r="D40" s="295"/>
      <c r="E40" s="296"/>
      <c r="F40" s="297"/>
      <c r="G40" s="295"/>
      <c r="H40" s="298"/>
      <c r="I40" s="557"/>
      <c r="J40" s="295"/>
      <c r="K40" s="298"/>
      <c r="L40" s="73"/>
    </row>
    <row r="41" spans="1:15" ht="13.35" customHeight="1" x14ac:dyDescent="0.2">
      <c r="A41" s="263" t="s">
        <v>879</v>
      </c>
      <c r="B41" s="257"/>
      <c r="C41" s="295"/>
      <c r="D41" s="295"/>
      <c r="E41" s="296"/>
      <c r="F41" s="297"/>
      <c r="G41" s="295"/>
      <c r="H41" s="298"/>
      <c r="I41" s="557"/>
      <c r="J41" s="295"/>
      <c r="K41" s="298"/>
      <c r="L41" s="265"/>
    </row>
    <row r="42" spans="1:15" ht="13.35" customHeight="1" x14ac:dyDescent="0.2">
      <c r="A42" s="263" t="s">
        <v>880</v>
      </c>
      <c r="B42" s="257"/>
      <c r="C42" s="295"/>
      <c r="D42" s="295"/>
      <c r="E42" s="296"/>
      <c r="F42" s="297"/>
      <c r="G42" s="295"/>
      <c r="H42" s="298"/>
      <c r="I42" s="557"/>
      <c r="J42" s="295"/>
      <c r="K42" s="298"/>
      <c r="L42" s="73"/>
    </row>
    <row r="43" spans="1:15" ht="13.35" customHeight="1" x14ac:dyDescent="0.2">
      <c r="A43" s="263" t="s">
        <v>852</v>
      </c>
      <c r="B43" s="257"/>
      <c r="C43" s="295"/>
      <c r="D43" s="295"/>
      <c r="E43" s="296"/>
      <c r="F43" s="297"/>
      <c r="G43" s="295"/>
      <c r="H43" s="298"/>
      <c r="I43" s="557"/>
      <c r="J43" s="295"/>
      <c r="K43" s="298"/>
      <c r="L43" s="73"/>
    </row>
    <row r="44" spans="1:15" ht="13.35" customHeight="1" x14ac:dyDescent="0.2">
      <c r="A44" s="239" t="s">
        <v>881</v>
      </c>
      <c r="B44" s="257"/>
      <c r="C44" s="155">
        <f>SUM(C45:C51)</f>
        <v>0</v>
      </c>
      <c r="D44" s="155">
        <f t="shared" ref="D44:K44" si="6">SUM(D45:D51)</f>
        <v>0</v>
      </c>
      <c r="E44" s="156">
        <f t="shared" si="6"/>
        <v>0</v>
      </c>
      <c r="F44" s="157">
        <f t="shared" si="6"/>
        <v>0</v>
      </c>
      <c r="G44" s="155">
        <f t="shared" si="6"/>
        <v>0</v>
      </c>
      <c r="H44" s="158">
        <f t="shared" si="6"/>
        <v>0</v>
      </c>
      <c r="I44" s="159">
        <f t="shared" si="6"/>
        <v>0</v>
      </c>
      <c r="J44" s="155">
        <f t="shared" si="6"/>
        <v>0</v>
      </c>
      <c r="K44" s="158">
        <f t="shared" si="6"/>
        <v>0</v>
      </c>
      <c r="L44" s="73"/>
    </row>
    <row r="45" spans="1:15" ht="13.35" customHeight="1" x14ac:dyDescent="0.2">
      <c r="A45" s="263" t="s">
        <v>882</v>
      </c>
      <c r="B45" s="257"/>
      <c r="C45" s="295"/>
      <c r="D45" s="295"/>
      <c r="E45" s="296"/>
      <c r="F45" s="297"/>
      <c r="G45" s="295"/>
      <c r="H45" s="298"/>
      <c r="I45" s="557"/>
      <c r="J45" s="295"/>
      <c r="K45" s="298"/>
      <c r="L45" s="73"/>
    </row>
    <row r="46" spans="1:15" ht="13.35" customHeight="1" x14ac:dyDescent="0.2">
      <c r="A46" s="263" t="s">
        <v>883</v>
      </c>
      <c r="B46" s="257"/>
      <c r="C46" s="295"/>
      <c r="D46" s="295"/>
      <c r="E46" s="296"/>
      <c r="F46" s="297"/>
      <c r="G46" s="295"/>
      <c r="H46" s="298"/>
      <c r="I46" s="557"/>
      <c r="J46" s="295"/>
      <c r="K46" s="298"/>
      <c r="L46" s="73"/>
    </row>
    <row r="47" spans="1:15" ht="13.35" customHeight="1" x14ac:dyDescent="0.2">
      <c r="A47" s="263" t="s">
        <v>884</v>
      </c>
      <c r="B47" s="257"/>
      <c r="C47" s="295"/>
      <c r="D47" s="295"/>
      <c r="E47" s="296"/>
      <c r="F47" s="297"/>
      <c r="G47" s="295"/>
      <c r="H47" s="298"/>
      <c r="I47" s="557"/>
      <c r="J47" s="295"/>
      <c r="K47" s="298"/>
      <c r="L47" s="73"/>
    </row>
    <row r="48" spans="1:15" ht="13.35" customHeight="1" x14ac:dyDescent="0.2">
      <c r="A48" s="263" t="s">
        <v>885</v>
      </c>
      <c r="B48" s="257"/>
      <c r="C48" s="295"/>
      <c r="D48" s="295"/>
      <c r="E48" s="296"/>
      <c r="F48" s="297"/>
      <c r="G48" s="295"/>
      <c r="H48" s="298"/>
      <c r="I48" s="557"/>
      <c r="J48" s="295"/>
      <c r="K48" s="298"/>
      <c r="L48" s="265"/>
    </row>
    <row r="49" spans="1:12" ht="13.35" customHeight="1" x14ac:dyDescent="0.2">
      <c r="A49" s="263" t="s">
        <v>886</v>
      </c>
      <c r="B49" s="257"/>
      <c r="C49" s="295"/>
      <c r="D49" s="295"/>
      <c r="E49" s="296"/>
      <c r="F49" s="297"/>
      <c r="G49" s="295"/>
      <c r="H49" s="298"/>
      <c r="I49" s="557"/>
      <c r="J49" s="295"/>
      <c r="K49" s="298"/>
      <c r="L49" s="73"/>
    </row>
    <row r="50" spans="1:12" ht="13.35" customHeight="1" x14ac:dyDescent="0.2">
      <c r="A50" s="263" t="s">
        <v>887</v>
      </c>
      <c r="B50" s="257"/>
      <c r="C50" s="295"/>
      <c r="D50" s="295"/>
      <c r="E50" s="296"/>
      <c r="F50" s="297"/>
      <c r="G50" s="295"/>
      <c r="H50" s="298"/>
      <c r="I50" s="557"/>
      <c r="J50" s="295"/>
      <c r="K50" s="298"/>
      <c r="L50" s="73"/>
    </row>
    <row r="51" spans="1:12" ht="13.35" customHeight="1" x14ac:dyDescent="0.2">
      <c r="A51" s="263" t="s">
        <v>852</v>
      </c>
      <c r="B51" s="257"/>
      <c r="C51" s="295"/>
      <c r="D51" s="295"/>
      <c r="E51" s="296"/>
      <c r="F51" s="297"/>
      <c r="G51" s="295"/>
      <c r="H51" s="298"/>
      <c r="I51" s="557"/>
      <c r="J51" s="295"/>
      <c r="K51" s="298"/>
      <c r="L51" s="73"/>
    </row>
    <row r="52" spans="1:12" ht="13.35" customHeight="1" x14ac:dyDescent="0.2">
      <c r="A52" s="235" t="s">
        <v>888</v>
      </c>
      <c r="B52" s="257"/>
      <c r="C52" s="155">
        <f t="shared" ref="C52:K52" si="7">SUM(C53:C61)</f>
        <v>0</v>
      </c>
      <c r="D52" s="155">
        <f t="shared" si="7"/>
        <v>0</v>
      </c>
      <c r="E52" s="156">
        <f t="shared" si="7"/>
        <v>0</v>
      </c>
      <c r="F52" s="157">
        <f t="shared" si="7"/>
        <v>0</v>
      </c>
      <c r="G52" s="155">
        <f t="shared" si="7"/>
        <v>0</v>
      </c>
      <c r="H52" s="158">
        <f t="shared" si="7"/>
        <v>0</v>
      </c>
      <c r="I52" s="159">
        <f t="shared" si="7"/>
        <v>0</v>
      </c>
      <c r="J52" s="155">
        <f t="shared" si="7"/>
        <v>0</v>
      </c>
      <c r="K52" s="158">
        <f t="shared" si="7"/>
        <v>0</v>
      </c>
      <c r="L52" s="265"/>
    </row>
    <row r="53" spans="1:12" ht="13.35" customHeight="1" x14ac:dyDescent="0.2">
      <c r="A53" s="263" t="s">
        <v>889</v>
      </c>
      <c r="B53" s="257"/>
      <c r="C53" s="295"/>
      <c r="D53" s="295"/>
      <c r="E53" s="296"/>
      <c r="F53" s="297"/>
      <c r="G53" s="295"/>
      <c r="H53" s="298"/>
      <c r="I53" s="557"/>
      <c r="J53" s="295"/>
      <c r="K53" s="298"/>
      <c r="L53" s="73"/>
    </row>
    <row r="54" spans="1:12" ht="13.35" customHeight="1" x14ac:dyDescent="0.2">
      <c r="A54" s="263" t="s">
        <v>890</v>
      </c>
      <c r="B54" s="257"/>
      <c r="C54" s="295"/>
      <c r="D54" s="295"/>
      <c r="E54" s="296"/>
      <c r="F54" s="297"/>
      <c r="G54" s="295"/>
      <c r="H54" s="298"/>
      <c r="I54" s="557"/>
      <c r="J54" s="295"/>
      <c r="K54" s="298"/>
      <c r="L54" s="265"/>
    </row>
    <row r="55" spans="1:12" ht="13.35" customHeight="1" x14ac:dyDescent="0.2">
      <c r="A55" s="263" t="s">
        <v>891</v>
      </c>
      <c r="B55" s="257"/>
      <c r="C55" s="295"/>
      <c r="D55" s="295"/>
      <c r="E55" s="296"/>
      <c r="F55" s="297"/>
      <c r="G55" s="295"/>
      <c r="H55" s="298"/>
      <c r="I55" s="557"/>
      <c r="J55" s="295"/>
      <c r="K55" s="298"/>
      <c r="L55" s="265"/>
    </row>
    <row r="56" spans="1:12" ht="13.35" customHeight="1" x14ac:dyDescent="0.2">
      <c r="A56" s="263" t="s">
        <v>854</v>
      </c>
      <c r="B56" s="257"/>
      <c r="C56" s="295"/>
      <c r="D56" s="295"/>
      <c r="E56" s="296"/>
      <c r="F56" s="297"/>
      <c r="G56" s="295"/>
      <c r="H56" s="298"/>
      <c r="I56" s="557"/>
      <c r="J56" s="295"/>
      <c r="K56" s="298"/>
      <c r="L56" s="265"/>
    </row>
    <row r="57" spans="1:12" ht="13.35" customHeight="1" x14ac:dyDescent="0.2">
      <c r="A57" s="263" t="s">
        <v>855</v>
      </c>
      <c r="B57" s="257"/>
      <c r="C57" s="295"/>
      <c r="D57" s="295"/>
      <c r="E57" s="296"/>
      <c r="F57" s="297"/>
      <c r="G57" s="295"/>
      <c r="H57" s="298"/>
      <c r="I57" s="557"/>
      <c r="J57" s="295"/>
      <c r="K57" s="298"/>
      <c r="L57" s="265"/>
    </row>
    <row r="58" spans="1:12" ht="13.35" customHeight="1" x14ac:dyDescent="0.2">
      <c r="A58" s="263" t="s">
        <v>856</v>
      </c>
      <c r="B58" s="257"/>
      <c r="C58" s="295"/>
      <c r="D58" s="295"/>
      <c r="E58" s="296"/>
      <c r="F58" s="297"/>
      <c r="G58" s="295"/>
      <c r="H58" s="298"/>
      <c r="I58" s="557"/>
      <c r="J58" s="295"/>
      <c r="K58" s="298"/>
      <c r="L58" s="261"/>
    </row>
    <row r="59" spans="1:12" ht="13.35" customHeight="1" x14ac:dyDescent="0.2">
      <c r="A59" s="263" t="s">
        <v>862</v>
      </c>
      <c r="B59" s="257"/>
      <c r="C59" s="295"/>
      <c r="D59" s="295"/>
      <c r="E59" s="296"/>
      <c r="F59" s="297"/>
      <c r="G59" s="295"/>
      <c r="H59" s="298"/>
      <c r="I59" s="557"/>
      <c r="J59" s="295"/>
      <c r="K59" s="298"/>
      <c r="L59" s="265"/>
    </row>
    <row r="60" spans="1:12" ht="13.35" customHeight="1" x14ac:dyDescent="0.2">
      <c r="A60" s="263" t="s">
        <v>865</v>
      </c>
      <c r="B60" s="257"/>
      <c r="C60" s="295"/>
      <c r="D60" s="295"/>
      <c r="E60" s="296"/>
      <c r="F60" s="297"/>
      <c r="G60" s="295"/>
      <c r="H60" s="298"/>
      <c r="I60" s="557"/>
      <c r="J60" s="295"/>
      <c r="K60" s="298"/>
      <c r="L60" s="265"/>
    </row>
    <row r="61" spans="1:12" ht="13.35" customHeight="1" x14ac:dyDescent="0.2">
      <c r="A61" s="263" t="s">
        <v>852</v>
      </c>
      <c r="B61" s="257"/>
      <c r="C61" s="295"/>
      <c r="D61" s="295"/>
      <c r="E61" s="296"/>
      <c r="F61" s="297"/>
      <c r="G61" s="295"/>
      <c r="H61" s="298"/>
      <c r="I61" s="557"/>
      <c r="J61" s="295"/>
      <c r="K61" s="298"/>
      <c r="L61" s="265"/>
    </row>
    <row r="62" spans="1:12" ht="13.35" customHeight="1" x14ac:dyDescent="0.2">
      <c r="A62" s="239" t="s">
        <v>892</v>
      </c>
      <c r="B62" s="257"/>
      <c r="C62" s="155">
        <f>SUM(C63:C67)</f>
        <v>0</v>
      </c>
      <c r="D62" s="155">
        <f t="shared" ref="D62:K62" si="8">SUM(D63:D67)</f>
        <v>0</v>
      </c>
      <c r="E62" s="156">
        <f t="shared" si="8"/>
        <v>0</v>
      </c>
      <c r="F62" s="157">
        <f t="shared" si="8"/>
        <v>0</v>
      </c>
      <c r="G62" s="155">
        <f t="shared" si="8"/>
        <v>0</v>
      </c>
      <c r="H62" s="158">
        <f t="shared" si="8"/>
        <v>0</v>
      </c>
      <c r="I62" s="159">
        <f t="shared" si="8"/>
        <v>0</v>
      </c>
      <c r="J62" s="155">
        <f t="shared" si="8"/>
        <v>0</v>
      </c>
      <c r="K62" s="158">
        <f t="shared" si="8"/>
        <v>0</v>
      </c>
      <c r="L62" s="265"/>
    </row>
    <row r="63" spans="1:12" ht="13.35" customHeight="1" x14ac:dyDescent="0.2">
      <c r="A63" s="263" t="s">
        <v>893</v>
      </c>
      <c r="B63" s="257"/>
      <c r="C63" s="295"/>
      <c r="D63" s="295"/>
      <c r="E63" s="296"/>
      <c r="F63" s="297"/>
      <c r="G63" s="295"/>
      <c r="H63" s="298"/>
      <c r="I63" s="557"/>
      <c r="J63" s="295"/>
      <c r="K63" s="298"/>
      <c r="L63" s="265"/>
    </row>
    <row r="64" spans="1:12" ht="13.35" customHeight="1" x14ac:dyDescent="0.2">
      <c r="A64" s="263" t="s">
        <v>894</v>
      </c>
      <c r="B64" s="257"/>
      <c r="C64" s="295"/>
      <c r="D64" s="295"/>
      <c r="E64" s="296"/>
      <c r="F64" s="297"/>
      <c r="G64" s="295"/>
      <c r="H64" s="298"/>
      <c r="I64" s="557"/>
      <c r="J64" s="295"/>
      <c r="K64" s="298"/>
      <c r="L64" s="73"/>
    </row>
    <row r="65" spans="1:12" ht="13.35" customHeight="1" x14ac:dyDescent="0.2">
      <c r="A65" s="263" t="s">
        <v>895</v>
      </c>
      <c r="B65" s="257"/>
      <c r="C65" s="295"/>
      <c r="D65" s="295"/>
      <c r="E65" s="296"/>
      <c r="F65" s="297"/>
      <c r="G65" s="295"/>
      <c r="H65" s="298"/>
      <c r="I65" s="557"/>
      <c r="J65" s="295"/>
      <c r="K65" s="298"/>
      <c r="L65" s="73"/>
    </row>
    <row r="66" spans="1:12" ht="13.35" customHeight="1" x14ac:dyDescent="0.2">
      <c r="A66" s="263" t="s">
        <v>896</v>
      </c>
      <c r="B66" s="257"/>
      <c r="C66" s="295"/>
      <c r="D66" s="295"/>
      <c r="E66" s="296"/>
      <c r="F66" s="297"/>
      <c r="G66" s="295"/>
      <c r="H66" s="298"/>
      <c r="I66" s="557"/>
      <c r="J66" s="295"/>
      <c r="K66" s="298"/>
      <c r="L66" s="73"/>
    </row>
    <row r="67" spans="1:12" ht="13.35" customHeight="1" x14ac:dyDescent="0.2">
      <c r="A67" s="263" t="s">
        <v>852</v>
      </c>
      <c r="B67" s="257"/>
      <c r="C67" s="295"/>
      <c r="D67" s="295"/>
      <c r="E67" s="296"/>
      <c r="F67" s="297"/>
      <c r="G67" s="295"/>
      <c r="H67" s="298"/>
      <c r="I67" s="557"/>
      <c r="J67" s="295"/>
      <c r="K67" s="298"/>
      <c r="L67" s="73"/>
    </row>
    <row r="68" spans="1:12" ht="13.35" customHeight="1" x14ac:dyDescent="0.2">
      <c r="A68" s="235" t="s">
        <v>897</v>
      </c>
      <c r="B68" s="257"/>
      <c r="C68" s="155">
        <f>SUM(C69:C72)</f>
        <v>0</v>
      </c>
      <c r="D68" s="155">
        <f t="shared" ref="D68:K68" si="9">SUM(D69:D72)</f>
        <v>0</v>
      </c>
      <c r="E68" s="155">
        <f t="shared" si="9"/>
        <v>0</v>
      </c>
      <c r="F68" s="157">
        <f t="shared" si="9"/>
        <v>0</v>
      </c>
      <c r="G68" s="155">
        <f t="shared" si="9"/>
        <v>0</v>
      </c>
      <c r="H68" s="158">
        <f t="shared" si="9"/>
        <v>0</v>
      </c>
      <c r="I68" s="159">
        <f t="shared" si="9"/>
        <v>0</v>
      </c>
      <c r="J68" s="155">
        <f t="shared" si="9"/>
        <v>0</v>
      </c>
      <c r="K68" s="158">
        <f t="shared" si="9"/>
        <v>0</v>
      </c>
      <c r="L68" s="73"/>
    </row>
    <row r="69" spans="1:12" ht="13.35" customHeight="1" x14ac:dyDescent="0.2">
      <c r="A69" s="263" t="s">
        <v>898</v>
      </c>
      <c r="B69" s="257"/>
      <c r="C69" s="295"/>
      <c r="D69" s="295"/>
      <c r="E69" s="294"/>
      <c r="F69" s="556"/>
      <c r="G69" s="295"/>
      <c r="H69" s="294"/>
      <c r="I69" s="556"/>
      <c r="J69" s="295"/>
      <c r="K69" s="298"/>
      <c r="L69" s="73"/>
    </row>
    <row r="70" spans="1:12" ht="13.35" customHeight="1" x14ac:dyDescent="0.2">
      <c r="A70" s="263" t="s">
        <v>899</v>
      </c>
      <c r="B70" s="257"/>
      <c r="C70" s="295"/>
      <c r="D70" s="295"/>
      <c r="E70" s="555"/>
      <c r="F70" s="556"/>
      <c r="G70" s="295"/>
      <c r="H70" s="294"/>
      <c r="I70" s="556"/>
      <c r="J70" s="295"/>
      <c r="K70" s="298"/>
      <c r="L70" s="73"/>
    </row>
    <row r="71" spans="1:12" ht="13.35" customHeight="1" x14ac:dyDescent="0.2">
      <c r="A71" s="263" t="s">
        <v>900</v>
      </c>
      <c r="B71" s="257"/>
      <c r="C71" s="295"/>
      <c r="D71" s="295"/>
      <c r="E71" s="555"/>
      <c r="F71" s="556"/>
      <c r="G71" s="295"/>
      <c r="H71" s="294"/>
      <c r="I71" s="556"/>
      <c r="J71" s="295"/>
      <c r="K71" s="555"/>
      <c r="L71" s="73"/>
    </row>
    <row r="72" spans="1:12" ht="13.35" customHeight="1" x14ac:dyDescent="0.2">
      <c r="A72" s="263" t="s">
        <v>852</v>
      </c>
      <c r="B72" s="257"/>
      <c r="C72" s="295"/>
      <c r="D72" s="295"/>
      <c r="E72" s="555"/>
      <c r="F72" s="556"/>
      <c r="G72" s="295"/>
      <c r="H72" s="294"/>
      <c r="I72" s="556"/>
      <c r="J72" s="295"/>
      <c r="K72" s="555"/>
      <c r="L72" s="73"/>
    </row>
    <row r="73" spans="1:12" ht="5.0999999999999996" customHeight="1" x14ac:dyDescent="0.2">
      <c r="A73" s="267"/>
      <c r="B73" s="257"/>
      <c r="C73" s="66"/>
      <c r="D73" s="66"/>
      <c r="E73" s="268"/>
      <c r="F73" s="269"/>
      <c r="G73" s="66"/>
      <c r="H73" s="270"/>
      <c r="I73" s="269"/>
      <c r="J73" s="66"/>
      <c r="K73" s="268"/>
      <c r="L73" s="73"/>
    </row>
    <row r="74" spans="1:12" ht="13.35" customHeight="1" x14ac:dyDescent="0.2">
      <c r="A74" s="256" t="s">
        <v>901</v>
      </c>
      <c r="B74" s="257"/>
      <c r="C74" s="145">
        <f>C75+C98</f>
        <v>0</v>
      </c>
      <c r="D74" s="145">
        <f t="shared" ref="D74:K74" si="10">D75+D98</f>
        <v>2502590.86</v>
      </c>
      <c r="E74" s="258">
        <f t="shared" si="10"/>
        <v>2737804.56</v>
      </c>
      <c r="F74" s="259">
        <f t="shared" si="10"/>
        <v>0</v>
      </c>
      <c r="G74" s="145">
        <f t="shared" si="10"/>
        <v>360000</v>
      </c>
      <c r="H74" s="260">
        <f t="shared" si="10"/>
        <v>360000</v>
      </c>
      <c r="I74" s="259">
        <f t="shared" si="10"/>
        <v>374760</v>
      </c>
      <c r="J74" s="145">
        <f t="shared" si="10"/>
        <v>391249.44</v>
      </c>
      <c r="K74" s="258">
        <f t="shared" si="10"/>
        <v>408855.66479999997</v>
      </c>
      <c r="L74" s="73"/>
    </row>
    <row r="75" spans="1:12" ht="13.35" customHeight="1" x14ac:dyDescent="0.2">
      <c r="A75" s="235" t="s">
        <v>902</v>
      </c>
      <c r="B75" s="257"/>
      <c r="C75" s="150">
        <f>SUM(C76:C97)</f>
        <v>0</v>
      </c>
      <c r="D75" s="150">
        <f t="shared" ref="D75:K75" si="11">SUM(D76:D97)</f>
        <v>2502590.86</v>
      </c>
      <c r="E75" s="151">
        <f t="shared" si="11"/>
        <v>2737804.56</v>
      </c>
      <c r="F75" s="152">
        <f t="shared" si="11"/>
        <v>0</v>
      </c>
      <c r="G75" s="150">
        <f t="shared" si="11"/>
        <v>360000</v>
      </c>
      <c r="H75" s="153">
        <f t="shared" si="11"/>
        <v>360000</v>
      </c>
      <c r="I75" s="152">
        <f t="shared" si="11"/>
        <v>374760</v>
      </c>
      <c r="J75" s="150">
        <f t="shared" si="11"/>
        <v>391249.44</v>
      </c>
      <c r="K75" s="153">
        <f t="shared" si="11"/>
        <v>408855.66479999997</v>
      </c>
      <c r="L75" s="73"/>
    </row>
    <row r="76" spans="1:12" ht="13.35" customHeight="1" x14ac:dyDescent="0.2">
      <c r="A76" s="263" t="s">
        <v>903</v>
      </c>
      <c r="B76" s="257"/>
      <c r="C76" s="295"/>
      <c r="D76" s="295">
        <v>2502590.86</v>
      </c>
      <c r="E76" s="555">
        <v>2737804.56</v>
      </c>
      <c r="F76" s="556"/>
      <c r="G76" s="295">
        <v>360000</v>
      </c>
      <c r="H76" s="294">
        <v>360000</v>
      </c>
      <c r="I76" s="556">
        <v>374760</v>
      </c>
      <c r="J76" s="295">
        <v>391249.44</v>
      </c>
      <c r="K76" s="555">
        <v>408855.66479999997</v>
      </c>
      <c r="L76" s="73"/>
    </row>
    <row r="77" spans="1:12" ht="13.35" customHeight="1" x14ac:dyDescent="0.2">
      <c r="A77" s="263" t="s">
        <v>904</v>
      </c>
      <c r="B77" s="257"/>
      <c r="C77" s="295"/>
      <c r="D77" s="295"/>
      <c r="E77" s="555"/>
      <c r="F77" s="556"/>
      <c r="G77" s="295"/>
      <c r="H77" s="294"/>
      <c r="I77" s="556"/>
      <c r="J77" s="295"/>
      <c r="K77" s="555"/>
      <c r="L77" s="73"/>
    </row>
    <row r="78" spans="1:12" ht="13.35" customHeight="1" x14ac:dyDescent="0.2">
      <c r="A78" s="263" t="s">
        <v>905</v>
      </c>
      <c r="B78" s="257"/>
      <c r="C78" s="295"/>
      <c r="D78" s="295"/>
      <c r="E78" s="555"/>
      <c r="F78" s="556"/>
      <c r="G78" s="295"/>
      <c r="H78" s="294"/>
      <c r="I78" s="556"/>
      <c r="J78" s="295"/>
      <c r="K78" s="555"/>
      <c r="L78" s="73"/>
    </row>
    <row r="79" spans="1:12" ht="13.35" customHeight="1" x14ac:dyDescent="0.2">
      <c r="A79" s="263" t="s">
        <v>906</v>
      </c>
      <c r="B79" s="257"/>
      <c r="C79" s="295"/>
      <c r="D79" s="295"/>
      <c r="E79" s="555"/>
      <c r="F79" s="556"/>
      <c r="G79" s="295"/>
      <c r="H79" s="294"/>
      <c r="I79" s="556"/>
      <c r="J79" s="295"/>
      <c r="K79" s="555"/>
      <c r="L79" s="73"/>
    </row>
    <row r="80" spans="1:12" ht="13.35" customHeight="1" x14ac:dyDescent="0.2">
      <c r="A80" s="263" t="s">
        <v>907</v>
      </c>
      <c r="B80" s="257"/>
      <c r="C80" s="295"/>
      <c r="D80" s="295"/>
      <c r="E80" s="555"/>
      <c r="F80" s="556"/>
      <c r="G80" s="295"/>
      <c r="H80" s="294"/>
      <c r="I80" s="556"/>
      <c r="J80" s="295"/>
      <c r="K80" s="555"/>
      <c r="L80" s="73"/>
    </row>
    <row r="81" spans="1:12" ht="13.35" customHeight="1" x14ac:dyDescent="0.2">
      <c r="A81" s="263" t="s">
        <v>908</v>
      </c>
      <c r="B81" s="257"/>
      <c r="C81" s="295"/>
      <c r="D81" s="295"/>
      <c r="E81" s="555"/>
      <c r="F81" s="556"/>
      <c r="G81" s="295"/>
      <c r="H81" s="294"/>
      <c r="I81" s="556"/>
      <c r="J81" s="295"/>
      <c r="K81" s="555"/>
      <c r="L81" s="73"/>
    </row>
    <row r="82" spans="1:12" ht="13.35" customHeight="1" x14ac:dyDescent="0.2">
      <c r="A82" s="263" t="s">
        <v>909</v>
      </c>
      <c r="B82" s="257"/>
      <c r="C82" s="295"/>
      <c r="D82" s="295"/>
      <c r="E82" s="555"/>
      <c r="F82" s="556"/>
      <c r="G82" s="295"/>
      <c r="H82" s="294"/>
      <c r="I82" s="556"/>
      <c r="J82" s="295"/>
      <c r="K82" s="555"/>
      <c r="L82" s="73"/>
    </row>
    <row r="83" spans="1:12" ht="13.35" customHeight="1" x14ac:dyDescent="0.2">
      <c r="A83" s="263" t="s">
        <v>910</v>
      </c>
      <c r="B83" s="257"/>
      <c r="C83" s="295"/>
      <c r="D83" s="295"/>
      <c r="E83" s="555"/>
      <c r="F83" s="556"/>
      <c r="G83" s="295"/>
      <c r="H83" s="294"/>
      <c r="I83" s="556"/>
      <c r="J83" s="295"/>
      <c r="K83" s="555"/>
      <c r="L83" s="73"/>
    </row>
    <row r="84" spans="1:12" ht="13.35" customHeight="1" x14ac:dyDescent="0.2">
      <c r="A84" s="263" t="s">
        <v>911</v>
      </c>
      <c r="B84" s="257"/>
      <c r="C84" s="295"/>
      <c r="D84" s="295"/>
      <c r="E84" s="555"/>
      <c r="F84" s="556"/>
      <c r="G84" s="295"/>
      <c r="H84" s="294"/>
      <c r="I84" s="556"/>
      <c r="J84" s="295"/>
      <c r="K84" s="555"/>
      <c r="L84" s="271"/>
    </row>
    <row r="85" spans="1:12" ht="13.35" customHeight="1" x14ac:dyDescent="0.2">
      <c r="A85" s="263" t="s">
        <v>88</v>
      </c>
      <c r="B85" s="257"/>
      <c r="C85" s="295"/>
      <c r="D85" s="295"/>
      <c r="E85" s="555"/>
      <c r="F85" s="556"/>
      <c r="G85" s="295"/>
      <c r="H85" s="294"/>
      <c r="I85" s="556"/>
      <c r="J85" s="295"/>
      <c r="K85" s="555"/>
    </row>
    <row r="86" spans="1:12" ht="13.35" customHeight="1" x14ac:dyDescent="0.2">
      <c r="A86" s="263" t="s">
        <v>912</v>
      </c>
      <c r="B86" s="257"/>
      <c r="C86" s="295"/>
      <c r="D86" s="295"/>
      <c r="E86" s="555"/>
      <c r="F86" s="556"/>
      <c r="G86" s="295"/>
      <c r="H86" s="294"/>
      <c r="I86" s="556"/>
      <c r="J86" s="295"/>
      <c r="K86" s="555"/>
    </row>
    <row r="87" spans="1:12" ht="13.35" customHeight="1" x14ac:dyDescent="0.2">
      <c r="A87" s="263" t="s">
        <v>913</v>
      </c>
      <c r="B87" s="257"/>
      <c r="C87" s="295"/>
      <c r="D87" s="295"/>
      <c r="E87" s="555"/>
      <c r="F87" s="556"/>
      <c r="G87" s="295"/>
      <c r="H87" s="294"/>
      <c r="I87" s="556"/>
      <c r="J87" s="295"/>
      <c r="K87" s="555"/>
    </row>
    <row r="88" spans="1:12" ht="13.35" customHeight="1" x14ac:dyDescent="0.2">
      <c r="A88" s="263" t="s">
        <v>1012</v>
      </c>
      <c r="B88" s="257"/>
      <c r="C88" s="295"/>
      <c r="D88" s="295"/>
      <c r="E88" s="555"/>
      <c r="F88" s="556"/>
      <c r="G88" s="295"/>
      <c r="H88" s="294"/>
      <c r="I88" s="556"/>
      <c r="J88" s="295"/>
      <c r="K88" s="555"/>
    </row>
    <row r="89" spans="1:12" ht="13.35" customHeight="1" x14ac:dyDescent="0.2">
      <c r="A89" s="263" t="s">
        <v>914</v>
      </c>
      <c r="B89" s="257"/>
      <c r="C89" s="295"/>
      <c r="D89" s="295"/>
      <c r="E89" s="555"/>
      <c r="F89" s="556"/>
      <c r="G89" s="295"/>
      <c r="H89" s="294"/>
      <c r="I89" s="556"/>
      <c r="J89" s="295"/>
      <c r="K89" s="555"/>
    </row>
    <row r="90" spans="1:12" ht="13.35" customHeight="1" x14ac:dyDescent="0.2">
      <c r="A90" s="263" t="s">
        <v>915</v>
      </c>
      <c r="B90" s="257"/>
      <c r="C90" s="295"/>
      <c r="D90" s="295"/>
      <c r="E90" s="555"/>
      <c r="F90" s="556"/>
      <c r="G90" s="295"/>
      <c r="H90" s="294"/>
      <c r="I90" s="556"/>
      <c r="J90" s="295"/>
      <c r="K90" s="555"/>
    </row>
    <row r="91" spans="1:12" ht="13.35" customHeight="1" x14ac:dyDescent="0.2">
      <c r="A91" s="263" t="s">
        <v>916</v>
      </c>
      <c r="B91" s="257"/>
      <c r="C91" s="295"/>
      <c r="D91" s="295"/>
      <c r="E91" s="555"/>
      <c r="F91" s="556"/>
      <c r="G91" s="295"/>
      <c r="H91" s="294"/>
      <c r="I91" s="556"/>
      <c r="J91" s="295"/>
      <c r="K91" s="555"/>
    </row>
    <row r="92" spans="1:12" ht="13.35" customHeight="1" x14ac:dyDescent="0.2">
      <c r="A92" s="263" t="s">
        <v>11</v>
      </c>
      <c r="B92" s="257"/>
      <c r="C92" s="295"/>
      <c r="D92" s="295"/>
      <c r="E92" s="555"/>
      <c r="F92" s="556"/>
      <c r="G92" s="295"/>
      <c r="H92" s="294"/>
      <c r="I92" s="556"/>
      <c r="J92" s="295"/>
      <c r="K92" s="555"/>
    </row>
    <row r="93" spans="1:12" ht="13.35" customHeight="1" x14ac:dyDescent="0.2">
      <c r="A93" s="263" t="s">
        <v>917</v>
      </c>
      <c r="B93" s="257"/>
      <c r="C93" s="295"/>
      <c r="D93" s="295"/>
      <c r="E93" s="555"/>
      <c r="F93" s="556"/>
      <c r="G93" s="295"/>
      <c r="H93" s="294"/>
      <c r="I93" s="556"/>
      <c r="J93" s="295"/>
      <c r="K93" s="555"/>
    </row>
    <row r="94" spans="1:12" ht="13.35" customHeight="1" x14ac:dyDescent="0.2">
      <c r="A94" s="263" t="s">
        <v>10</v>
      </c>
      <c r="B94" s="257"/>
      <c r="C94" s="295"/>
      <c r="D94" s="295"/>
      <c r="E94" s="555"/>
      <c r="F94" s="556"/>
      <c r="G94" s="295"/>
      <c r="H94" s="294"/>
      <c r="I94" s="556"/>
      <c r="J94" s="295"/>
      <c r="K94" s="555"/>
    </row>
    <row r="95" spans="1:12" ht="13.35" customHeight="1" x14ac:dyDescent="0.2">
      <c r="A95" s="263" t="s">
        <v>918</v>
      </c>
      <c r="B95" s="257"/>
      <c r="C95" s="295"/>
      <c r="D95" s="295"/>
      <c r="E95" s="555"/>
      <c r="F95" s="556"/>
      <c r="G95" s="295"/>
      <c r="H95" s="294"/>
      <c r="I95" s="556"/>
      <c r="J95" s="295"/>
      <c r="K95" s="555"/>
    </row>
    <row r="96" spans="1:12" ht="13.35" customHeight="1" x14ac:dyDescent="0.2">
      <c r="A96" s="263" t="s">
        <v>919</v>
      </c>
      <c r="B96" s="257"/>
      <c r="C96" s="295"/>
      <c r="D96" s="295"/>
      <c r="E96" s="555"/>
      <c r="F96" s="556"/>
      <c r="G96" s="295"/>
      <c r="H96" s="294"/>
      <c r="I96" s="556"/>
      <c r="J96" s="295"/>
      <c r="K96" s="555"/>
    </row>
    <row r="97" spans="1:11" ht="13.35" customHeight="1" x14ac:dyDescent="0.2">
      <c r="A97" s="263" t="s">
        <v>852</v>
      </c>
      <c r="B97" s="257"/>
      <c r="C97" s="295"/>
      <c r="D97" s="295"/>
      <c r="E97" s="555"/>
      <c r="F97" s="556"/>
      <c r="G97" s="295"/>
      <c r="H97" s="294"/>
      <c r="I97" s="556"/>
      <c r="J97" s="295"/>
      <c r="K97" s="555"/>
    </row>
    <row r="98" spans="1:11" ht="13.35" customHeight="1" x14ac:dyDescent="0.2">
      <c r="A98" s="235" t="s">
        <v>920</v>
      </c>
      <c r="B98" s="257"/>
      <c r="C98" s="155">
        <f>SUM(C99:C101)</f>
        <v>0</v>
      </c>
      <c r="D98" s="155">
        <f t="shared" ref="D98:K98" si="12">SUM(D99:D101)</f>
        <v>0</v>
      </c>
      <c r="E98" s="155">
        <f t="shared" si="12"/>
        <v>0</v>
      </c>
      <c r="F98" s="157">
        <f t="shared" si="12"/>
        <v>0</v>
      </c>
      <c r="G98" s="155">
        <f t="shared" si="12"/>
        <v>0</v>
      </c>
      <c r="H98" s="158">
        <f t="shared" si="12"/>
        <v>0</v>
      </c>
      <c r="I98" s="159">
        <f t="shared" si="12"/>
        <v>0</v>
      </c>
      <c r="J98" s="155">
        <f t="shared" si="12"/>
        <v>0</v>
      </c>
      <c r="K98" s="158">
        <f t="shared" si="12"/>
        <v>0</v>
      </c>
    </row>
    <row r="99" spans="1:11" ht="13.35" customHeight="1" x14ac:dyDescent="0.2">
      <c r="A99" s="263" t="s">
        <v>921</v>
      </c>
      <c r="B99" s="257"/>
      <c r="C99" s="295"/>
      <c r="D99" s="295"/>
      <c r="E99" s="294"/>
      <c r="F99" s="556"/>
      <c r="G99" s="295"/>
      <c r="H99" s="294"/>
      <c r="I99" s="556"/>
      <c r="J99" s="295"/>
      <c r="K99" s="298"/>
    </row>
    <row r="100" spans="1:11" ht="13.35" customHeight="1" x14ac:dyDescent="0.2">
      <c r="A100" s="263" t="s">
        <v>922</v>
      </c>
      <c r="B100" s="257"/>
      <c r="C100" s="295"/>
      <c r="D100" s="295"/>
      <c r="E100" s="555"/>
      <c r="F100" s="556"/>
      <c r="G100" s="295"/>
      <c r="H100" s="294"/>
      <c r="I100" s="556"/>
      <c r="J100" s="295"/>
      <c r="K100" s="298"/>
    </row>
    <row r="101" spans="1:11" ht="13.35" customHeight="1" x14ac:dyDescent="0.2">
      <c r="A101" s="263" t="s">
        <v>852</v>
      </c>
      <c r="B101" s="257"/>
      <c r="C101" s="295"/>
      <c r="D101" s="295"/>
      <c r="E101" s="555"/>
      <c r="F101" s="556"/>
      <c r="G101" s="295"/>
      <c r="H101" s="294"/>
      <c r="I101" s="556"/>
      <c r="J101" s="295"/>
      <c r="K101" s="555"/>
    </row>
    <row r="102" spans="1:11" ht="5.0999999999999996" customHeight="1" x14ac:dyDescent="0.2">
      <c r="A102" s="267"/>
      <c r="B102" s="257"/>
      <c r="C102" s="66"/>
      <c r="D102" s="66"/>
      <c r="E102" s="268"/>
      <c r="F102" s="269"/>
      <c r="G102" s="66"/>
      <c r="H102" s="270"/>
      <c r="I102" s="269"/>
      <c r="J102" s="66"/>
      <c r="K102" s="268"/>
    </row>
    <row r="103" spans="1:11" ht="13.35" customHeight="1" x14ac:dyDescent="0.2">
      <c r="A103" s="256" t="s">
        <v>184</v>
      </c>
      <c r="B103" s="257"/>
      <c r="C103" s="66">
        <f>SUM(C104:C108)</f>
        <v>0</v>
      </c>
      <c r="D103" s="66">
        <f t="shared" ref="D103:K103" si="13">SUM(D104:D108)</f>
        <v>0</v>
      </c>
      <c r="E103" s="268">
        <f t="shared" si="13"/>
        <v>0</v>
      </c>
      <c r="F103" s="269">
        <f t="shared" si="13"/>
        <v>0</v>
      </c>
      <c r="G103" s="66">
        <f t="shared" si="13"/>
        <v>0</v>
      </c>
      <c r="H103" s="270">
        <f t="shared" si="13"/>
        <v>0</v>
      </c>
      <c r="I103" s="269">
        <f t="shared" si="13"/>
        <v>0</v>
      </c>
      <c r="J103" s="66">
        <f t="shared" si="13"/>
        <v>0</v>
      </c>
      <c r="K103" s="268">
        <f t="shared" si="13"/>
        <v>0</v>
      </c>
    </row>
    <row r="104" spans="1:11" ht="13.35" customHeight="1" x14ac:dyDescent="0.2">
      <c r="A104" s="235" t="s">
        <v>923</v>
      </c>
      <c r="B104" s="257"/>
      <c r="C104" s="531"/>
      <c r="D104" s="531"/>
      <c r="E104" s="558"/>
      <c r="F104" s="559"/>
      <c r="G104" s="531"/>
      <c r="H104" s="560"/>
      <c r="I104" s="559"/>
      <c r="J104" s="531"/>
      <c r="K104" s="558"/>
    </row>
    <row r="105" spans="1:11" ht="13.35" customHeight="1" x14ac:dyDescent="0.2">
      <c r="A105" s="239" t="s">
        <v>924</v>
      </c>
      <c r="B105" s="257"/>
      <c r="C105" s="532"/>
      <c r="D105" s="532"/>
      <c r="E105" s="561"/>
      <c r="F105" s="562"/>
      <c r="G105" s="532"/>
      <c r="H105" s="563"/>
      <c r="I105" s="562"/>
      <c r="J105" s="532"/>
      <c r="K105" s="561"/>
    </row>
    <row r="106" spans="1:11" ht="13.35" customHeight="1" x14ac:dyDescent="0.2">
      <c r="A106" s="235" t="s">
        <v>925</v>
      </c>
      <c r="B106" s="257"/>
      <c r="C106" s="532"/>
      <c r="D106" s="532"/>
      <c r="E106" s="561"/>
      <c r="F106" s="562"/>
      <c r="G106" s="532"/>
      <c r="H106" s="563"/>
      <c r="I106" s="562"/>
      <c r="J106" s="532"/>
      <c r="K106" s="561"/>
    </row>
    <row r="107" spans="1:11" ht="13.35" customHeight="1" x14ac:dyDescent="0.2">
      <c r="A107" s="235" t="s">
        <v>926</v>
      </c>
      <c r="B107" s="257"/>
      <c r="C107" s="532"/>
      <c r="D107" s="532"/>
      <c r="E107" s="561"/>
      <c r="F107" s="562"/>
      <c r="G107" s="532"/>
      <c r="H107" s="563"/>
      <c r="I107" s="562"/>
      <c r="J107" s="532"/>
      <c r="K107" s="561"/>
    </row>
    <row r="108" spans="1:11" ht="13.35" customHeight="1" x14ac:dyDescent="0.2">
      <c r="A108" s="239" t="s">
        <v>927</v>
      </c>
      <c r="B108" s="257"/>
      <c r="C108" s="532"/>
      <c r="D108" s="532"/>
      <c r="E108" s="561"/>
      <c r="F108" s="562"/>
      <c r="G108" s="532"/>
      <c r="H108" s="563"/>
      <c r="I108" s="562"/>
      <c r="J108" s="532"/>
      <c r="K108" s="561"/>
    </row>
    <row r="109" spans="1:11" ht="5.0999999999999996" customHeight="1" x14ac:dyDescent="0.2">
      <c r="A109" s="276"/>
      <c r="B109" s="257"/>
      <c r="C109" s="66"/>
      <c r="D109" s="66"/>
      <c r="E109" s="268"/>
      <c r="F109" s="269"/>
      <c r="G109" s="66"/>
      <c r="H109" s="270"/>
      <c r="I109" s="269"/>
      <c r="J109" s="66"/>
      <c r="K109" s="268"/>
    </row>
    <row r="110" spans="1:11" ht="13.35" customHeight="1" x14ac:dyDescent="0.2">
      <c r="A110" s="277" t="s">
        <v>185</v>
      </c>
      <c r="B110" s="257"/>
      <c r="C110" s="80">
        <f>+C111+C114</f>
        <v>0</v>
      </c>
      <c r="D110" s="80">
        <f t="shared" ref="D110:K110" si="14">+D111+D114</f>
        <v>0</v>
      </c>
      <c r="E110" s="278">
        <f t="shared" si="14"/>
        <v>0</v>
      </c>
      <c r="F110" s="279">
        <f t="shared" si="14"/>
        <v>0</v>
      </c>
      <c r="G110" s="80">
        <f t="shared" si="14"/>
        <v>0</v>
      </c>
      <c r="H110" s="280">
        <f t="shared" si="14"/>
        <v>0</v>
      </c>
      <c r="I110" s="279">
        <f t="shared" si="14"/>
        <v>0</v>
      </c>
      <c r="J110" s="80">
        <f t="shared" si="14"/>
        <v>0</v>
      </c>
      <c r="K110" s="278">
        <f t="shared" si="14"/>
        <v>0</v>
      </c>
    </row>
    <row r="111" spans="1:11" ht="13.35" customHeight="1" x14ac:dyDescent="0.2">
      <c r="A111" s="235" t="s">
        <v>928</v>
      </c>
      <c r="B111" s="257"/>
      <c r="C111" s="150">
        <f t="shared" ref="C111:K111" si="15">SUM(C112:C113)</f>
        <v>0</v>
      </c>
      <c r="D111" s="150">
        <f t="shared" si="15"/>
        <v>0</v>
      </c>
      <c r="E111" s="150">
        <f t="shared" si="15"/>
        <v>0</v>
      </c>
      <c r="F111" s="152">
        <f t="shared" si="15"/>
        <v>0</v>
      </c>
      <c r="G111" s="150">
        <f t="shared" si="15"/>
        <v>0</v>
      </c>
      <c r="H111" s="153">
        <f t="shared" si="15"/>
        <v>0</v>
      </c>
      <c r="I111" s="154">
        <f t="shared" si="15"/>
        <v>0</v>
      </c>
      <c r="J111" s="150">
        <f t="shared" si="15"/>
        <v>0</v>
      </c>
      <c r="K111" s="153">
        <f t="shared" si="15"/>
        <v>0</v>
      </c>
    </row>
    <row r="112" spans="1:11" ht="13.35" customHeight="1" x14ac:dyDescent="0.2">
      <c r="A112" s="263" t="s">
        <v>929</v>
      </c>
      <c r="B112" s="257"/>
      <c r="C112" s="295"/>
      <c r="D112" s="295"/>
      <c r="E112" s="294"/>
      <c r="F112" s="556"/>
      <c r="G112" s="295"/>
      <c r="H112" s="294"/>
      <c r="I112" s="556"/>
      <c r="J112" s="295"/>
      <c r="K112" s="298"/>
    </row>
    <row r="113" spans="1:11" ht="13.35" customHeight="1" x14ac:dyDescent="0.2">
      <c r="A113" s="263" t="s">
        <v>930</v>
      </c>
      <c r="B113" s="257"/>
      <c r="C113" s="295"/>
      <c r="D113" s="295"/>
      <c r="E113" s="555"/>
      <c r="F113" s="556"/>
      <c r="G113" s="295"/>
      <c r="H113" s="294"/>
      <c r="I113" s="556"/>
      <c r="J113" s="295"/>
      <c r="K113" s="298"/>
    </row>
    <row r="114" spans="1:11" ht="13.35" customHeight="1" x14ac:dyDescent="0.2">
      <c r="A114" s="235" t="s">
        <v>931</v>
      </c>
      <c r="B114" s="257"/>
      <c r="C114" s="155">
        <f>SUM(C115:C116)</f>
        <v>0</v>
      </c>
      <c r="D114" s="155">
        <f t="shared" ref="D114:K114" si="16">SUM(D115:D116)</f>
        <v>0</v>
      </c>
      <c r="E114" s="155">
        <f t="shared" si="16"/>
        <v>0</v>
      </c>
      <c r="F114" s="157">
        <f t="shared" si="16"/>
        <v>0</v>
      </c>
      <c r="G114" s="155">
        <f t="shared" si="16"/>
        <v>0</v>
      </c>
      <c r="H114" s="158">
        <f t="shared" si="16"/>
        <v>0</v>
      </c>
      <c r="I114" s="159">
        <f t="shared" si="16"/>
        <v>0</v>
      </c>
      <c r="J114" s="155">
        <f t="shared" si="16"/>
        <v>0</v>
      </c>
      <c r="K114" s="158">
        <f t="shared" si="16"/>
        <v>0</v>
      </c>
    </row>
    <row r="115" spans="1:11" ht="13.35" customHeight="1" x14ac:dyDescent="0.2">
      <c r="A115" s="263" t="s">
        <v>929</v>
      </c>
      <c r="B115" s="257"/>
      <c r="C115" s="295"/>
      <c r="D115" s="295"/>
      <c r="E115" s="294"/>
      <c r="F115" s="556"/>
      <c r="G115" s="295"/>
      <c r="H115" s="294"/>
      <c r="I115" s="556"/>
      <c r="J115" s="295"/>
      <c r="K115" s="298"/>
    </row>
    <row r="116" spans="1:11" ht="13.35" customHeight="1" x14ac:dyDescent="0.2">
      <c r="A116" s="263" t="s">
        <v>930</v>
      </c>
      <c r="B116" s="257"/>
      <c r="C116" s="295"/>
      <c r="D116" s="295"/>
      <c r="E116" s="555"/>
      <c r="F116" s="556"/>
      <c r="G116" s="295"/>
      <c r="H116" s="294"/>
      <c r="I116" s="556"/>
      <c r="J116" s="295"/>
      <c r="K116" s="298"/>
    </row>
    <row r="117" spans="1:11" ht="5.0999999999999996" customHeight="1" x14ac:dyDescent="0.2">
      <c r="A117" s="276"/>
      <c r="B117" s="257"/>
      <c r="C117" s="66"/>
      <c r="D117" s="66"/>
      <c r="E117" s="268"/>
      <c r="F117" s="269"/>
      <c r="G117" s="66"/>
      <c r="H117" s="270"/>
      <c r="I117" s="269"/>
      <c r="J117" s="66"/>
      <c r="K117" s="268"/>
    </row>
    <row r="118" spans="1:11" ht="13.35" customHeight="1" x14ac:dyDescent="0.2">
      <c r="A118" s="277" t="s">
        <v>186</v>
      </c>
      <c r="B118" s="257"/>
      <c r="C118" s="80">
        <f>+C119+C131</f>
        <v>0</v>
      </c>
      <c r="D118" s="80">
        <f t="shared" ref="D118:K118" si="17">+D119+D131</f>
        <v>0</v>
      </c>
      <c r="E118" s="278">
        <f t="shared" si="17"/>
        <v>0</v>
      </c>
      <c r="F118" s="279">
        <f t="shared" si="17"/>
        <v>0</v>
      </c>
      <c r="G118" s="80">
        <f t="shared" si="17"/>
        <v>0</v>
      </c>
      <c r="H118" s="280">
        <f t="shared" si="17"/>
        <v>0</v>
      </c>
      <c r="I118" s="279">
        <f t="shared" si="17"/>
        <v>0</v>
      </c>
      <c r="J118" s="80">
        <f t="shared" si="17"/>
        <v>0</v>
      </c>
      <c r="K118" s="278">
        <f t="shared" si="17"/>
        <v>0</v>
      </c>
    </row>
    <row r="119" spans="1:11" ht="13.35" customHeight="1" x14ac:dyDescent="0.2">
      <c r="A119" s="235" t="s">
        <v>932</v>
      </c>
      <c r="B119" s="257"/>
      <c r="C119" s="150">
        <f>SUM(C120:C130)</f>
        <v>0</v>
      </c>
      <c r="D119" s="150">
        <f t="shared" ref="D119:K119" si="18">SUM(D120:D130)</f>
        <v>0</v>
      </c>
      <c r="E119" s="150">
        <f t="shared" si="18"/>
        <v>0</v>
      </c>
      <c r="F119" s="152">
        <f t="shared" si="18"/>
        <v>0</v>
      </c>
      <c r="G119" s="150">
        <f t="shared" si="18"/>
        <v>0</v>
      </c>
      <c r="H119" s="153">
        <f t="shared" si="18"/>
        <v>0</v>
      </c>
      <c r="I119" s="154">
        <f t="shared" si="18"/>
        <v>0</v>
      </c>
      <c r="J119" s="150">
        <f t="shared" si="18"/>
        <v>0</v>
      </c>
      <c r="K119" s="153">
        <f t="shared" si="18"/>
        <v>0</v>
      </c>
    </row>
    <row r="120" spans="1:11" ht="13.35" customHeight="1" x14ac:dyDescent="0.2">
      <c r="A120" s="263" t="s">
        <v>933</v>
      </c>
      <c r="B120" s="257"/>
      <c r="C120" s="295"/>
      <c r="D120" s="295"/>
      <c r="E120" s="294"/>
      <c r="F120" s="556"/>
      <c r="G120" s="295"/>
      <c r="H120" s="294"/>
      <c r="I120" s="556"/>
      <c r="J120" s="295"/>
      <c r="K120" s="298"/>
    </row>
    <row r="121" spans="1:11" ht="13.35" customHeight="1" x14ac:dyDescent="0.2">
      <c r="A121" s="263" t="s">
        <v>934</v>
      </c>
      <c r="B121" s="257"/>
      <c r="C121" s="295"/>
      <c r="D121" s="295"/>
      <c r="E121" s="294"/>
      <c r="F121" s="556"/>
      <c r="G121" s="295"/>
      <c r="H121" s="294"/>
      <c r="I121" s="556"/>
      <c r="J121" s="295"/>
      <c r="K121" s="298"/>
    </row>
    <row r="122" spans="1:11" ht="13.35" customHeight="1" x14ac:dyDescent="0.2">
      <c r="A122" s="263" t="s">
        <v>935</v>
      </c>
      <c r="B122" s="257"/>
      <c r="C122" s="295"/>
      <c r="D122" s="295"/>
      <c r="E122" s="294"/>
      <c r="F122" s="556"/>
      <c r="G122" s="295"/>
      <c r="H122" s="294"/>
      <c r="I122" s="556"/>
      <c r="J122" s="295"/>
      <c r="K122" s="298"/>
    </row>
    <row r="123" spans="1:11" ht="13.35" customHeight="1" x14ac:dyDescent="0.2">
      <c r="A123" s="263" t="s">
        <v>936</v>
      </c>
      <c r="B123" s="257"/>
      <c r="C123" s="295"/>
      <c r="D123" s="295"/>
      <c r="E123" s="294"/>
      <c r="F123" s="556"/>
      <c r="G123" s="295"/>
      <c r="H123" s="294"/>
      <c r="I123" s="556"/>
      <c r="J123" s="295"/>
      <c r="K123" s="298"/>
    </row>
    <row r="124" spans="1:11" ht="13.35" customHeight="1" x14ac:dyDescent="0.2">
      <c r="A124" s="263" t="s">
        <v>937</v>
      </c>
      <c r="B124" s="257"/>
      <c r="C124" s="295"/>
      <c r="D124" s="295"/>
      <c r="E124" s="294"/>
      <c r="F124" s="556"/>
      <c r="G124" s="295"/>
      <c r="H124" s="294"/>
      <c r="I124" s="556"/>
      <c r="J124" s="295"/>
      <c r="K124" s="298"/>
    </row>
    <row r="125" spans="1:11" ht="13.35" customHeight="1" x14ac:dyDescent="0.2">
      <c r="A125" s="263" t="s">
        <v>938</v>
      </c>
      <c r="B125" s="257"/>
      <c r="C125" s="295"/>
      <c r="D125" s="295"/>
      <c r="E125" s="294"/>
      <c r="F125" s="556"/>
      <c r="G125" s="295"/>
      <c r="H125" s="294"/>
      <c r="I125" s="556"/>
      <c r="J125" s="295"/>
      <c r="K125" s="298"/>
    </row>
    <row r="126" spans="1:11" ht="13.35" customHeight="1" x14ac:dyDescent="0.2">
      <c r="A126" s="263" t="s">
        <v>939</v>
      </c>
      <c r="B126" s="257"/>
      <c r="C126" s="295"/>
      <c r="D126" s="295"/>
      <c r="E126" s="294"/>
      <c r="F126" s="556"/>
      <c r="G126" s="295"/>
      <c r="H126" s="294"/>
      <c r="I126" s="556"/>
      <c r="J126" s="295"/>
      <c r="K126" s="298"/>
    </row>
    <row r="127" spans="1:11" ht="13.35" customHeight="1" x14ac:dyDescent="0.2">
      <c r="A127" s="263" t="s">
        <v>940</v>
      </c>
      <c r="B127" s="257"/>
      <c r="C127" s="295"/>
      <c r="D127" s="295"/>
      <c r="E127" s="294"/>
      <c r="F127" s="556"/>
      <c r="G127" s="295"/>
      <c r="H127" s="294"/>
      <c r="I127" s="556"/>
      <c r="J127" s="295"/>
      <c r="K127" s="298"/>
    </row>
    <row r="128" spans="1:11" ht="13.35" customHeight="1" x14ac:dyDescent="0.2">
      <c r="A128" s="263" t="s">
        <v>941</v>
      </c>
      <c r="B128" s="257"/>
      <c r="C128" s="295"/>
      <c r="D128" s="295"/>
      <c r="E128" s="294"/>
      <c r="F128" s="556"/>
      <c r="G128" s="295"/>
      <c r="H128" s="294"/>
      <c r="I128" s="556"/>
      <c r="J128" s="295"/>
      <c r="K128" s="298"/>
    </row>
    <row r="129" spans="1:11" ht="13.35" customHeight="1" x14ac:dyDescent="0.2">
      <c r="A129" s="263" t="s">
        <v>942</v>
      </c>
      <c r="B129" s="257"/>
      <c r="C129" s="295"/>
      <c r="D129" s="295"/>
      <c r="E129" s="294"/>
      <c r="F129" s="556"/>
      <c r="G129" s="295"/>
      <c r="H129" s="294"/>
      <c r="I129" s="556"/>
      <c r="J129" s="295"/>
      <c r="K129" s="298"/>
    </row>
    <row r="130" spans="1:11" ht="13.35" customHeight="1" x14ac:dyDescent="0.2">
      <c r="A130" s="263" t="s">
        <v>852</v>
      </c>
      <c r="B130" s="257"/>
      <c r="C130" s="295"/>
      <c r="D130" s="295"/>
      <c r="E130" s="294"/>
      <c r="F130" s="556"/>
      <c r="G130" s="295"/>
      <c r="H130" s="294"/>
      <c r="I130" s="556"/>
      <c r="J130" s="295"/>
      <c r="K130" s="298"/>
    </row>
    <row r="131" spans="1:11" ht="13.35" customHeight="1" x14ac:dyDescent="0.2">
      <c r="A131" s="235" t="s">
        <v>943</v>
      </c>
      <c r="B131" s="257"/>
      <c r="C131" s="155">
        <f>SUM(C132:C134)</f>
        <v>0</v>
      </c>
      <c r="D131" s="155">
        <f t="shared" ref="D131:K131" si="19">SUM(D132:D134)</f>
        <v>0</v>
      </c>
      <c r="E131" s="155">
        <f t="shared" si="19"/>
        <v>0</v>
      </c>
      <c r="F131" s="157">
        <f t="shared" si="19"/>
        <v>0</v>
      </c>
      <c r="G131" s="155">
        <f t="shared" si="19"/>
        <v>0</v>
      </c>
      <c r="H131" s="158">
        <f t="shared" si="19"/>
        <v>0</v>
      </c>
      <c r="I131" s="159">
        <f t="shared" si="19"/>
        <v>0</v>
      </c>
      <c r="J131" s="155">
        <f t="shared" si="19"/>
        <v>0</v>
      </c>
      <c r="K131" s="158">
        <f t="shared" si="19"/>
        <v>0</v>
      </c>
    </row>
    <row r="132" spans="1:11" ht="13.35" customHeight="1" x14ac:dyDescent="0.2">
      <c r="A132" s="263" t="s">
        <v>944</v>
      </c>
      <c r="B132" s="257"/>
      <c r="C132" s="295"/>
      <c r="D132" s="295"/>
      <c r="E132" s="294"/>
      <c r="F132" s="556"/>
      <c r="G132" s="295"/>
      <c r="H132" s="294"/>
      <c r="I132" s="556"/>
      <c r="J132" s="295"/>
      <c r="K132" s="298"/>
    </row>
    <row r="133" spans="1:11" ht="13.35" customHeight="1" x14ac:dyDescent="0.2">
      <c r="A133" s="263" t="s">
        <v>945</v>
      </c>
      <c r="B133" s="257"/>
      <c r="C133" s="295"/>
      <c r="D133" s="295"/>
      <c r="E133" s="294"/>
      <c r="F133" s="556"/>
      <c r="G133" s="295"/>
      <c r="H133" s="294"/>
      <c r="I133" s="556"/>
      <c r="J133" s="295"/>
      <c r="K133" s="298"/>
    </row>
    <row r="134" spans="1:11" ht="13.35" customHeight="1" x14ac:dyDescent="0.2">
      <c r="A134" s="263" t="s">
        <v>852</v>
      </c>
      <c r="B134" s="257"/>
      <c r="C134" s="295"/>
      <c r="D134" s="295"/>
      <c r="E134" s="294"/>
      <c r="F134" s="556"/>
      <c r="G134" s="295"/>
      <c r="H134" s="294"/>
      <c r="I134" s="556"/>
      <c r="J134" s="295"/>
      <c r="K134" s="298"/>
    </row>
    <row r="135" spans="1:11" ht="5.0999999999999996" customHeight="1" x14ac:dyDescent="0.2">
      <c r="A135" s="281"/>
      <c r="B135" s="257"/>
      <c r="C135" s="66"/>
      <c r="D135" s="66"/>
      <c r="E135" s="268"/>
      <c r="F135" s="269"/>
      <c r="G135" s="66"/>
      <c r="H135" s="270"/>
      <c r="I135" s="269"/>
      <c r="J135" s="66"/>
      <c r="K135" s="268"/>
    </row>
    <row r="136" spans="1:11" ht="13.35" customHeight="1" x14ac:dyDescent="0.2">
      <c r="A136" s="256" t="s">
        <v>946</v>
      </c>
      <c r="B136" s="257"/>
      <c r="C136" s="66">
        <f t="shared" ref="C136:K136" si="20">SUM(C137:C137)</f>
        <v>0</v>
      </c>
      <c r="D136" s="66">
        <f t="shared" si="20"/>
        <v>0</v>
      </c>
      <c r="E136" s="268">
        <f t="shared" si="20"/>
        <v>0</v>
      </c>
      <c r="F136" s="269">
        <f t="shared" si="20"/>
        <v>0</v>
      </c>
      <c r="G136" s="66">
        <f t="shared" si="20"/>
        <v>0</v>
      </c>
      <c r="H136" s="270">
        <f t="shared" si="20"/>
        <v>0</v>
      </c>
      <c r="I136" s="269">
        <f t="shared" si="20"/>
        <v>0</v>
      </c>
      <c r="J136" s="66">
        <f t="shared" si="20"/>
        <v>0</v>
      </c>
      <c r="K136" s="268">
        <f t="shared" si="20"/>
        <v>0</v>
      </c>
    </row>
    <row r="137" spans="1:11" ht="13.35" customHeight="1" x14ac:dyDescent="0.2">
      <c r="A137" s="235" t="s">
        <v>946</v>
      </c>
      <c r="B137" s="257"/>
      <c r="C137" s="533"/>
      <c r="D137" s="533"/>
      <c r="E137" s="564"/>
      <c r="F137" s="565"/>
      <c r="G137" s="533"/>
      <c r="H137" s="566"/>
      <c r="I137" s="565"/>
      <c r="J137" s="533"/>
      <c r="K137" s="564"/>
    </row>
    <row r="138" spans="1:11" ht="5.0999999999999996" customHeight="1" x14ac:dyDescent="0.2">
      <c r="A138" s="267"/>
      <c r="B138" s="257"/>
      <c r="C138" s="66"/>
      <c r="D138" s="66"/>
      <c r="E138" s="268"/>
      <c r="F138" s="269"/>
      <c r="G138" s="66"/>
      <c r="H138" s="270"/>
      <c r="I138" s="269"/>
      <c r="J138" s="66"/>
      <c r="K138" s="268"/>
    </row>
    <row r="139" spans="1:11" ht="13.35" customHeight="1" x14ac:dyDescent="0.2">
      <c r="A139" s="256" t="s">
        <v>947</v>
      </c>
      <c r="B139" s="257"/>
      <c r="C139" s="66">
        <f>+C140+C141</f>
        <v>11274673.310000001</v>
      </c>
      <c r="D139" s="66">
        <f t="shared" ref="D139:K139" si="21">+D140+D141</f>
        <v>11454127.08</v>
      </c>
      <c r="E139" s="268">
        <f t="shared" si="21"/>
        <v>8211692.4699999997</v>
      </c>
      <c r="F139" s="269">
        <f t="shared" si="21"/>
        <v>3722941</v>
      </c>
      <c r="G139" s="66">
        <f t="shared" si="21"/>
        <v>2722941</v>
      </c>
      <c r="H139" s="270">
        <f t="shared" si="21"/>
        <v>2722941</v>
      </c>
      <c r="I139" s="269">
        <f t="shared" si="21"/>
        <v>2834581.5810000002</v>
      </c>
      <c r="J139" s="66">
        <f t="shared" si="21"/>
        <v>2959303.1705640005</v>
      </c>
      <c r="K139" s="268">
        <f t="shared" si="21"/>
        <v>3092471.8132393807</v>
      </c>
    </row>
    <row r="140" spans="1:11" ht="13.35" customHeight="1" x14ac:dyDescent="0.2">
      <c r="A140" s="239" t="s">
        <v>948</v>
      </c>
      <c r="B140" s="257"/>
      <c r="C140" s="533"/>
      <c r="D140" s="533"/>
      <c r="E140" s="564"/>
      <c r="F140" s="565"/>
      <c r="G140" s="533"/>
      <c r="H140" s="566"/>
      <c r="I140" s="565"/>
      <c r="J140" s="533"/>
      <c r="K140" s="564"/>
    </row>
    <row r="141" spans="1:11" ht="13.35" customHeight="1" x14ac:dyDescent="0.2">
      <c r="A141" s="239" t="s">
        <v>949</v>
      </c>
      <c r="B141" s="257"/>
      <c r="C141" s="155">
        <f>SUM(C142:C147)</f>
        <v>11274673.310000001</v>
      </c>
      <c r="D141" s="155">
        <f t="shared" ref="D141:K141" si="22">SUM(D142:D147)</f>
        <v>11454127.08</v>
      </c>
      <c r="E141" s="155">
        <f t="shared" si="22"/>
        <v>8211692.4699999997</v>
      </c>
      <c r="F141" s="157">
        <f t="shared" si="22"/>
        <v>3722941</v>
      </c>
      <c r="G141" s="155">
        <f t="shared" si="22"/>
        <v>2722941</v>
      </c>
      <c r="H141" s="158">
        <f t="shared" si="22"/>
        <v>2722941</v>
      </c>
      <c r="I141" s="159">
        <f t="shared" si="22"/>
        <v>2834581.5810000002</v>
      </c>
      <c r="J141" s="155">
        <f t="shared" si="22"/>
        <v>2959303.1705640005</v>
      </c>
      <c r="K141" s="158">
        <f t="shared" si="22"/>
        <v>3092471.8132393807</v>
      </c>
    </row>
    <row r="142" spans="1:11" ht="13.35" customHeight="1" x14ac:dyDescent="0.2">
      <c r="A142" s="263" t="s">
        <v>950</v>
      </c>
      <c r="B142" s="257"/>
      <c r="C142" s="295"/>
      <c r="D142" s="295"/>
      <c r="E142" s="294"/>
      <c r="F142" s="556"/>
      <c r="G142" s="295"/>
      <c r="H142" s="294"/>
      <c r="I142" s="556"/>
      <c r="J142" s="295"/>
      <c r="K142" s="298"/>
    </row>
    <row r="143" spans="1:11" ht="13.35" customHeight="1" x14ac:dyDescent="0.2">
      <c r="A143" s="263" t="s">
        <v>951</v>
      </c>
      <c r="B143" s="257"/>
      <c r="C143" s="295"/>
      <c r="D143" s="295"/>
      <c r="E143" s="294"/>
      <c r="F143" s="556"/>
      <c r="G143" s="295"/>
      <c r="H143" s="294"/>
      <c r="I143" s="556"/>
      <c r="J143" s="295"/>
      <c r="K143" s="298"/>
    </row>
    <row r="144" spans="1:11" ht="13.35" customHeight="1" x14ac:dyDescent="0.2">
      <c r="A144" s="263" t="s">
        <v>952</v>
      </c>
      <c r="B144" s="257"/>
      <c r="C144" s="295"/>
      <c r="D144" s="295"/>
      <c r="E144" s="294"/>
      <c r="F144" s="556"/>
      <c r="G144" s="295"/>
      <c r="H144" s="294"/>
      <c r="I144" s="556"/>
      <c r="J144" s="295"/>
      <c r="K144" s="298"/>
    </row>
    <row r="145" spans="1:11" ht="13.35" customHeight="1" x14ac:dyDescent="0.2">
      <c r="A145" s="263" t="s">
        <v>953</v>
      </c>
      <c r="B145" s="257"/>
      <c r="C145" s="295">
        <v>11274673.310000001</v>
      </c>
      <c r="D145" s="295">
        <v>11454127.08</v>
      </c>
      <c r="E145" s="294">
        <v>8211692.4699999997</v>
      </c>
      <c r="F145" s="556">
        <v>3722941</v>
      </c>
      <c r="G145" s="295">
        <v>2722941</v>
      </c>
      <c r="H145" s="294">
        <v>2722941</v>
      </c>
      <c r="I145" s="556">
        <v>2834581.5810000002</v>
      </c>
      <c r="J145" s="295">
        <v>2959303.1705640005</v>
      </c>
      <c r="K145" s="298">
        <v>3092471.8132393807</v>
      </c>
    </row>
    <row r="146" spans="1:11" ht="13.35" customHeight="1" x14ac:dyDescent="0.2">
      <c r="A146" s="263" t="s">
        <v>954</v>
      </c>
      <c r="B146" s="257"/>
      <c r="C146" s="295"/>
      <c r="D146" s="295"/>
      <c r="E146" s="294"/>
      <c r="F146" s="556"/>
      <c r="G146" s="295"/>
      <c r="H146" s="294"/>
      <c r="I146" s="556"/>
      <c r="J146" s="295"/>
      <c r="K146" s="298"/>
    </row>
    <row r="147" spans="1:11" ht="13.35" customHeight="1" x14ac:dyDescent="0.2">
      <c r="A147" s="263" t="s">
        <v>955</v>
      </c>
      <c r="B147" s="257"/>
      <c r="C147" s="295"/>
      <c r="D147" s="295"/>
      <c r="E147" s="294"/>
      <c r="F147" s="556"/>
      <c r="G147" s="295"/>
      <c r="H147" s="294"/>
      <c r="I147" s="556"/>
      <c r="J147" s="295"/>
      <c r="K147" s="298"/>
    </row>
    <row r="148" spans="1:11" ht="5.0999999999999996" customHeight="1" x14ac:dyDescent="0.2">
      <c r="A148" s="267"/>
      <c r="B148" s="257"/>
      <c r="C148" s="80"/>
      <c r="D148" s="80"/>
      <c r="E148" s="278"/>
      <c r="F148" s="279"/>
      <c r="G148" s="80"/>
      <c r="H148" s="280"/>
      <c r="I148" s="279"/>
      <c r="J148" s="80"/>
      <c r="K148" s="278"/>
    </row>
    <row r="149" spans="1:11" ht="13.35" customHeight="1" x14ac:dyDescent="0.2">
      <c r="A149" s="256" t="s">
        <v>956</v>
      </c>
      <c r="B149" s="257"/>
      <c r="C149" s="66">
        <f t="shared" ref="C149:K149" si="23">SUM(C150:C150)</f>
        <v>0</v>
      </c>
      <c r="D149" s="66">
        <f t="shared" si="23"/>
        <v>0</v>
      </c>
      <c r="E149" s="268">
        <f t="shared" si="23"/>
        <v>-8654168.1099999994</v>
      </c>
      <c r="F149" s="269">
        <f t="shared" si="23"/>
        <v>0</v>
      </c>
      <c r="G149" s="66">
        <f t="shared" si="23"/>
        <v>0</v>
      </c>
      <c r="H149" s="270">
        <f t="shared" si="23"/>
        <v>0</v>
      </c>
      <c r="I149" s="269">
        <f t="shared" si="23"/>
        <v>0</v>
      </c>
      <c r="J149" s="66">
        <f t="shared" si="23"/>
        <v>0</v>
      </c>
      <c r="K149" s="268">
        <f t="shared" si="23"/>
        <v>0</v>
      </c>
    </row>
    <row r="150" spans="1:11" ht="13.35" customHeight="1" x14ac:dyDescent="0.2">
      <c r="A150" s="235" t="s">
        <v>956</v>
      </c>
      <c r="B150" s="257"/>
      <c r="C150" s="533"/>
      <c r="D150" s="533"/>
      <c r="E150" s="564">
        <v>-8654168.1099999994</v>
      </c>
      <c r="F150" s="565"/>
      <c r="G150" s="533"/>
      <c r="H150" s="566"/>
      <c r="I150" s="565"/>
      <c r="J150" s="533"/>
      <c r="K150" s="564"/>
    </row>
    <row r="151" spans="1:11" ht="5.0999999999999996" customHeight="1" x14ac:dyDescent="0.2">
      <c r="A151" s="267"/>
      <c r="B151" s="257"/>
      <c r="C151" s="66"/>
      <c r="D151" s="66"/>
      <c r="E151" s="268"/>
      <c r="F151" s="269"/>
      <c r="G151" s="66"/>
      <c r="H151" s="270"/>
      <c r="I151" s="269"/>
      <c r="J151" s="66"/>
      <c r="K151" s="268"/>
    </row>
    <row r="152" spans="1:11" ht="13.35" customHeight="1" x14ac:dyDescent="0.2">
      <c r="A152" s="256" t="s">
        <v>957</v>
      </c>
      <c r="B152" s="257"/>
      <c r="C152" s="66">
        <f t="shared" ref="C152:K152" si="24">SUM(C153:C153)</f>
        <v>110493933.89</v>
      </c>
      <c r="D152" s="66">
        <f t="shared" si="24"/>
        <v>7149378.79</v>
      </c>
      <c r="E152" s="268">
        <f t="shared" si="24"/>
        <v>7201229.71</v>
      </c>
      <c r="F152" s="269">
        <f t="shared" si="24"/>
        <v>11267068</v>
      </c>
      <c r="G152" s="66">
        <f t="shared" si="24"/>
        <v>10919068</v>
      </c>
      <c r="H152" s="270">
        <f t="shared" si="24"/>
        <v>10919068</v>
      </c>
      <c r="I152" s="269">
        <f t="shared" si="24"/>
        <v>11366749.788000001</v>
      </c>
      <c r="J152" s="66">
        <f t="shared" si="24"/>
        <v>11866886.778672002</v>
      </c>
      <c r="K152" s="268">
        <f t="shared" si="24"/>
        <v>12400896.68371224</v>
      </c>
    </row>
    <row r="153" spans="1:11" ht="13.35" customHeight="1" x14ac:dyDescent="0.2">
      <c r="A153" s="235" t="s">
        <v>957</v>
      </c>
      <c r="B153" s="257"/>
      <c r="C153" s="533">
        <v>110493933.89</v>
      </c>
      <c r="D153" s="533">
        <v>7149378.79</v>
      </c>
      <c r="E153" s="564">
        <v>7201229.71</v>
      </c>
      <c r="F153" s="565">
        <v>11267068</v>
      </c>
      <c r="G153" s="533">
        <v>10919068</v>
      </c>
      <c r="H153" s="566">
        <v>10919068</v>
      </c>
      <c r="I153" s="565">
        <v>11366749.788000001</v>
      </c>
      <c r="J153" s="533">
        <v>11866886.778672002</v>
      </c>
      <c r="K153" s="564">
        <v>12400896.68371224</v>
      </c>
    </row>
    <row r="154" spans="1:11" ht="5.0999999999999996" customHeight="1" x14ac:dyDescent="0.2">
      <c r="A154" s="267"/>
      <c r="B154" s="257"/>
      <c r="C154" s="66"/>
      <c r="D154" s="66"/>
      <c r="E154" s="268"/>
      <c r="F154" s="269"/>
      <c r="G154" s="66"/>
      <c r="H154" s="270"/>
      <c r="I154" s="269"/>
      <c r="J154" s="66"/>
      <c r="K154" s="268"/>
    </row>
    <row r="155" spans="1:11" ht="13.35" customHeight="1" x14ac:dyDescent="0.2">
      <c r="A155" s="256" t="s">
        <v>958</v>
      </c>
      <c r="B155" s="257"/>
      <c r="C155" s="66">
        <f t="shared" ref="C155:K155" si="25">SUM(C156:C156)</f>
        <v>7821288.6500000004</v>
      </c>
      <c r="D155" s="66">
        <f t="shared" si="25"/>
        <v>155884.51999999999</v>
      </c>
      <c r="E155" s="268">
        <f t="shared" si="25"/>
        <v>962632.66</v>
      </c>
      <c r="F155" s="269">
        <f t="shared" si="25"/>
        <v>358873</v>
      </c>
      <c r="G155" s="66">
        <f t="shared" si="25"/>
        <v>318873</v>
      </c>
      <c r="H155" s="270">
        <f t="shared" si="25"/>
        <v>318873</v>
      </c>
      <c r="I155" s="269">
        <f t="shared" si="25"/>
        <v>331946.79299999995</v>
      </c>
      <c r="J155" s="66">
        <f t="shared" si="25"/>
        <v>346552.45189199998</v>
      </c>
      <c r="K155" s="268">
        <f t="shared" si="25"/>
        <v>362147.31222714001</v>
      </c>
    </row>
    <row r="156" spans="1:11" ht="13.35" customHeight="1" x14ac:dyDescent="0.2">
      <c r="A156" s="235" t="s">
        <v>958</v>
      </c>
      <c r="B156" s="257"/>
      <c r="C156" s="533">
        <v>7821288.6500000004</v>
      </c>
      <c r="D156" s="533">
        <v>155884.51999999999</v>
      </c>
      <c r="E156" s="564">
        <v>962632.66</v>
      </c>
      <c r="F156" s="565">
        <v>358873</v>
      </c>
      <c r="G156" s="533">
        <v>318873</v>
      </c>
      <c r="H156" s="566">
        <v>318873</v>
      </c>
      <c r="I156" s="565">
        <v>331946.79299999995</v>
      </c>
      <c r="J156" s="533">
        <v>346552.45189199998</v>
      </c>
      <c r="K156" s="564">
        <v>362147.31222714001</v>
      </c>
    </row>
    <row r="157" spans="1:11" ht="5.0999999999999996" customHeight="1" x14ac:dyDescent="0.2">
      <c r="A157" s="267"/>
      <c r="B157" s="257"/>
      <c r="C157" s="66"/>
      <c r="D157" s="66"/>
      <c r="E157" s="268"/>
      <c r="F157" s="269"/>
      <c r="G157" s="66"/>
      <c r="H157" s="270"/>
      <c r="I157" s="269"/>
      <c r="J157" s="66"/>
      <c r="K157" s="268"/>
    </row>
    <row r="158" spans="1:11" ht="13.35" customHeight="1" x14ac:dyDescent="0.2">
      <c r="A158" s="256" t="s">
        <v>959</v>
      </c>
      <c r="B158" s="257"/>
      <c r="C158" s="66">
        <f t="shared" ref="C158:K158" si="26">SUM(C159:C159)</f>
        <v>2667551.91</v>
      </c>
      <c r="D158" s="66">
        <f t="shared" si="26"/>
        <v>5885595.8700000001</v>
      </c>
      <c r="E158" s="268">
        <f t="shared" si="26"/>
        <v>5967811.3600000003</v>
      </c>
      <c r="F158" s="269">
        <f t="shared" si="26"/>
        <v>18585536</v>
      </c>
      <c r="G158" s="66">
        <f t="shared" si="26"/>
        <v>11710536</v>
      </c>
      <c r="H158" s="270">
        <f t="shared" si="26"/>
        <v>11710536</v>
      </c>
      <c r="I158" s="269">
        <f t="shared" si="26"/>
        <v>12190667.976</v>
      </c>
      <c r="J158" s="66">
        <f t="shared" si="26"/>
        <v>12727057.366944</v>
      </c>
      <c r="K158" s="268">
        <f t="shared" si="26"/>
        <v>13299774.948456479</v>
      </c>
    </row>
    <row r="159" spans="1:11" ht="13.35" customHeight="1" x14ac:dyDescent="0.2">
      <c r="A159" s="235" t="s">
        <v>959</v>
      </c>
      <c r="B159" s="257"/>
      <c r="C159" s="533">
        <v>2667551.91</v>
      </c>
      <c r="D159" s="533">
        <v>5885595.8700000001</v>
      </c>
      <c r="E159" s="564">
        <v>5967811.3600000003</v>
      </c>
      <c r="F159" s="565">
        <v>18585536</v>
      </c>
      <c r="G159" s="533">
        <v>11710536</v>
      </c>
      <c r="H159" s="566">
        <v>11710536</v>
      </c>
      <c r="I159" s="565">
        <v>12190667.976</v>
      </c>
      <c r="J159" s="533">
        <v>12727057.366944</v>
      </c>
      <c r="K159" s="564">
        <v>13299774.948456479</v>
      </c>
    </row>
    <row r="160" spans="1:11" ht="5.0999999999999996" customHeight="1" x14ac:dyDescent="0.2">
      <c r="A160" s="267"/>
      <c r="B160" s="257"/>
      <c r="C160" s="66"/>
      <c r="D160" s="66"/>
      <c r="E160" s="268"/>
      <c r="F160" s="269"/>
      <c r="G160" s="66"/>
      <c r="H160" s="270"/>
      <c r="I160" s="269"/>
      <c r="J160" s="66"/>
      <c r="K160" s="268"/>
    </row>
    <row r="161" spans="1:11" ht="13.35" customHeight="1" x14ac:dyDescent="0.2">
      <c r="A161" s="256" t="s">
        <v>974</v>
      </c>
      <c r="B161" s="257"/>
      <c r="C161" s="66">
        <f t="shared" ref="C161:K161" si="27">SUM(C162:C162)</f>
        <v>0</v>
      </c>
      <c r="D161" s="66">
        <f t="shared" si="27"/>
        <v>0</v>
      </c>
      <c r="E161" s="268">
        <f t="shared" si="27"/>
        <v>0</v>
      </c>
      <c r="F161" s="269">
        <f t="shared" si="27"/>
        <v>0</v>
      </c>
      <c r="G161" s="66">
        <f t="shared" si="27"/>
        <v>0</v>
      </c>
      <c r="H161" s="270">
        <f t="shared" si="27"/>
        <v>0</v>
      </c>
      <c r="I161" s="269">
        <f t="shared" si="27"/>
        <v>0</v>
      </c>
      <c r="J161" s="66">
        <f t="shared" si="27"/>
        <v>0</v>
      </c>
      <c r="K161" s="268">
        <f t="shared" si="27"/>
        <v>0</v>
      </c>
    </row>
    <row r="162" spans="1:11" ht="13.35" customHeight="1" x14ac:dyDescent="0.2">
      <c r="A162" s="235" t="s">
        <v>974</v>
      </c>
      <c r="B162" s="257"/>
      <c r="C162" s="533"/>
      <c r="D162" s="533"/>
      <c r="E162" s="564"/>
      <c r="F162" s="565"/>
      <c r="G162" s="533"/>
      <c r="H162" s="566"/>
      <c r="I162" s="565"/>
      <c r="J162" s="533"/>
      <c r="K162" s="564"/>
    </row>
    <row r="163" spans="1:11" ht="5.0999999999999996" customHeight="1" x14ac:dyDescent="0.2">
      <c r="A163" s="267"/>
      <c r="B163" s="257"/>
      <c r="C163" s="66"/>
      <c r="D163" s="66"/>
      <c r="E163" s="268"/>
      <c r="F163" s="269"/>
      <c r="G163" s="66"/>
      <c r="H163" s="270"/>
      <c r="I163" s="269"/>
      <c r="J163" s="66"/>
      <c r="K163" s="268"/>
    </row>
    <row r="164" spans="1:11" ht="13.35" customHeight="1" x14ac:dyDescent="0.2">
      <c r="A164" s="256" t="s">
        <v>960</v>
      </c>
      <c r="B164" s="257"/>
      <c r="C164" s="66">
        <f t="shared" ref="C164:K164" si="28">SUM(C165:C165)</f>
        <v>0</v>
      </c>
      <c r="D164" s="66">
        <f t="shared" si="28"/>
        <v>0</v>
      </c>
      <c r="E164" s="268">
        <f t="shared" si="28"/>
        <v>0</v>
      </c>
      <c r="F164" s="269">
        <f t="shared" si="28"/>
        <v>0</v>
      </c>
      <c r="G164" s="66">
        <f t="shared" si="28"/>
        <v>0</v>
      </c>
      <c r="H164" s="270">
        <f t="shared" si="28"/>
        <v>0</v>
      </c>
      <c r="I164" s="269">
        <f t="shared" si="28"/>
        <v>0</v>
      </c>
      <c r="J164" s="66">
        <f t="shared" si="28"/>
        <v>0</v>
      </c>
      <c r="K164" s="268">
        <f t="shared" si="28"/>
        <v>0</v>
      </c>
    </row>
    <row r="165" spans="1:11" ht="13.35" customHeight="1" x14ac:dyDescent="0.2">
      <c r="A165" s="235" t="s">
        <v>960</v>
      </c>
      <c r="B165" s="257"/>
      <c r="C165" s="533"/>
      <c r="D165" s="533"/>
      <c r="E165" s="564"/>
      <c r="F165" s="565"/>
      <c r="G165" s="533"/>
      <c r="H165" s="566"/>
      <c r="I165" s="565"/>
      <c r="J165" s="533"/>
      <c r="K165" s="564"/>
    </row>
    <row r="166" spans="1:11" ht="5.0999999999999996" customHeight="1" x14ac:dyDescent="0.2">
      <c r="A166" s="267"/>
      <c r="B166" s="257"/>
      <c r="C166" s="66"/>
      <c r="D166" s="66"/>
      <c r="E166" s="268"/>
      <c r="F166" s="269"/>
      <c r="G166" s="66"/>
      <c r="H166" s="270"/>
      <c r="I166" s="269"/>
      <c r="J166" s="66"/>
      <c r="K166" s="268"/>
    </row>
    <row r="167" spans="1:11" ht="13.35" customHeight="1" x14ac:dyDescent="0.2">
      <c r="A167" s="572" t="s">
        <v>965</v>
      </c>
      <c r="B167" s="568"/>
      <c r="C167" s="251">
        <f>C6+C74+C103+C110+C118+C136+C139+C149+C152+C155+C158+C161+C164</f>
        <v>134199324.07000001</v>
      </c>
      <c r="D167" s="251">
        <f t="shared" ref="D167:K167" si="29">D6+D74+D103+D110+D118+D136+D139+D149+D152+D155+D158+D161+D164</f>
        <v>135051724.91</v>
      </c>
      <c r="E167" s="569">
        <f t="shared" si="29"/>
        <v>142487300.25</v>
      </c>
      <c r="F167" s="570">
        <f t="shared" si="29"/>
        <v>74148250</v>
      </c>
      <c r="G167" s="251">
        <f t="shared" si="29"/>
        <v>43764684</v>
      </c>
      <c r="H167" s="571">
        <f t="shared" si="29"/>
        <v>43764684</v>
      </c>
      <c r="I167" s="570">
        <f t="shared" si="29"/>
        <v>45559036.044</v>
      </c>
      <c r="J167" s="251">
        <f t="shared" si="29"/>
        <v>47563633.62993601</v>
      </c>
      <c r="K167" s="569">
        <f t="shared" si="29"/>
        <v>49703997.143283121</v>
      </c>
    </row>
    <row r="168" spans="1:11" ht="12.75" customHeight="1" x14ac:dyDescent="0.2">
      <c r="A168" s="189"/>
      <c r="B168" s="305"/>
      <c r="C168" s="77"/>
      <c r="D168" s="77"/>
      <c r="E168" s="77"/>
      <c r="F168" s="77"/>
      <c r="G168" s="77"/>
      <c r="H168" s="77"/>
      <c r="I168" s="77"/>
      <c r="J168" s="77"/>
      <c r="K168" s="77"/>
    </row>
    <row r="169" spans="1:11" ht="12.75" customHeight="1" x14ac:dyDescent="0.2">
      <c r="A169" s="136"/>
      <c r="B169" s="305"/>
      <c r="C169" s="286"/>
      <c r="D169" s="286"/>
      <c r="E169" s="77"/>
      <c r="F169" s="77"/>
      <c r="G169" s="77"/>
      <c r="H169" s="77"/>
      <c r="I169" s="77"/>
      <c r="J169" s="77"/>
      <c r="K169" s="77"/>
    </row>
    <row r="170" spans="1:11" ht="11.25" customHeight="1" x14ac:dyDescent="0.2">
      <c r="A170" s="86"/>
      <c r="B170" s="305"/>
      <c r="C170" s="286"/>
      <c r="D170" s="286"/>
      <c r="E170" s="77"/>
      <c r="F170" s="77"/>
      <c r="G170" s="77"/>
      <c r="H170" s="77"/>
      <c r="I170" s="77"/>
      <c r="J170" s="77"/>
      <c r="K170" s="77"/>
    </row>
    <row r="171" spans="1:11" ht="11.25" customHeight="1" x14ac:dyDescent="0.2"/>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3">
    <tabColor rgb="FFCCFFCC"/>
    <pageSetUpPr fitToPage="1"/>
  </sheetPr>
  <dimension ref="A1:O204"/>
  <sheetViews>
    <sheetView showGridLines="0" zoomScaleNormal="100" workbookViewId="0">
      <pane xSplit="2" ySplit="3" topLeftCell="C148" activePane="bottomRight" state="frozen"/>
      <selection activeCell="A23" sqref="A23"/>
      <selection pane="topRight" activeCell="A23" sqref="A23"/>
      <selection pane="bottomLeft" activeCell="A23" sqref="A23"/>
      <selection pane="bottomRight" activeCell="F20" sqref="F20:K20"/>
    </sheetView>
  </sheetViews>
  <sheetFormatPr defaultColWidth="9.109375" defaultRowHeight="10.199999999999999" x14ac:dyDescent="0.2"/>
  <cols>
    <col min="1" max="1" width="35.6640625" style="59" customWidth="1"/>
    <col min="2" max="2" width="3.109375" style="58" customWidth="1"/>
    <col min="3" max="11" width="8.6640625" style="59" customWidth="1"/>
    <col min="12" max="12" width="9.88671875" style="59" customWidth="1"/>
    <col min="13" max="13" width="9.44140625" style="59" customWidth="1"/>
    <col min="14" max="14" width="9.88671875" style="59" customWidth="1"/>
    <col min="15" max="17" width="9.44140625" style="59" customWidth="1"/>
    <col min="18" max="18" width="9.88671875" style="59" customWidth="1"/>
    <col min="19" max="21" width="9.44140625" style="59" customWidth="1"/>
    <col min="22" max="23" width="9.88671875" style="59" customWidth="1"/>
    <col min="24" max="16384" width="9.109375" style="59"/>
  </cols>
  <sheetData>
    <row r="1" spans="1:12" ht="13.8" x14ac:dyDescent="0.3">
      <c r="A1" s="57" t="str">
        <f>MEB9e</f>
        <v>Centlec (Soc) Ltd - Supporting Table SD7e Capital expenditure on upgrading of existing assets by asset class</v>
      </c>
    </row>
    <row r="2" spans="1:12" ht="20.399999999999999" x14ac:dyDescent="0.2">
      <c r="A2" s="551" t="str">
        <f>desc</f>
        <v>Description</v>
      </c>
      <c r="B2" s="552" t="str">
        <f>head27</f>
        <v>Ref</v>
      </c>
      <c r="C2" s="100" t="str">
        <f>head1b</f>
        <v>2017/18</v>
      </c>
      <c r="D2" s="60" t="str">
        <f>head1A</f>
        <v>2018/19</v>
      </c>
      <c r="E2" s="61" t="str">
        <f>Head1</f>
        <v>2019/20</v>
      </c>
      <c r="F2" s="62" t="str">
        <f>Head2</f>
        <v>Current Year 2020/21</v>
      </c>
      <c r="G2" s="63"/>
      <c r="H2" s="64"/>
      <c r="I2" s="62" t="str">
        <f>Head3a</f>
        <v>Medium Term Revenue and Expenditure Framework</v>
      </c>
      <c r="J2" s="63"/>
      <c r="K2" s="64"/>
    </row>
    <row r="3" spans="1:12" ht="20.399999999999999" x14ac:dyDescent="0.2">
      <c r="A3" s="234" t="s">
        <v>817</v>
      </c>
      <c r="B3" s="468">
        <v>1</v>
      </c>
      <c r="C3" s="469" t="str">
        <f>Head5</f>
        <v>Audited Outcome</v>
      </c>
      <c r="D3" s="470" t="str">
        <f>Head5</f>
        <v>Audited Outcome</v>
      </c>
      <c r="E3" s="471" t="str">
        <f>Head5</f>
        <v>Audited Outcome</v>
      </c>
      <c r="F3" s="553" t="str">
        <f>Head6</f>
        <v>Original Budget</v>
      </c>
      <c r="G3" s="469" t="str">
        <f>Head7</f>
        <v>Adjusted Budget</v>
      </c>
      <c r="H3" s="554" t="str">
        <f>Head8</f>
        <v>Full Year Forecast</v>
      </c>
      <c r="I3" s="553" t="str">
        <f>Head9</f>
        <v>Budget Year 2021/22</v>
      </c>
      <c r="J3" s="469" t="str">
        <f>Head10</f>
        <v>Budget Year +1 2022/23</v>
      </c>
      <c r="K3" s="471" t="str">
        <f>Head11</f>
        <v>Budget Year +2 2023/24</v>
      </c>
    </row>
    <row r="4" spans="1:12" ht="12.75" customHeight="1" x14ac:dyDescent="0.2">
      <c r="A4" s="65" t="s">
        <v>962</v>
      </c>
      <c r="B4" s="255"/>
      <c r="C4" s="68"/>
      <c r="D4" s="66"/>
      <c r="E4" s="67"/>
      <c r="F4" s="68"/>
      <c r="G4" s="66"/>
      <c r="H4" s="67"/>
      <c r="I4" s="68"/>
      <c r="J4" s="66"/>
      <c r="K4" s="67"/>
    </row>
    <row r="5" spans="1:12" ht="5.0999999999999996" customHeight="1" x14ac:dyDescent="0.2">
      <c r="A5" s="65"/>
      <c r="B5" s="255"/>
      <c r="C5" s="68"/>
      <c r="D5" s="66"/>
      <c r="E5" s="67"/>
      <c r="F5" s="68"/>
      <c r="G5" s="66"/>
      <c r="H5" s="67"/>
      <c r="I5" s="68"/>
      <c r="J5" s="66"/>
      <c r="K5" s="67"/>
    </row>
    <row r="6" spans="1:12" ht="13.35" customHeight="1" x14ac:dyDescent="0.2">
      <c r="A6" s="256" t="s">
        <v>159</v>
      </c>
      <c r="B6" s="257"/>
      <c r="C6" s="145">
        <f>C7+C12+C16+C26+C37+C44+C52+C62+C68</f>
        <v>25933060.18</v>
      </c>
      <c r="D6" s="145">
        <f t="shared" ref="D6:K6" si="0">D7+D12+D16+D26+D37+D44+D52+D62+D68</f>
        <v>9922731.6999999993</v>
      </c>
      <c r="E6" s="258">
        <f t="shared" si="0"/>
        <v>15391624.98</v>
      </c>
      <c r="F6" s="259">
        <f t="shared" si="0"/>
        <v>18521514</v>
      </c>
      <c r="G6" s="145">
        <f t="shared" si="0"/>
        <v>18521514</v>
      </c>
      <c r="H6" s="260">
        <f t="shared" si="0"/>
        <v>18521514</v>
      </c>
      <c r="I6" s="259">
        <f t="shared" si="0"/>
        <v>16018765.837199999</v>
      </c>
      <c r="J6" s="145">
        <f t="shared" si="0"/>
        <v>13536873.9975424</v>
      </c>
      <c r="K6" s="258">
        <f t="shared" si="0"/>
        <v>14011038.915594265</v>
      </c>
      <c r="L6" s="261"/>
    </row>
    <row r="7" spans="1:12" s="262" customFormat="1" ht="13.35" customHeight="1" x14ac:dyDescent="0.25">
      <c r="A7" s="235" t="s">
        <v>849</v>
      </c>
      <c r="B7" s="257"/>
      <c r="C7" s="150">
        <f t="shared" ref="C7:K7" si="1">SUM(C8:C11)</f>
        <v>0</v>
      </c>
      <c r="D7" s="150">
        <f t="shared" si="1"/>
        <v>0</v>
      </c>
      <c r="E7" s="151">
        <f t="shared" si="1"/>
        <v>0</v>
      </c>
      <c r="F7" s="152">
        <f t="shared" si="1"/>
        <v>0</v>
      </c>
      <c r="G7" s="150">
        <f t="shared" si="1"/>
        <v>0</v>
      </c>
      <c r="H7" s="153">
        <f t="shared" si="1"/>
        <v>0</v>
      </c>
      <c r="I7" s="152">
        <f t="shared" si="1"/>
        <v>0</v>
      </c>
      <c r="J7" s="150">
        <f t="shared" si="1"/>
        <v>0</v>
      </c>
      <c r="K7" s="153">
        <f t="shared" si="1"/>
        <v>0</v>
      </c>
      <c r="L7" s="73"/>
    </row>
    <row r="8" spans="1:12" s="262" customFormat="1" ht="13.35" customHeight="1" x14ac:dyDescent="0.25">
      <c r="A8" s="263" t="s">
        <v>504</v>
      </c>
      <c r="B8" s="257"/>
      <c r="C8" s="295"/>
      <c r="D8" s="295"/>
      <c r="E8" s="555"/>
      <c r="F8" s="556"/>
      <c r="G8" s="295"/>
      <c r="H8" s="294"/>
      <c r="I8" s="556"/>
      <c r="J8" s="295"/>
      <c r="K8" s="555"/>
      <c r="L8" s="261"/>
    </row>
    <row r="9" spans="1:12" s="262" customFormat="1" ht="13.35" customHeight="1" x14ac:dyDescent="0.25">
      <c r="A9" s="263" t="s">
        <v>850</v>
      </c>
      <c r="B9" s="257"/>
      <c r="C9" s="295"/>
      <c r="D9" s="295"/>
      <c r="E9" s="555"/>
      <c r="F9" s="556"/>
      <c r="G9" s="295"/>
      <c r="H9" s="294"/>
      <c r="I9" s="556"/>
      <c r="J9" s="295"/>
      <c r="K9" s="555"/>
      <c r="L9" s="265"/>
    </row>
    <row r="10" spans="1:12" s="262" customFormat="1" ht="13.35" customHeight="1" x14ac:dyDescent="0.25">
      <c r="A10" s="263" t="s">
        <v>851</v>
      </c>
      <c r="B10" s="257"/>
      <c r="C10" s="295"/>
      <c r="D10" s="295"/>
      <c r="E10" s="555"/>
      <c r="F10" s="556"/>
      <c r="G10" s="295"/>
      <c r="H10" s="294"/>
      <c r="I10" s="556"/>
      <c r="J10" s="295"/>
      <c r="K10" s="555"/>
      <c r="L10" s="265"/>
    </row>
    <row r="11" spans="1:12" s="262" customFormat="1" ht="13.35" customHeight="1" x14ac:dyDescent="0.25">
      <c r="A11" s="263" t="s">
        <v>852</v>
      </c>
      <c r="B11" s="257"/>
      <c r="C11" s="295"/>
      <c r="D11" s="295"/>
      <c r="E11" s="555"/>
      <c r="F11" s="556"/>
      <c r="G11" s="295"/>
      <c r="H11" s="294"/>
      <c r="I11" s="556"/>
      <c r="J11" s="295"/>
      <c r="K11" s="555"/>
      <c r="L11" s="265"/>
    </row>
    <row r="12" spans="1:12" s="262" customFormat="1" ht="13.35" customHeight="1" x14ac:dyDescent="0.25">
      <c r="A12" s="235" t="s">
        <v>853</v>
      </c>
      <c r="B12" s="257"/>
      <c r="C12" s="155">
        <f>SUM(C13:C15)</f>
        <v>0</v>
      </c>
      <c r="D12" s="155">
        <f t="shared" ref="D12:K12" si="2">SUM(D13:D15)</f>
        <v>0</v>
      </c>
      <c r="E12" s="156">
        <f t="shared" si="2"/>
        <v>0</v>
      </c>
      <c r="F12" s="157">
        <f t="shared" si="2"/>
        <v>0</v>
      </c>
      <c r="G12" s="155">
        <f t="shared" si="2"/>
        <v>0</v>
      </c>
      <c r="H12" s="158">
        <f t="shared" si="2"/>
        <v>0</v>
      </c>
      <c r="I12" s="159">
        <f t="shared" si="2"/>
        <v>0</v>
      </c>
      <c r="J12" s="155">
        <f t="shared" si="2"/>
        <v>0</v>
      </c>
      <c r="K12" s="158">
        <f t="shared" si="2"/>
        <v>0</v>
      </c>
      <c r="L12" s="265"/>
    </row>
    <row r="13" spans="1:12" s="262" customFormat="1" ht="13.35" customHeight="1" x14ac:dyDescent="0.25">
      <c r="A13" s="263" t="s">
        <v>854</v>
      </c>
      <c r="B13" s="257"/>
      <c r="C13" s="295"/>
      <c r="D13" s="295"/>
      <c r="E13" s="296"/>
      <c r="F13" s="297"/>
      <c r="G13" s="295"/>
      <c r="H13" s="298"/>
      <c r="I13" s="557"/>
      <c r="J13" s="295"/>
      <c r="K13" s="298"/>
      <c r="L13" s="265"/>
    </row>
    <row r="14" spans="1:12" s="262" customFormat="1" ht="13.35" customHeight="1" x14ac:dyDescent="0.25">
      <c r="A14" s="263" t="s">
        <v>855</v>
      </c>
      <c r="B14" s="257"/>
      <c r="C14" s="295"/>
      <c r="D14" s="295"/>
      <c r="E14" s="296"/>
      <c r="F14" s="297"/>
      <c r="G14" s="295"/>
      <c r="H14" s="298"/>
      <c r="I14" s="557"/>
      <c r="J14" s="295"/>
      <c r="K14" s="298"/>
      <c r="L14" s="265"/>
    </row>
    <row r="15" spans="1:12" s="262" customFormat="1" ht="13.35" customHeight="1" x14ac:dyDescent="0.25">
      <c r="A15" s="263" t="s">
        <v>856</v>
      </c>
      <c r="B15" s="257"/>
      <c r="C15" s="295"/>
      <c r="D15" s="295"/>
      <c r="E15" s="296"/>
      <c r="F15" s="297"/>
      <c r="G15" s="295"/>
      <c r="H15" s="298"/>
      <c r="I15" s="557"/>
      <c r="J15" s="295"/>
      <c r="K15" s="298"/>
      <c r="L15" s="265"/>
    </row>
    <row r="16" spans="1:12" s="262" customFormat="1" ht="13.35" customHeight="1" x14ac:dyDescent="0.25">
      <c r="A16" s="235" t="s">
        <v>857</v>
      </c>
      <c r="B16" s="257"/>
      <c r="C16" s="155">
        <f t="shared" ref="C16:K16" si="3">SUM(C17:C25)</f>
        <v>25933060.18</v>
      </c>
      <c r="D16" s="155">
        <f t="shared" si="3"/>
        <v>9922731.6999999993</v>
      </c>
      <c r="E16" s="156">
        <f t="shared" si="3"/>
        <v>15391624.98</v>
      </c>
      <c r="F16" s="157">
        <f t="shared" si="3"/>
        <v>18521514</v>
      </c>
      <c r="G16" s="155">
        <f t="shared" si="3"/>
        <v>18521514</v>
      </c>
      <c r="H16" s="158">
        <f t="shared" si="3"/>
        <v>18521514</v>
      </c>
      <c r="I16" s="159">
        <f t="shared" si="3"/>
        <v>16018765.837199999</v>
      </c>
      <c r="J16" s="155">
        <f t="shared" si="3"/>
        <v>13536873.9975424</v>
      </c>
      <c r="K16" s="158">
        <f t="shared" si="3"/>
        <v>14011038.915594265</v>
      </c>
      <c r="L16" s="265"/>
    </row>
    <row r="17" spans="1:12" s="262" customFormat="1" ht="13.35" customHeight="1" x14ac:dyDescent="0.25">
      <c r="A17" s="263" t="s">
        <v>858</v>
      </c>
      <c r="B17" s="257"/>
      <c r="C17" s="295"/>
      <c r="D17" s="295"/>
      <c r="E17" s="296"/>
      <c r="F17" s="297"/>
      <c r="G17" s="295"/>
      <c r="H17" s="298"/>
      <c r="I17" s="557"/>
      <c r="J17" s="295"/>
      <c r="K17" s="298"/>
      <c r="L17" s="265"/>
    </row>
    <row r="18" spans="1:12" s="262" customFormat="1" ht="13.35" customHeight="1" x14ac:dyDescent="0.25">
      <c r="A18" s="263" t="s">
        <v>859</v>
      </c>
      <c r="B18" s="257"/>
      <c r="C18" s="295"/>
      <c r="D18" s="295"/>
      <c r="E18" s="296"/>
      <c r="F18" s="297">
        <v>1000000</v>
      </c>
      <c r="G18" s="295">
        <v>1000000</v>
      </c>
      <c r="H18" s="298">
        <v>1000000</v>
      </c>
      <c r="I18" s="557">
        <v>200000</v>
      </c>
      <c r="J18" s="295">
        <v>280000</v>
      </c>
      <c r="K18" s="298">
        <v>291200</v>
      </c>
      <c r="L18" s="265"/>
    </row>
    <row r="19" spans="1:12" s="262" customFormat="1" ht="13.35" customHeight="1" x14ac:dyDescent="0.25">
      <c r="A19" s="263" t="s">
        <v>860</v>
      </c>
      <c r="B19" s="257"/>
      <c r="C19" s="295"/>
      <c r="D19" s="295"/>
      <c r="E19" s="296"/>
      <c r="F19" s="297"/>
      <c r="G19" s="295"/>
      <c r="H19" s="298"/>
      <c r="I19" s="557"/>
      <c r="J19" s="295"/>
      <c r="K19" s="298"/>
      <c r="L19" s="265"/>
    </row>
    <row r="20" spans="1:12" s="262" customFormat="1" ht="13.35" customHeight="1" x14ac:dyDescent="0.25">
      <c r="A20" s="263" t="s">
        <v>861</v>
      </c>
      <c r="B20" s="257"/>
      <c r="C20" s="295"/>
      <c r="D20" s="295"/>
      <c r="E20" s="296"/>
      <c r="F20" s="297"/>
      <c r="G20" s="295"/>
      <c r="H20" s="298"/>
      <c r="I20" s="557"/>
      <c r="J20" s="295"/>
      <c r="K20" s="298"/>
      <c r="L20" s="265"/>
    </row>
    <row r="21" spans="1:12" s="262" customFormat="1" ht="13.35" customHeight="1" x14ac:dyDescent="0.25">
      <c r="A21" s="263" t="s">
        <v>862</v>
      </c>
      <c r="B21" s="257"/>
      <c r="C21" s="295"/>
      <c r="D21" s="295"/>
      <c r="E21" s="296"/>
      <c r="F21" s="297"/>
      <c r="G21" s="295"/>
      <c r="H21" s="298"/>
      <c r="I21" s="557"/>
      <c r="J21" s="295"/>
      <c r="K21" s="298"/>
      <c r="L21" s="265"/>
    </row>
    <row r="22" spans="1:12" s="262" customFormat="1" ht="13.35" customHeight="1" x14ac:dyDescent="0.25">
      <c r="A22" s="263" t="s">
        <v>863</v>
      </c>
      <c r="B22" s="257"/>
      <c r="C22" s="295"/>
      <c r="D22" s="295"/>
      <c r="E22" s="296"/>
      <c r="F22" s="297"/>
      <c r="G22" s="295"/>
      <c r="H22" s="298"/>
      <c r="I22" s="557"/>
      <c r="J22" s="295"/>
      <c r="K22" s="298"/>
      <c r="L22" s="261"/>
    </row>
    <row r="23" spans="1:12" s="262" customFormat="1" ht="13.35" customHeight="1" x14ac:dyDescent="0.25">
      <c r="A23" s="263" t="s">
        <v>864</v>
      </c>
      <c r="B23" s="257"/>
      <c r="C23" s="295">
        <v>19737179.149999999</v>
      </c>
      <c r="D23" s="295">
        <v>9450820.5800000001</v>
      </c>
      <c r="E23" s="296">
        <v>11288482.720000001</v>
      </c>
      <c r="F23" s="297">
        <v>8521514</v>
      </c>
      <c r="G23" s="295">
        <v>8521514</v>
      </c>
      <c r="H23" s="298">
        <v>8521514</v>
      </c>
      <c r="I23" s="557">
        <v>5789240.6435199995</v>
      </c>
      <c r="J23" s="295">
        <v>5961838.7505478403</v>
      </c>
      <c r="K23" s="298">
        <v>6140698.695571945</v>
      </c>
      <c r="L23" s="265"/>
    </row>
    <row r="24" spans="1:12" s="262" customFormat="1" ht="13.35" customHeight="1" x14ac:dyDescent="0.25">
      <c r="A24" s="263" t="s">
        <v>865</v>
      </c>
      <c r="B24" s="257"/>
      <c r="C24" s="295">
        <v>6195881.0299999993</v>
      </c>
      <c r="D24" s="295">
        <v>471911.12</v>
      </c>
      <c r="E24" s="296">
        <v>4103142.26</v>
      </c>
      <c r="F24" s="297">
        <v>9000000</v>
      </c>
      <c r="G24" s="295">
        <v>9000000</v>
      </c>
      <c r="H24" s="298">
        <v>9000000</v>
      </c>
      <c r="I24" s="557">
        <v>10029525.19368</v>
      </c>
      <c r="J24" s="295">
        <v>7295035.2469945597</v>
      </c>
      <c r="K24" s="298">
        <v>7579140.2200223198</v>
      </c>
      <c r="L24" s="265"/>
    </row>
    <row r="25" spans="1:12" s="262" customFormat="1" ht="13.35" customHeight="1" x14ac:dyDescent="0.25">
      <c r="A25" s="263" t="s">
        <v>852</v>
      </c>
      <c r="B25" s="257"/>
      <c r="C25" s="295"/>
      <c r="D25" s="295"/>
      <c r="E25" s="296"/>
      <c r="F25" s="297"/>
      <c r="G25" s="295"/>
      <c r="H25" s="298"/>
      <c r="I25" s="557"/>
      <c r="J25" s="295"/>
      <c r="K25" s="298"/>
      <c r="L25" s="265"/>
    </row>
    <row r="26" spans="1:12" ht="13.35" customHeight="1" x14ac:dyDescent="0.2">
      <c r="A26" s="239" t="s">
        <v>866</v>
      </c>
      <c r="B26" s="266"/>
      <c r="C26" s="155">
        <f>SUM(C27:C36)</f>
        <v>0</v>
      </c>
      <c r="D26" s="155">
        <f t="shared" ref="D26:K26" si="4">SUM(D27:D36)</f>
        <v>0</v>
      </c>
      <c r="E26" s="156">
        <f t="shared" si="4"/>
        <v>0</v>
      </c>
      <c r="F26" s="157">
        <f t="shared" si="4"/>
        <v>0</v>
      </c>
      <c r="G26" s="155">
        <f t="shared" si="4"/>
        <v>0</v>
      </c>
      <c r="H26" s="158">
        <f t="shared" si="4"/>
        <v>0</v>
      </c>
      <c r="I26" s="159">
        <f t="shared" si="4"/>
        <v>0</v>
      </c>
      <c r="J26" s="155">
        <f t="shared" si="4"/>
        <v>0</v>
      </c>
      <c r="K26" s="158">
        <f t="shared" si="4"/>
        <v>0</v>
      </c>
      <c r="L26" s="73"/>
    </row>
    <row r="27" spans="1:12" ht="13.35" customHeight="1" x14ac:dyDescent="0.2">
      <c r="A27" s="263" t="s">
        <v>867</v>
      </c>
      <c r="B27" s="257"/>
      <c r="C27" s="295"/>
      <c r="D27" s="295"/>
      <c r="E27" s="296"/>
      <c r="F27" s="297"/>
      <c r="G27" s="295"/>
      <c r="H27" s="298"/>
      <c r="I27" s="557"/>
      <c r="J27" s="295"/>
      <c r="K27" s="298"/>
      <c r="L27" s="73"/>
    </row>
    <row r="28" spans="1:12" ht="13.35" customHeight="1" x14ac:dyDescent="0.2">
      <c r="A28" s="263" t="s">
        <v>868</v>
      </c>
      <c r="B28" s="257"/>
      <c r="C28" s="295"/>
      <c r="D28" s="295"/>
      <c r="E28" s="296"/>
      <c r="F28" s="297"/>
      <c r="G28" s="295"/>
      <c r="H28" s="298"/>
      <c r="I28" s="557"/>
      <c r="J28" s="295"/>
      <c r="K28" s="298"/>
      <c r="L28" s="265"/>
    </row>
    <row r="29" spans="1:12" ht="13.35" customHeight="1" x14ac:dyDescent="0.2">
      <c r="A29" s="263" t="s">
        <v>869</v>
      </c>
      <c r="B29" s="257"/>
      <c r="C29" s="295"/>
      <c r="D29" s="295"/>
      <c r="E29" s="296"/>
      <c r="F29" s="297"/>
      <c r="G29" s="295"/>
      <c r="H29" s="298"/>
      <c r="I29" s="557"/>
      <c r="J29" s="295"/>
      <c r="K29" s="298"/>
      <c r="L29" s="265"/>
    </row>
    <row r="30" spans="1:12" ht="13.35" customHeight="1" x14ac:dyDescent="0.2">
      <c r="A30" s="263" t="s">
        <v>870</v>
      </c>
      <c r="B30" s="257"/>
      <c r="C30" s="295"/>
      <c r="D30" s="295"/>
      <c r="E30" s="296"/>
      <c r="F30" s="297"/>
      <c r="G30" s="295"/>
      <c r="H30" s="298"/>
      <c r="I30" s="557"/>
      <c r="J30" s="295"/>
      <c r="K30" s="298"/>
      <c r="L30" s="265"/>
    </row>
    <row r="31" spans="1:12" ht="13.35" customHeight="1" x14ac:dyDescent="0.2">
      <c r="A31" s="263" t="s">
        <v>871</v>
      </c>
      <c r="B31" s="257"/>
      <c r="C31" s="295"/>
      <c r="D31" s="295"/>
      <c r="E31" s="296"/>
      <c r="F31" s="297"/>
      <c r="G31" s="295"/>
      <c r="H31" s="298"/>
      <c r="I31" s="557"/>
      <c r="J31" s="295"/>
      <c r="K31" s="298"/>
      <c r="L31" s="265"/>
    </row>
    <row r="32" spans="1:12" ht="13.35" customHeight="1" x14ac:dyDescent="0.2">
      <c r="A32" s="263" t="s">
        <v>872</v>
      </c>
      <c r="B32" s="257"/>
      <c r="C32" s="295"/>
      <c r="D32" s="295"/>
      <c r="E32" s="296"/>
      <c r="F32" s="297"/>
      <c r="G32" s="295"/>
      <c r="H32" s="298"/>
      <c r="I32" s="557"/>
      <c r="J32" s="295"/>
      <c r="K32" s="298"/>
      <c r="L32" s="265"/>
    </row>
    <row r="33" spans="1:15" ht="13.35" customHeight="1" x14ac:dyDescent="0.2">
      <c r="A33" s="263" t="s">
        <v>873</v>
      </c>
      <c r="B33" s="257"/>
      <c r="C33" s="295"/>
      <c r="D33" s="295"/>
      <c r="E33" s="296"/>
      <c r="F33" s="297"/>
      <c r="G33" s="295"/>
      <c r="H33" s="298"/>
      <c r="I33" s="557"/>
      <c r="J33" s="295"/>
      <c r="K33" s="298"/>
      <c r="L33" s="265"/>
    </row>
    <row r="34" spans="1:15" ht="13.35" customHeight="1" x14ac:dyDescent="0.2">
      <c r="A34" s="263" t="s">
        <v>874</v>
      </c>
      <c r="B34" s="257"/>
      <c r="C34" s="295"/>
      <c r="D34" s="295"/>
      <c r="E34" s="296"/>
      <c r="F34" s="297"/>
      <c r="G34" s="295"/>
      <c r="H34" s="298"/>
      <c r="I34" s="557"/>
      <c r="J34" s="295"/>
      <c r="K34" s="298"/>
      <c r="L34" s="265"/>
    </row>
    <row r="35" spans="1:15" ht="13.35" customHeight="1" x14ac:dyDescent="0.2">
      <c r="A35" s="263" t="s">
        <v>875</v>
      </c>
      <c r="B35" s="257"/>
      <c r="C35" s="295"/>
      <c r="D35" s="295"/>
      <c r="E35" s="296"/>
      <c r="F35" s="297"/>
      <c r="G35" s="295"/>
      <c r="H35" s="298"/>
      <c r="I35" s="557"/>
      <c r="J35" s="295"/>
      <c r="K35" s="298"/>
      <c r="L35" s="265"/>
    </row>
    <row r="36" spans="1:15" ht="13.35" customHeight="1" x14ac:dyDescent="0.2">
      <c r="A36" s="263" t="s">
        <v>852</v>
      </c>
      <c r="B36" s="257"/>
      <c r="C36" s="295"/>
      <c r="D36" s="295"/>
      <c r="E36" s="296"/>
      <c r="F36" s="297"/>
      <c r="G36" s="295"/>
      <c r="H36" s="298"/>
      <c r="I36" s="557"/>
      <c r="J36" s="295"/>
      <c r="K36" s="298"/>
      <c r="L36" s="265"/>
    </row>
    <row r="37" spans="1:15" ht="13.35" customHeight="1" x14ac:dyDescent="0.2">
      <c r="A37" s="239" t="s">
        <v>876</v>
      </c>
      <c r="B37" s="257"/>
      <c r="C37" s="155">
        <f>SUM(C38:C43)</f>
        <v>0</v>
      </c>
      <c r="D37" s="155">
        <f t="shared" ref="D37:K37" si="5">SUM(D38:D43)</f>
        <v>0</v>
      </c>
      <c r="E37" s="156">
        <f t="shared" si="5"/>
        <v>0</v>
      </c>
      <c r="F37" s="157">
        <f t="shared" si="5"/>
        <v>0</v>
      </c>
      <c r="G37" s="155">
        <f t="shared" si="5"/>
        <v>0</v>
      </c>
      <c r="H37" s="158">
        <f t="shared" si="5"/>
        <v>0</v>
      </c>
      <c r="I37" s="159">
        <f t="shared" si="5"/>
        <v>0</v>
      </c>
      <c r="J37" s="155">
        <f t="shared" si="5"/>
        <v>0</v>
      </c>
      <c r="K37" s="158">
        <f t="shared" si="5"/>
        <v>0</v>
      </c>
      <c r="L37" s="265"/>
      <c r="O37" s="73"/>
    </row>
    <row r="38" spans="1:15" ht="13.35" customHeight="1" x14ac:dyDescent="0.2">
      <c r="A38" s="263" t="s">
        <v>877</v>
      </c>
      <c r="B38" s="257"/>
      <c r="C38" s="295"/>
      <c r="D38" s="295"/>
      <c r="E38" s="296"/>
      <c r="F38" s="297"/>
      <c r="G38" s="295"/>
      <c r="H38" s="298"/>
      <c r="I38" s="557"/>
      <c r="J38" s="295"/>
      <c r="K38" s="298"/>
      <c r="L38" s="265"/>
    </row>
    <row r="39" spans="1:15" ht="13.35" customHeight="1" x14ac:dyDescent="0.2">
      <c r="A39" s="263" t="s">
        <v>494</v>
      </c>
      <c r="B39" s="257"/>
      <c r="C39" s="295"/>
      <c r="D39" s="295"/>
      <c r="E39" s="296"/>
      <c r="F39" s="297"/>
      <c r="G39" s="295"/>
      <c r="H39" s="298"/>
      <c r="I39" s="557"/>
      <c r="J39" s="295"/>
      <c r="K39" s="298"/>
      <c r="L39" s="265"/>
    </row>
    <row r="40" spans="1:15" ht="13.35" customHeight="1" x14ac:dyDescent="0.2">
      <c r="A40" s="263" t="s">
        <v>878</v>
      </c>
      <c r="B40" s="257"/>
      <c r="C40" s="295"/>
      <c r="D40" s="295"/>
      <c r="E40" s="296"/>
      <c r="F40" s="297"/>
      <c r="G40" s="295"/>
      <c r="H40" s="298"/>
      <c r="I40" s="557"/>
      <c r="J40" s="295"/>
      <c r="K40" s="298"/>
      <c r="L40" s="73"/>
    </row>
    <row r="41" spans="1:15" ht="13.35" customHeight="1" x14ac:dyDescent="0.2">
      <c r="A41" s="263" t="s">
        <v>879</v>
      </c>
      <c r="B41" s="257"/>
      <c r="C41" s="295"/>
      <c r="D41" s="295"/>
      <c r="E41" s="296"/>
      <c r="F41" s="297"/>
      <c r="G41" s="295"/>
      <c r="H41" s="298"/>
      <c r="I41" s="557"/>
      <c r="J41" s="295"/>
      <c r="K41" s="298"/>
      <c r="L41" s="265"/>
    </row>
    <row r="42" spans="1:15" ht="13.35" customHeight="1" x14ac:dyDescent="0.2">
      <c r="A42" s="263" t="s">
        <v>880</v>
      </c>
      <c r="B42" s="257"/>
      <c r="C42" s="295"/>
      <c r="D42" s="295"/>
      <c r="E42" s="296"/>
      <c r="F42" s="297"/>
      <c r="G42" s="295"/>
      <c r="H42" s="298"/>
      <c r="I42" s="557"/>
      <c r="J42" s="295"/>
      <c r="K42" s="298"/>
      <c r="L42" s="73"/>
    </row>
    <row r="43" spans="1:15" ht="13.35" customHeight="1" x14ac:dyDescent="0.2">
      <c r="A43" s="263" t="s">
        <v>852</v>
      </c>
      <c r="B43" s="257"/>
      <c r="C43" s="295"/>
      <c r="D43" s="295"/>
      <c r="E43" s="296"/>
      <c r="F43" s="297"/>
      <c r="G43" s="295"/>
      <c r="H43" s="298"/>
      <c r="I43" s="557"/>
      <c r="J43" s="295"/>
      <c r="K43" s="298"/>
      <c r="L43" s="73"/>
    </row>
    <row r="44" spans="1:15" ht="13.35" customHeight="1" x14ac:dyDescent="0.2">
      <c r="A44" s="239" t="s">
        <v>881</v>
      </c>
      <c r="B44" s="257"/>
      <c r="C44" s="155">
        <f>SUM(C45:C51)</f>
        <v>0</v>
      </c>
      <c r="D44" s="155">
        <f t="shared" ref="D44:K44" si="6">SUM(D45:D51)</f>
        <v>0</v>
      </c>
      <c r="E44" s="156">
        <f t="shared" si="6"/>
        <v>0</v>
      </c>
      <c r="F44" s="157">
        <f t="shared" si="6"/>
        <v>0</v>
      </c>
      <c r="G44" s="155">
        <f t="shared" si="6"/>
        <v>0</v>
      </c>
      <c r="H44" s="158">
        <f t="shared" si="6"/>
        <v>0</v>
      </c>
      <c r="I44" s="159">
        <f t="shared" si="6"/>
        <v>0</v>
      </c>
      <c r="J44" s="155">
        <f t="shared" si="6"/>
        <v>0</v>
      </c>
      <c r="K44" s="158">
        <f t="shared" si="6"/>
        <v>0</v>
      </c>
      <c r="L44" s="73"/>
    </row>
    <row r="45" spans="1:15" ht="13.35" customHeight="1" x14ac:dyDescent="0.2">
      <c r="A45" s="263" t="s">
        <v>882</v>
      </c>
      <c r="B45" s="257"/>
      <c r="C45" s="295"/>
      <c r="D45" s="295"/>
      <c r="E45" s="296"/>
      <c r="F45" s="297"/>
      <c r="G45" s="295"/>
      <c r="H45" s="298"/>
      <c r="I45" s="557"/>
      <c r="J45" s="295"/>
      <c r="K45" s="298"/>
      <c r="L45" s="73"/>
    </row>
    <row r="46" spans="1:15" ht="13.35" customHeight="1" x14ac:dyDescent="0.2">
      <c r="A46" s="263" t="s">
        <v>883</v>
      </c>
      <c r="B46" s="257"/>
      <c r="C46" s="295"/>
      <c r="D46" s="295"/>
      <c r="E46" s="296"/>
      <c r="F46" s="297"/>
      <c r="G46" s="295"/>
      <c r="H46" s="298"/>
      <c r="I46" s="557"/>
      <c r="J46" s="295"/>
      <c r="K46" s="298"/>
      <c r="L46" s="73"/>
    </row>
    <row r="47" spans="1:15" ht="13.35" customHeight="1" x14ac:dyDescent="0.2">
      <c r="A47" s="263" t="s">
        <v>884</v>
      </c>
      <c r="B47" s="257"/>
      <c r="C47" s="295"/>
      <c r="D47" s="295"/>
      <c r="E47" s="296"/>
      <c r="F47" s="297"/>
      <c r="G47" s="295"/>
      <c r="H47" s="298"/>
      <c r="I47" s="557"/>
      <c r="J47" s="295"/>
      <c r="K47" s="298"/>
      <c r="L47" s="73"/>
    </row>
    <row r="48" spans="1:15" ht="13.35" customHeight="1" x14ac:dyDescent="0.2">
      <c r="A48" s="263" t="s">
        <v>885</v>
      </c>
      <c r="B48" s="257"/>
      <c r="C48" s="295"/>
      <c r="D48" s="295"/>
      <c r="E48" s="296"/>
      <c r="F48" s="297"/>
      <c r="G48" s="295"/>
      <c r="H48" s="298"/>
      <c r="I48" s="557"/>
      <c r="J48" s="295"/>
      <c r="K48" s="298"/>
      <c r="L48" s="265"/>
    </row>
    <row r="49" spans="1:12" ht="13.35" customHeight="1" x14ac:dyDescent="0.2">
      <c r="A49" s="263" t="s">
        <v>886</v>
      </c>
      <c r="B49" s="257"/>
      <c r="C49" s="295"/>
      <c r="D49" s="295"/>
      <c r="E49" s="296"/>
      <c r="F49" s="297"/>
      <c r="G49" s="295"/>
      <c r="H49" s="298"/>
      <c r="I49" s="557"/>
      <c r="J49" s="295"/>
      <c r="K49" s="298"/>
      <c r="L49" s="73"/>
    </row>
    <row r="50" spans="1:12" ht="13.35" customHeight="1" x14ac:dyDescent="0.2">
      <c r="A50" s="263" t="s">
        <v>887</v>
      </c>
      <c r="B50" s="257"/>
      <c r="C50" s="295"/>
      <c r="D50" s="295"/>
      <c r="E50" s="296"/>
      <c r="F50" s="297"/>
      <c r="G50" s="295"/>
      <c r="H50" s="298"/>
      <c r="I50" s="557"/>
      <c r="J50" s="295"/>
      <c r="K50" s="298"/>
      <c r="L50" s="73"/>
    </row>
    <row r="51" spans="1:12" ht="13.35" customHeight="1" x14ac:dyDescent="0.2">
      <c r="A51" s="263" t="s">
        <v>852</v>
      </c>
      <c r="B51" s="257"/>
      <c r="C51" s="295"/>
      <c r="D51" s="295"/>
      <c r="E51" s="296"/>
      <c r="F51" s="297"/>
      <c r="G51" s="295"/>
      <c r="H51" s="298"/>
      <c r="I51" s="557"/>
      <c r="J51" s="295"/>
      <c r="K51" s="298"/>
      <c r="L51" s="73"/>
    </row>
    <row r="52" spans="1:12" ht="13.35" customHeight="1" x14ac:dyDescent="0.2">
      <c r="A52" s="235" t="s">
        <v>888</v>
      </c>
      <c r="B52" s="257"/>
      <c r="C52" s="155">
        <f t="shared" ref="C52:K52" si="7">SUM(C53:C61)</f>
        <v>0</v>
      </c>
      <c r="D52" s="155">
        <f t="shared" si="7"/>
        <v>0</v>
      </c>
      <c r="E52" s="156">
        <f t="shared" si="7"/>
        <v>0</v>
      </c>
      <c r="F52" s="157">
        <f t="shared" si="7"/>
        <v>0</v>
      </c>
      <c r="G52" s="155">
        <f t="shared" si="7"/>
        <v>0</v>
      </c>
      <c r="H52" s="158">
        <f t="shared" si="7"/>
        <v>0</v>
      </c>
      <c r="I52" s="159">
        <f t="shared" si="7"/>
        <v>0</v>
      </c>
      <c r="J52" s="155">
        <f t="shared" si="7"/>
        <v>0</v>
      </c>
      <c r="K52" s="158">
        <f t="shared" si="7"/>
        <v>0</v>
      </c>
      <c r="L52" s="265"/>
    </row>
    <row r="53" spans="1:12" ht="13.35" customHeight="1" x14ac:dyDescent="0.2">
      <c r="A53" s="263" t="s">
        <v>889</v>
      </c>
      <c r="B53" s="257"/>
      <c r="C53" s="295"/>
      <c r="D53" s="295"/>
      <c r="E53" s="296"/>
      <c r="F53" s="297"/>
      <c r="G53" s="295"/>
      <c r="H53" s="298"/>
      <c r="I53" s="557"/>
      <c r="J53" s="295"/>
      <c r="K53" s="298"/>
      <c r="L53" s="73"/>
    </row>
    <row r="54" spans="1:12" ht="13.35" customHeight="1" x14ac:dyDescent="0.2">
      <c r="A54" s="263" t="s">
        <v>890</v>
      </c>
      <c r="B54" s="257"/>
      <c r="C54" s="295"/>
      <c r="D54" s="295"/>
      <c r="E54" s="296"/>
      <c r="F54" s="297"/>
      <c r="G54" s="295"/>
      <c r="H54" s="298"/>
      <c r="I54" s="557"/>
      <c r="J54" s="295"/>
      <c r="K54" s="298"/>
      <c r="L54" s="265"/>
    </row>
    <row r="55" spans="1:12" ht="13.35" customHeight="1" x14ac:dyDescent="0.2">
      <c r="A55" s="263" t="s">
        <v>891</v>
      </c>
      <c r="B55" s="257"/>
      <c r="C55" s="295"/>
      <c r="D55" s="295"/>
      <c r="E55" s="296"/>
      <c r="F55" s="297"/>
      <c r="G55" s="295"/>
      <c r="H55" s="298"/>
      <c r="I55" s="557"/>
      <c r="J55" s="295"/>
      <c r="K55" s="298"/>
      <c r="L55" s="265"/>
    </row>
    <row r="56" spans="1:12" ht="13.35" customHeight="1" x14ac:dyDescent="0.2">
      <c r="A56" s="263" t="s">
        <v>854</v>
      </c>
      <c r="B56" s="257"/>
      <c r="C56" s="295"/>
      <c r="D56" s="295"/>
      <c r="E56" s="296"/>
      <c r="F56" s="297"/>
      <c r="G56" s="295"/>
      <c r="H56" s="298"/>
      <c r="I56" s="557"/>
      <c r="J56" s="295"/>
      <c r="K56" s="298"/>
      <c r="L56" s="265"/>
    </row>
    <row r="57" spans="1:12" ht="13.35" customHeight="1" x14ac:dyDescent="0.2">
      <c r="A57" s="263" t="s">
        <v>855</v>
      </c>
      <c r="B57" s="257"/>
      <c r="C57" s="295"/>
      <c r="D57" s="295"/>
      <c r="E57" s="296"/>
      <c r="F57" s="297"/>
      <c r="G57" s="295"/>
      <c r="H57" s="298"/>
      <c r="I57" s="557"/>
      <c r="J57" s="295"/>
      <c r="K57" s="298"/>
      <c r="L57" s="265"/>
    </row>
    <row r="58" spans="1:12" ht="13.35" customHeight="1" x14ac:dyDescent="0.2">
      <c r="A58" s="263" t="s">
        <v>856</v>
      </c>
      <c r="B58" s="257"/>
      <c r="C58" s="295"/>
      <c r="D58" s="295"/>
      <c r="E58" s="296"/>
      <c r="F58" s="297"/>
      <c r="G58" s="295"/>
      <c r="H58" s="298"/>
      <c r="I58" s="557"/>
      <c r="J58" s="295"/>
      <c r="K58" s="298"/>
      <c r="L58" s="261"/>
    </row>
    <row r="59" spans="1:12" ht="13.35" customHeight="1" x14ac:dyDescent="0.2">
      <c r="A59" s="263" t="s">
        <v>862</v>
      </c>
      <c r="B59" s="257"/>
      <c r="C59" s="295"/>
      <c r="D59" s="295"/>
      <c r="E59" s="296"/>
      <c r="F59" s="297"/>
      <c r="G59" s="295"/>
      <c r="H59" s="298"/>
      <c r="I59" s="557"/>
      <c r="J59" s="295"/>
      <c r="K59" s="298"/>
      <c r="L59" s="265"/>
    </row>
    <row r="60" spans="1:12" ht="13.35" customHeight="1" x14ac:dyDescent="0.2">
      <c r="A60" s="263" t="s">
        <v>865</v>
      </c>
      <c r="B60" s="257"/>
      <c r="C60" s="295"/>
      <c r="D60" s="295"/>
      <c r="E60" s="296"/>
      <c r="F60" s="297"/>
      <c r="G60" s="295"/>
      <c r="H60" s="298"/>
      <c r="I60" s="557"/>
      <c r="J60" s="295"/>
      <c r="K60" s="298"/>
      <c r="L60" s="265"/>
    </row>
    <row r="61" spans="1:12" ht="13.35" customHeight="1" x14ac:dyDescent="0.2">
      <c r="A61" s="263" t="s">
        <v>852</v>
      </c>
      <c r="B61" s="257"/>
      <c r="C61" s="295"/>
      <c r="D61" s="295"/>
      <c r="E61" s="296"/>
      <c r="F61" s="297"/>
      <c r="G61" s="295"/>
      <c r="H61" s="298"/>
      <c r="I61" s="557"/>
      <c r="J61" s="295"/>
      <c r="K61" s="298"/>
      <c r="L61" s="265"/>
    </row>
    <row r="62" spans="1:12" ht="13.35" customHeight="1" x14ac:dyDescent="0.2">
      <c r="A62" s="239" t="s">
        <v>892</v>
      </c>
      <c r="B62" s="257"/>
      <c r="C62" s="155">
        <f>SUM(C63:C67)</f>
        <v>0</v>
      </c>
      <c r="D62" s="155">
        <f t="shared" ref="D62:K62" si="8">SUM(D63:D67)</f>
        <v>0</v>
      </c>
      <c r="E62" s="156">
        <f t="shared" si="8"/>
        <v>0</v>
      </c>
      <c r="F62" s="157">
        <f t="shared" si="8"/>
        <v>0</v>
      </c>
      <c r="G62" s="155">
        <f t="shared" si="8"/>
        <v>0</v>
      </c>
      <c r="H62" s="158">
        <f t="shared" si="8"/>
        <v>0</v>
      </c>
      <c r="I62" s="159">
        <f t="shared" si="8"/>
        <v>0</v>
      </c>
      <c r="J62" s="155">
        <f t="shared" si="8"/>
        <v>0</v>
      </c>
      <c r="K62" s="158">
        <f t="shared" si="8"/>
        <v>0</v>
      </c>
      <c r="L62" s="265"/>
    </row>
    <row r="63" spans="1:12" ht="13.35" customHeight="1" x14ac:dyDescent="0.2">
      <c r="A63" s="263" t="s">
        <v>893</v>
      </c>
      <c r="B63" s="257"/>
      <c r="C63" s="295"/>
      <c r="D63" s="295"/>
      <c r="E63" s="296"/>
      <c r="F63" s="297"/>
      <c r="G63" s="295"/>
      <c r="H63" s="298"/>
      <c r="I63" s="557"/>
      <c r="J63" s="295"/>
      <c r="K63" s="298"/>
      <c r="L63" s="265"/>
    </row>
    <row r="64" spans="1:12" ht="13.35" customHeight="1" x14ac:dyDescent="0.2">
      <c r="A64" s="263" t="s">
        <v>894</v>
      </c>
      <c r="B64" s="257"/>
      <c r="C64" s="295"/>
      <c r="D64" s="295"/>
      <c r="E64" s="296"/>
      <c r="F64" s="297"/>
      <c r="G64" s="295"/>
      <c r="H64" s="298"/>
      <c r="I64" s="557"/>
      <c r="J64" s="295"/>
      <c r="K64" s="298"/>
      <c r="L64" s="73"/>
    </row>
    <row r="65" spans="1:12" ht="13.35" customHeight="1" x14ac:dyDescent="0.2">
      <c r="A65" s="263" t="s">
        <v>895</v>
      </c>
      <c r="B65" s="257"/>
      <c r="C65" s="295"/>
      <c r="D65" s="295"/>
      <c r="E65" s="296"/>
      <c r="F65" s="297"/>
      <c r="G65" s="295"/>
      <c r="H65" s="298"/>
      <c r="I65" s="557"/>
      <c r="J65" s="295"/>
      <c r="K65" s="298"/>
      <c r="L65" s="73"/>
    </row>
    <row r="66" spans="1:12" ht="13.35" customHeight="1" x14ac:dyDescent="0.2">
      <c r="A66" s="263" t="s">
        <v>896</v>
      </c>
      <c r="B66" s="257"/>
      <c r="C66" s="295"/>
      <c r="D66" s="295"/>
      <c r="E66" s="296"/>
      <c r="F66" s="297"/>
      <c r="G66" s="295"/>
      <c r="H66" s="298"/>
      <c r="I66" s="557"/>
      <c r="J66" s="295"/>
      <c r="K66" s="298"/>
      <c r="L66" s="73"/>
    </row>
    <row r="67" spans="1:12" ht="13.35" customHeight="1" x14ac:dyDescent="0.2">
      <c r="A67" s="263" t="s">
        <v>852</v>
      </c>
      <c r="B67" s="257"/>
      <c r="C67" s="295"/>
      <c r="D67" s="295"/>
      <c r="E67" s="296"/>
      <c r="F67" s="297"/>
      <c r="G67" s="295"/>
      <c r="H67" s="298"/>
      <c r="I67" s="557"/>
      <c r="J67" s="295"/>
      <c r="K67" s="298"/>
      <c r="L67" s="73"/>
    </row>
    <row r="68" spans="1:12" ht="13.35" customHeight="1" x14ac:dyDescent="0.2">
      <c r="A68" s="235" t="s">
        <v>897</v>
      </c>
      <c r="B68" s="257"/>
      <c r="C68" s="155">
        <f>SUM(C69:C72)</f>
        <v>0</v>
      </c>
      <c r="D68" s="155">
        <f t="shared" ref="D68:K68" si="9">SUM(D69:D72)</f>
        <v>0</v>
      </c>
      <c r="E68" s="155">
        <f t="shared" si="9"/>
        <v>0</v>
      </c>
      <c r="F68" s="157">
        <f t="shared" si="9"/>
        <v>0</v>
      </c>
      <c r="G68" s="155">
        <f t="shared" si="9"/>
        <v>0</v>
      </c>
      <c r="H68" s="158">
        <f t="shared" si="9"/>
        <v>0</v>
      </c>
      <c r="I68" s="159">
        <f t="shared" si="9"/>
        <v>0</v>
      </c>
      <c r="J68" s="155">
        <f t="shared" si="9"/>
        <v>0</v>
      </c>
      <c r="K68" s="158">
        <f t="shared" si="9"/>
        <v>0</v>
      </c>
      <c r="L68" s="73"/>
    </row>
    <row r="69" spans="1:12" ht="13.35" customHeight="1" x14ac:dyDescent="0.2">
      <c r="A69" s="263" t="s">
        <v>898</v>
      </c>
      <c r="B69" s="257"/>
      <c r="C69" s="295"/>
      <c r="D69" s="295"/>
      <c r="E69" s="294"/>
      <c r="F69" s="556"/>
      <c r="G69" s="295"/>
      <c r="H69" s="294"/>
      <c r="I69" s="556"/>
      <c r="J69" s="295"/>
      <c r="K69" s="298"/>
      <c r="L69" s="73"/>
    </row>
    <row r="70" spans="1:12" ht="13.35" customHeight="1" x14ac:dyDescent="0.2">
      <c r="A70" s="263" t="s">
        <v>899</v>
      </c>
      <c r="B70" s="257"/>
      <c r="C70" s="295"/>
      <c r="D70" s="295"/>
      <c r="E70" s="555"/>
      <c r="F70" s="556"/>
      <c r="G70" s="295"/>
      <c r="H70" s="294"/>
      <c r="I70" s="556"/>
      <c r="J70" s="295"/>
      <c r="K70" s="298"/>
      <c r="L70" s="73"/>
    </row>
    <row r="71" spans="1:12" ht="13.35" customHeight="1" x14ac:dyDescent="0.2">
      <c r="A71" s="263" t="s">
        <v>900</v>
      </c>
      <c r="B71" s="257"/>
      <c r="C71" s="295"/>
      <c r="D71" s="295"/>
      <c r="E71" s="555"/>
      <c r="F71" s="556"/>
      <c r="G71" s="295"/>
      <c r="H71" s="294"/>
      <c r="I71" s="556"/>
      <c r="J71" s="295"/>
      <c r="K71" s="555"/>
      <c r="L71" s="73"/>
    </row>
    <row r="72" spans="1:12" ht="13.35" customHeight="1" x14ac:dyDescent="0.2">
      <c r="A72" s="263" t="s">
        <v>852</v>
      </c>
      <c r="B72" s="257"/>
      <c r="C72" s="295"/>
      <c r="D72" s="295"/>
      <c r="E72" s="555"/>
      <c r="F72" s="556"/>
      <c r="G72" s="295"/>
      <c r="H72" s="294"/>
      <c r="I72" s="556"/>
      <c r="J72" s="295"/>
      <c r="K72" s="555"/>
      <c r="L72" s="73"/>
    </row>
    <row r="73" spans="1:12" ht="5.0999999999999996" customHeight="1" x14ac:dyDescent="0.2">
      <c r="A73" s="267"/>
      <c r="B73" s="257"/>
      <c r="C73" s="66"/>
      <c r="D73" s="66"/>
      <c r="E73" s="268"/>
      <c r="F73" s="269"/>
      <c r="G73" s="66"/>
      <c r="H73" s="270"/>
      <c r="I73" s="269"/>
      <c r="J73" s="66"/>
      <c r="K73" s="268"/>
      <c r="L73" s="73"/>
    </row>
    <row r="74" spans="1:12" ht="13.35" customHeight="1" x14ac:dyDescent="0.2">
      <c r="A74" s="256" t="s">
        <v>901</v>
      </c>
      <c r="B74" s="257"/>
      <c r="C74" s="145">
        <f>C75+C98</f>
        <v>0</v>
      </c>
      <c r="D74" s="145">
        <f t="shared" ref="D74:K74" si="10">D75+D98</f>
        <v>0</v>
      </c>
      <c r="E74" s="258">
        <f t="shared" si="10"/>
        <v>0</v>
      </c>
      <c r="F74" s="259">
        <f t="shared" si="10"/>
        <v>0</v>
      </c>
      <c r="G74" s="145">
        <f t="shared" si="10"/>
        <v>0</v>
      </c>
      <c r="H74" s="260">
        <f t="shared" si="10"/>
        <v>0</v>
      </c>
      <c r="I74" s="259">
        <f t="shared" si="10"/>
        <v>0</v>
      </c>
      <c r="J74" s="145">
        <f t="shared" si="10"/>
        <v>0</v>
      </c>
      <c r="K74" s="258">
        <f t="shared" si="10"/>
        <v>0</v>
      </c>
      <c r="L74" s="73"/>
    </row>
    <row r="75" spans="1:12" ht="13.35" customHeight="1" x14ac:dyDescent="0.2">
      <c r="A75" s="235" t="s">
        <v>902</v>
      </c>
      <c r="B75" s="257"/>
      <c r="C75" s="150">
        <f>SUM(C76:C97)</f>
        <v>0</v>
      </c>
      <c r="D75" s="150">
        <f t="shared" ref="D75:K75" si="11">SUM(D76:D97)</f>
        <v>0</v>
      </c>
      <c r="E75" s="151">
        <f t="shared" si="11"/>
        <v>0</v>
      </c>
      <c r="F75" s="152">
        <f t="shared" si="11"/>
        <v>0</v>
      </c>
      <c r="G75" s="150">
        <f t="shared" si="11"/>
        <v>0</v>
      </c>
      <c r="H75" s="153">
        <f t="shared" si="11"/>
        <v>0</v>
      </c>
      <c r="I75" s="152">
        <f t="shared" si="11"/>
        <v>0</v>
      </c>
      <c r="J75" s="150">
        <f t="shared" si="11"/>
        <v>0</v>
      </c>
      <c r="K75" s="153">
        <f t="shared" si="11"/>
        <v>0</v>
      </c>
      <c r="L75" s="73"/>
    </row>
    <row r="76" spans="1:12" ht="13.35" customHeight="1" x14ac:dyDescent="0.2">
      <c r="A76" s="263" t="s">
        <v>903</v>
      </c>
      <c r="B76" s="257"/>
      <c r="C76" s="295"/>
      <c r="D76" s="295"/>
      <c r="E76" s="555"/>
      <c r="F76" s="556"/>
      <c r="G76" s="295"/>
      <c r="H76" s="294"/>
      <c r="I76" s="556"/>
      <c r="J76" s="295"/>
      <c r="K76" s="555"/>
      <c r="L76" s="73"/>
    </row>
    <row r="77" spans="1:12" ht="13.35" customHeight="1" x14ac:dyDescent="0.2">
      <c r="A77" s="263" t="s">
        <v>904</v>
      </c>
      <c r="B77" s="257"/>
      <c r="C77" s="295"/>
      <c r="D77" s="295"/>
      <c r="E77" s="555"/>
      <c r="F77" s="556"/>
      <c r="G77" s="295"/>
      <c r="H77" s="294"/>
      <c r="I77" s="556"/>
      <c r="J77" s="295"/>
      <c r="K77" s="555"/>
      <c r="L77" s="73"/>
    </row>
    <row r="78" spans="1:12" ht="13.35" customHeight="1" x14ac:dyDescent="0.2">
      <c r="A78" s="263" t="s">
        <v>905</v>
      </c>
      <c r="B78" s="257"/>
      <c r="C78" s="295"/>
      <c r="D78" s="295"/>
      <c r="E78" s="555"/>
      <c r="F78" s="556"/>
      <c r="G78" s="295"/>
      <c r="H78" s="294"/>
      <c r="I78" s="556"/>
      <c r="J78" s="295"/>
      <c r="K78" s="555"/>
      <c r="L78" s="73"/>
    </row>
    <row r="79" spans="1:12" ht="13.35" customHeight="1" x14ac:dyDescent="0.2">
      <c r="A79" s="263" t="s">
        <v>906</v>
      </c>
      <c r="B79" s="257"/>
      <c r="C79" s="295"/>
      <c r="D79" s="295"/>
      <c r="E79" s="555"/>
      <c r="F79" s="556"/>
      <c r="G79" s="295"/>
      <c r="H79" s="294"/>
      <c r="I79" s="556"/>
      <c r="J79" s="295"/>
      <c r="K79" s="555"/>
      <c r="L79" s="73"/>
    </row>
    <row r="80" spans="1:12" ht="13.35" customHeight="1" x14ac:dyDescent="0.2">
      <c r="A80" s="263" t="s">
        <v>907</v>
      </c>
      <c r="B80" s="257"/>
      <c r="C80" s="295"/>
      <c r="D80" s="295"/>
      <c r="E80" s="555"/>
      <c r="F80" s="556"/>
      <c r="G80" s="295"/>
      <c r="H80" s="294"/>
      <c r="I80" s="556"/>
      <c r="J80" s="295"/>
      <c r="K80" s="555"/>
      <c r="L80" s="73"/>
    </row>
    <row r="81" spans="1:12" ht="13.35" customHeight="1" x14ac:dyDescent="0.2">
      <c r="A81" s="263" t="s">
        <v>908</v>
      </c>
      <c r="B81" s="257"/>
      <c r="C81" s="295"/>
      <c r="D81" s="295"/>
      <c r="E81" s="555"/>
      <c r="F81" s="556"/>
      <c r="G81" s="295"/>
      <c r="H81" s="294"/>
      <c r="I81" s="556"/>
      <c r="J81" s="295"/>
      <c r="K81" s="555"/>
      <c r="L81" s="73"/>
    </row>
    <row r="82" spans="1:12" ht="13.35" customHeight="1" x14ac:dyDescent="0.2">
      <c r="A82" s="263" t="s">
        <v>909</v>
      </c>
      <c r="B82" s="257"/>
      <c r="C82" s="295"/>
      <c r="D82" s="295"/>
      <c r="E82" s="555"/>
      <c r="F82" s="556"/>
      <c r="G82" s="295"/>
      <c r="H82" s="294"/>
      <c r="I82" s="556"/>
      <c r="J82" s="295"/>
      <c r="K82" s="555"/>
      <c r="L82" s="73"/>
    </row>
    <row r="83" spans="1:12" ht="13.35" customHeight="1" x14ac:dyDescent="0.2">
      <c r="A83" s="263" t="s">
        <v>910</v>
      </c>
      <c r="B83" s="257"/>
      <c r="C83" s="295"/>
      <c r="D83" s="295"/>
      <c r="E83" s="555"/>
      <c r="F83" s="556"/>
      <c r="G83" s="295"/>
      <c r="H83" s="294"/>
      <c r="I83" s="556"/>
      <c r="J83" s="295"/>
      <c r="K83" s="555"/>
      <c r="L83" s="73"/>
    </row>
    <row r="84" spans="1:12" ht="13.35" customHeight="1" x14ac:dyDescent="0.2">
      <c r="A84" s="263" t="s">
        <v>911</v>
      </c>
      <c r="B84" s="257"/>
      <c r="C84" s="295"/>
      <c r="D84" s="295"/>
      <c r="E84" s="555"/>
      <c r="F84" s="556"/>
      <c r="G84" s="295"/>
      <c r="H84" s="294"/>
      <c r="I84" s="556"/>
      <c r="J84" s="295"/>
      <c r="K84" s="555"/>
      <c r="L84" s="271"/>
    </row>
    <row r="85" spans="1:12" ht="13.35" customHeight="1" x14ac:dyDescent="0.2">
      <c r="A85" s="263" t="s">
        <v>88</v>
      </c>
      <c r="B85" s="257"/>
      <c r="C85" s="295"/>
      <c r="D85" s="295"/>
      <c r="E85" s="555"/>
      <c r="F85" s="556"/>
      <c r="G85" s="295"/>
      <c r="H85" s="294"/>
      <c r="I85" s="556"/>
      <c r="J85" s="295"/>
      <c r="K85" s="555"/>
    </row>
    <row r="86" spans="1:12" ht="13.35" customHeight="1" x14ac:dyDescent="0.2">
      <c r="A86" s="263" t="s">
        <v>912</v>
      </c>
      <c r="B86" s="257"/>
      <c r="C86" s="295"/>
      <c r="D86" s="295"/>
      <c r="E86" s="555"/>
      <c r="F86" s="556"/>
      <c r="G86" s="295"/>
      <c r="H86" s="294"/>
      <c r="I86" s="556"/>
      <c r="J86" s="295"/>
      <c r="K86" s="555"/>
    </row>
    <row r="87" spans="1:12" ht="13.35" customHeight="1" x14ac:dyDescent="0.2">
      <c r="A87" s="263" t="s">
        <v>913</v>
      </c>
      <c r="B87" s="257"/>
      <c r="C87" s="295"/>
      <c r="D87" s="295"/>
      <c r="E87" s="555"/>
      <c r="F87" s="556"/>
      <c r="G87" s="295"/>
      <c r="H87" s="294"/>
      <c r="I87" s="556"/>
      <c r="J87" s="295"/>
      <c r="K87" s="555"/>
    </row>
    <row r="88" spans="1:12" ht="13.35" customHeight="1" x14ac:dyDescent="0.2">
      <c r="A88" s="263" t="s">
        <v>1012</v>
      </c>
      <c r="B88" s="257"/>
      <c r="C88" s="295"/>
      <c r="D88" s="295"/>
      <c r="E88" s="555"/>
      <c r="F88" s="556"/>
      <c r="G88" s="295"/>
      <c r="H88" s="294"/>
      <c r="I88" s="556"/>
      <c r="J88" s="295"/>
      <c r="K88" s="555"/>
    </row>
    <row r="89" spans="1:12" ht="13.35" customHeight="1" x14ac:dyDescent="0.2">
      <c r="A89" s="263" t="s">
        <v>914</v>
      </c>
      <c r="B89" s="257"/>
      <c r="C89" s="295"/>
      <c r="D89" s="295"/>
      <c r="E89" s="555"/>
      <c r="F89" s="556"/>
      <c r="G89" s="295"/>
      <c r="H89" s="294"/>
      <c r="I89" s="556"/>
      <c r="J89" s="295"/>
      <c r="K89" s="555"/>
    </row>
    <row r="90" spans="1:12" ht="13.35" customHeight="1" x14ac:dyDescent="0.2">
      <c r="A90" s="263" t="s">
        <v>915</v>
      </c>
      <c r="B90" s="257"/>
      <c r="C90" s="295"/>
      <c r="D90" s="295"/>
      <c r="E90" s="555"/>
      <c r="F90" s="556"/>
      <c r="G90" s="295"/>
      <c r="H90" s="294"/>
      <c r="I90" s="556"/>
      <c r="J90" s="295"/>
      <c r="K90" s="555"/>
    </row>
    <row r="91" spans="1:12" ht="13.35" customHeight="1" x14ac:dyDescent="0.2">
      <c r="A91" s="263" t="s">
        <v>916</v>
      </c>
      <c r="B91" s="257"/>
      <c r="C91" s="295"/>
      <c r="D91" s="295"/>
      <c r="E91" s="555"/>
      <c r="F91" s="556"/>
      <c r="G91" s="295"/>
      <c r="H91" s="294"/>
      <c r="I91" s="556"/>
      <c r="J91" s="295"/>
      <c r="K91" s="555"/>
    </row>
    <row r="92" spans="1:12" ht="13.35" customHeight="1" x14ac:dyDescent="0.2">
      <c r="A92" s="263" t="s">
        <v>11</v>
      </c>
      <c r="B92" s="257"/>
      <c r="C92" s="295"/>
      <c r="D92" s="295"/>
      <c r="E92" s="555"/>
      <c r="F92" s="556"/>
      <c r="G92" s="295"/>
      <c r="H92" s="294"/>
      <c r="I92" s="556"/>
      <c r="J92" s="295"/>
      <c r="K92" s="555"/>
    </row>
    <row r="93" spans="1:12" ht="13.35" customHeight="1" x14ac:dyDescent="0.2">
      <c r="A93" s="263" t="s">
        <v>917</v>
      </c>
      <c r="B93" s="257"/>
      <c r="C93" s="295"/>
      <c r="D93" s="295"/>
      <c r="E93" s="555"/>
      <c r="F93" s="556"/>
      <c r="G93" s="295"/>
      <c r="H93" s="294"/>
      <c r="I93" s="556"/>
      <c r="J93" s="295"/>
      <c r="K93" s="555"/>
    </row>
    <row r="94" spans="1:12" ht="13.35" customHeight="1" x14ac:dyDescent="0.2">
      <c r="A94" s="263" t="s">
        <v>10</v>
      </c>
      <c r="B94" s="257"/>
      <c r="C94" s="295"/>
      <c r="D94" s="295"/>
      <c r="E94" s="555"/>
      <c r="F94" s="556"/>
      <c r="G94" s="295"/>
      <c r="H94" s="294"/>
      <c r="I94" s="556"/>
      <c r="J94" s="295"/>
      <c r="K94" s="555"/>
    </row>
    <row r="95" spans="1:12" ht="13.35" customHeight="1" x14ac:dyDescent="0.2">
      <c r="A95" s="263" t="s">
        <v>918</v>
      </c>
      <c r="B95" s="257"/>
      <c r="C95" s="295"/>
      <c r="D95" s="295"/>
      <c r="E95" s="555"/>
      <c r="F95" s="556"/>
      <c r="G95" s="295"/>
      <c r="H95" s="294"/>
      <c r="I95" s="556"/>
      <c r="J95" s="295"/>
      <c r="K95" s="555"/>
    </row>
    <row r="96" spans="1:12" ht="13.35" customHeight="1" x14ac:dyDescent="0.2">
      <c r="A96" s="263" t="s">
        <v>919</v>
      </c>
      <c r="B96" s="257"/>
      <c r="C96" s="295"/>
      <c r="D96" s="295"/>
      <c r="E96" s="555"/>
      <c r="F96" s="556"/>
      <c r="G96" s="295"/>
      <c r="H96" s="294"/>
      <c r="I96" s="556"/>
      <c r="J96" s="295"/>
      <c r="K96" s="555"/>
    </row>
    <row r="97" spans="1:11" ht="13.35" customHeight="1" x14ac:dyDescent="0.2">
      <c r="A97" s="263" t="s">
        <v>852</v>
      </c>
      <c r="B97" s="257"/>
      <c r="C97" s="295"/>
      <c r="D97" s="295"/>
      <c r="E97" s="555"/>
      <c r="F97" s="556"/>
      <c r="G97" s="295"/>
      <c r="H97" s="294"/>
      <c r="I97" s="556"/>
      <c r="J97" s="295"/>
      <c r="K97" s="555"/>
    </row>
    <row r="98" spans="1:11" ht="13.35" customHeight="1" x14ac:dyDescent="0.2">
      <c r="A98" s="235" t="s">
        <v>920</v>
      </c>
      <c r="B98" s="257"/>
      <c r="C98" s="155">
        <f>SUM(C99:C101)</f>
        <v>0</v>
      </c>
      <c r="D98" s="155">
        <f t="shared" ref="D98:K98" si="12">SUM(D99:D101)</f>
        <v>0</v>
      </c>
      <c r="E98" s="155">
        <f t="shared" si="12"/>
        <v>0</v>
      </c>
      <c r="F98" s="157">
        <f t="shared" si="12"/>
        <v>0</v>
      </c>
      <c r="G98" s="155">
        <f t="shared" si="12"/>
        <v>0</v>
      </c>
      <c r="H98" s="158">
        <f t="shared" si="12"/>
        <v>0</v>
      </c>
      <c r="I98" s="159">
        <f t="shared" si="12"/>
        <v>0</v>
      </c>
      <c r="J98" s="155">
        <f t="shared" si="12"/>
        <v>0</v>
      </c>
      <c r="K98" s="158">
        <f t="shared" si="12"/>
        <v>0</v>
      </c>
    </row>
    <row r="99" spans="1:11" ht="13.35" customHeight="1" x14ac:dyDescent="0.2">
      <c r="A99" s="263" t="s">
        <v>921</v>
      </c>
      <c r="B99" s="257"/>
      <c r="C99" s="295"/>
      <c r="D99" s="295"/>
      <c r="E99" s="294"/>
      <c r="F99" s="556"/>
      <c r="G99" s="295"/>
      <c r="H99" s="294"/>
      <c r="I99" s="556"/>
      <c r="J99" s="295"/>
      <c r="K99" s="298"/>
    </row>
    <row r="100" spans="1:11" ht="13.35" customHeight="1" x14ac:dyDescent="0.2">
      <c r="A100" s="263" t="s">
        <v>922</v>
      </c>
      <c r="B100" s="257"/>
      <c r="C100" s="295"/>
      <c r="D100" s="295"/>
      <c r="E100" s="555"/>
      <c r="F100" s="556"/>
      <c r="G100" s="295"/>
      <c r="H100" s="294"/>
      <c r="I100" s="556"/>
      <c r="J100" s="295"/>
      <c r="K100" s="298"/>
    </row>
    <row r="101" spans="1:11" ht="13.35" customHeight="1" x14ac:dyDescent="0.2">
      <c r="A101" s="263" t="s">
        <v>852</v>
      </c>
      <c r="B101" s="257"/>
      <c r="C101" s="295"/>
      <c r="D101" s="295"/>
      <c r="E101" s="555"/>
      <c r="F101" s="556"/>
      <c r="G101" s="295"/>
      <c r="H101" s="294"/>
      <c r="I101" s="556"/>
      <c r="J101" s="295"/>
      <c r="K101" s="555"/>
    </row>
    <row r="102" spans="1:11" ht="5.0999999999999996" customHeight="1" x14ac:dyDescent="0.2">
      <c r="A102" s="267"/>
      <c r="B102" s="257"/>
      <c r="C102" s="66"/>
      <c r="D102" s="66"/>
      <c r="E102" s="268"/>
      <c r="F102" s="269"/>
      <c r="G102" s="66"/>
      <c r="H102" s="270"/>
      <c r="I102" s="269"/>
      <c r="J102" s="66"/>
      <c r="K102" s="268"/>
    </row>
    <row r="103" spans="1:11" ht="13.35" customHeight="1" x14ac:dyDescent="0.2">
      <c r="A103" s="256" t="s">
        <v>184</v>
      </c>
      <c r="B103" s="257"/>
      <c r="C103" s="66">
        <f>SUM(C104:C108)</f>
        <v>0</v>
      </c>
      <c r="D103" s="66">
        <f t="shared" ref="D103:K103" si="13">SUM(D104:D108)</f>
        <v>0</v>
      </c>
      <c r="E103" s="268">
        <f t="shared" si="13"/>
        <v>0</v>
      </c>
      <c r="F103" s="269">
        <f t="shared" si="13"/>
        <v>0</v>
      </c>
      <c r="G103" s="66">
        <f t="shared" si="13"/>
        <v>0</v>
      </c>
      <c r="H103" s="270">
        <f t="shared" si="13"/>
        <v>0</v>
      </c>
      <c r="I103" s="269">
        <f t="shared" si="13"/>
        <v>0</v>
      </c>
      <c r="J103" s="66">
        <f t="shared" si="13"/>
        <v>0</v>
      </c>
      <c r="K103" s="268">
        <f t="shared" si="13"/>
        <v>0</v>
      </c>
    </row>
    <row r="104" spans="1:11" ht="13.35" customHeight="1" x14ac:dyDescent="0.2">
      <c r="A104" s="235" t="s">
        <v>923</v>
      </c>
      <c r="B104" s="257"/>
      <c r="C104" s="531"/>
      <c r="D104" s="531"/>
      <c r="E104" s="558"/>
      <c r="F104" s="559"/>
      <c r="G104" s="531"/>
      <c r="H104" s="560"/>
      <c r="I104" s="559"/>
      <c r="J104" s="531"/>
      <c r="K104" s="558"/>
    </row>
    <row r="105" spans="1:11" ht="13.35" customHeight="1" x14ac:dyDescent="0.2">
      <c r="A105" s="239" t="s">
        <v>924</v>
      </c>
      <c r="B105" s="257"/>
      <c r="C105" s="532"/>
      <c r="D105" s="532"/>
      <c r="E105" s="561"/>
      <c r="F105" s="562"/>
      <c r="G105" s="532"/>
      <c r="H105" s="563"/>
      <c r="I105" s="562"/>
      <c r="J105" s="532"/>
      <c r="K105" s="561"/>
    </row>
    <row r="106" spans="1:11" ht="13.35" customHeight="1" x14ac:dyDescent="0.2">
      <c r="A106" s="235" t="s">
        <v>925</v>
      </c>
      <c r="B106" s="257"/>
      <c r="C106" s="532"/>
      <c r="D106" s="532"/>
      <c r="E106" s="561"/>
      <c r="F106" s="562"/>
      <c r="G106" s="532"/>
      <c r="H106" s="563"/>
      <c r="I106" s="562"/>
      <c r="J106" s="532"/>
      <c r="K106" s="561"/>
    </row>
    <row r="107" spans="1:11" ht="13.35" customHeight="1" x14ac:dyDescent="0.2">
      <c r="A107" s="235" t="s">
        <v>926</v>
      </c>
      <c r="B107" s="257"/>
      <c r="C107" s="532"/>
      <c r="D107" s="532"/>
      <c r="E107" s="561"/>
      <c r="F107" s="562"/>
      <c r="G107" s="532"/>
      <c r="H107" s="563"/>
      <c r="I107" s="562"/>
      <c r="J107" s="532"/>
      <c r="K107" s="561"/>
    </row>
    <row r="108" spans="1:11" ht="13.35" customHeight="1" x14ac:dyDescent="0.2">
      <c r="A108" s="239" t="s">
        <v>927</v>
      </c>
      <c r="B108" s="257"/>
      <c r="C108" s="532"/>
      <c r="D108" s="532"/>
      <c r="E108" s="561"/>
      <c r="F108" s="562"/>
      <c r="G108" s="532"/>
      <c r="H108" s="563"/>
      <c r="I108" s="562"/>
      <c r="J108" s="532"/>
      <c r="K108" s="561"/>
    </row>
    <row r="109" spans="1:11" ht="5.0999999999999996" customHeight="1" x14ac:dyDescent="0.2">
      <c r="A109" s="276"/>
      <c r="B109" s="257"/>
      <c r="C109" s="66"/>
      <c r="D109" s="66"/>
      <c r="E109" s="268"/>
      <c r="F109" s="269"/>
      <c r="G109" s="66"/>
      <c r="H109" s="270"/>
      <c r="I109" s="269"/>
      <c r="J109" s="66"/>
      <c r="K109" s="268"/>
    </row>
    <row r="110" spans="1:11" ht="13.35" customHeight="1" x14ac:dyDescent="0.2">
      <c r="A110" s="277" t="s">
        <v>185</v>
      </c>
      <c r="B110" s="257"/>
      <c r="C110" s="80">
        <f>+C111+C114</f>
        <v>0</v>
      </c>
      <c r="D110" s="80">
        <f t="shared" ref="D110:K110" si="14">+D111+D114</f>
        <v>0</v>
      </c>
      <c r="E110" s="278">
        <f t="shared" si="14"/>
        <v>0</v>
      </c>
      <c r="F110" s="279">
        <f t="shared" si="14"/>
        <v>0</v>
      </c>
      <c r="G110" s="80">
        <f t="shared" si="14"/>
        <v>0</v>
      </c>
      <c r="H110" s="280">
        <f t="shared" si="14"/>
        <v>0</v>
      </c>
      <c r="I110" s="279">
        <f t="shared" si="14"/>
        <v>0</v>
      </c>
      <c r="J110" s="80">
        <f t="shared" si="14"/>
        <v>0</v>
      </c>
      <c r="K110" s="278">
        <f t="shared" si="14"/>
        <v>0</v>
      </c>
    </row>
    <row r="111" spans="1:11" ht="13.35" customHeight="1" x14ac:dyDescent="0.2">
      <c r="A111" s="235" t="s">
        <v>928</v>
      </c>
      <c r="B111" s="257"/>
      <c r="C111" s="150">
        <f t="shared" ref="C111:K111" si="15">SUM(C112:C113)</f>
        <v>0</v>
      </c>
      <c r="D111" s="150">
        <f t="shared" si="15"/>
        <v>0</v>
      </c>
      <c r="E111" s="150">
        <f t="shared" si="15"/>
        <v>0</v>
      </c>
      <c r="F111" s="152">
        <f t="shared" si="15"/>
        <v>0</v>
      </c>
      <c r="G111" s="150">
        <f t="shared" si="15"/>
        <v>0</v>
      </c>
      <c r="H111" s="153">
        <f t="shared" si="15"/>
        <v>0</v>
      </c>
      <c r="I111" s="154">
        <f t="shared" si="15"/>
        <v>0</v>
      </c>
      <c r="J111" s="150">
        <f t="shared" si="15"/>
        <v>0</v>
      </c>
      <c r="K111" s="153">
        <f t="shared" si="15"/>
        <v>0</v>
      </c>
    </row>
    <row r="112" spans="1:11" ht="13.35" customHeight="1" x14ac:dyDescent="0.2">
      <c r="A112" s="263" t="s">
        <v>929</v>
      </c>
      <c r="B112" s="257"/>
      <c r="C112" s="295"/>
      <c r="D112" s="295"/>
      <c r="E112" s="294"/>
      <c r="F112" s="556"/>
      <c r="G112" s="295"/>
      <c r="H112" s="294"/>
      <c r="I112" s="556"/>
      <c r="J112" s="295"/>
      <c r="K112" s="298"/>
    </row>
    <row r="113" spans="1:11" ht="13.35" customHeight="1" x14ac:dyDescent="0.2">
      <c r="A113" s="263" t="s">
        <v>930</v>
      </c>
      <c r="B113" s="257"/>
      <c r="C113" s="295"/>
      <c r="D113" s="295"/>
      <c r="E113" s="555"/>
      <c r="F113" s="556"/>
      <c r="G113" s="295"/>
      <c r="H113" s="294"/>
      <c r="I113" s="556"/>
      <c r="J113" s="295"/>
      <c r="K113" s="298"/>
    </row>
    <row r="114" spans="1:11" ht="13.35" customHeight="1" x14ac:dyDescent="0.2">
      <c r="A114" s="235" t="s">
        <v>931</v>
      </c>
      <c r="B114" s="257"/>
      <c r="C114" s="155">
        <f>SUM(C115:C116)</f>
        <v>0</v>
      </c>
      <c r="D114" s="155">
        <f t="shared" ref="D114:K114" si="16">SUM(D115:D116)</f>
        <v>0</v>
      </c>
      <c r="E114" s="155">
        <f t="shared" si="16"/>
        <v>0</v>
      </c>
      <c r="F114" s="157">
        <f t="shared" si="16"/>
        <v>0</v>
      </c>
      <c r="G114" s="155">
        <f t="shared" si="16"/>
        <v>0</v>
      </c>
      <c r="H114" s="158">
        <f t="shared" si="16"/>
        <v>0</v>
      </c>
      <c r="I114" s="159">
        <f t="shared" si="16"/>
        <v>0</v>
      </c>
      <c r="J114" s="155">
        <f t="shared" si="16"/>
        <v>0</v>
      </c>
      <c r="K114" s="158">
        <f t="shared" si="16"/>
        <v>0</v>
      </c>
    </row>
    <row r="115" spans="1:11" ht="13.35" customHeight="1" x14ac:dyDescent="0.2">
      <c r="A115" s="263" t="s">
        <v>929</v>
      </c>
      <c r="B115" s="257"/>
      <c r="C115" s="295"/>
      <c r="D115" s="295"/>
      <c r="E115" s="294"/>
      <c r="F115" s="556"/>
      <c r="G115" s="295"/>
      <c r="H115" s="294"/>
      <c r="I115" s="556"/>
      <c r="J115" s="295"/>
      <c r="K115" s="298"/>
    </row>
    <row r="116" spans="1:11" ht="13.35" customHeight="1" x14ac:dyDescent="0.2">
      <c r="A116" s="263" t="s">
        <v>930</v>
      </c>
      <c r="B116" s="257"/>
      <c r="C116" s="295"/>
      <c r="D116" s="295"/>
      <c r="E116" s="555"/>
      <c r="F116" s="556"/>
      <c r="G116" s="295"/>
      <c r="H116" s="294"/>
      <c r="I116" s="556"/>
      <c r="J116" s="295"/>
      <c r="K116" s="298"/>
    </row>
    <row r="117" spans="1:11" ht="5.0999999999999996" customHeight="1" x14ac:dyDescent="0.2">
      <c r="A117" s="276"/>
      <c r="B117" s="257"/>
      <c r="C117" s="66"/>
      <c r="D117" s="66"/>
      <c r="E117" s="268"/>
      <c r="F117" s="269"/>
      <c r="G117" s="66"/>
      <c r="H117" s="270"/>
      <c r="I117" s="269"/>
      <c r="J117" s="66"/>
      <c r="K117" s="268"/>
    </row>
    <row r="118" spans="1:11" ht="13.35" customHeight="1" x14ac:dyDescent="0.2">
      <c r="A118" s="277" t="s">
        <v>186</v>
      </c>
      <c r="B118" s="257"/>
      <c r="C118" s="80">
        <f>+C119+C131</f>
        <v>0</v>
      </c>
      <c r="D118" s="80">
        <f t="shared" ref="D118:K118" si="17">+D119+D131</f>
        <v>0</v>
      </c>
      <c r="E118" s="278">
        <f t="shared" si="17"/>
        <v>0</v>
      </c>
      <c r="F118" s="279">
        <f t="shared" si="17"/>
        <v>0</v>
      </c>
      <c r="G118" s="80">
        <f t="shared" si="17"/>
        <v>0</v>
      </c>
      <c r="H118" s="280">
        <f t="shared" si="17"/>
        <v>0</v>
      </c>
      <c r="I118" s="279">
        <f t="shared" si="17"/>
        <v>0</v>
      </c>
      <c r="J118" s="80">
        <f t="shared" si="17"/>
        <v>0</v>
      </c>
      <c r="K118" s="278">
        <f t="shared" si="17"/>
        <v>0</v>
      </c>
    </row>
    <row r="119" spans="1:11" ht="13.35" customHeight="1" x14ac:dyDescent="0.2">
      <c r="A119" s="235" t="s">
        <v>932</v>
      </c>
      <c r="B119" s="257"/>
      <c r="C119" s="150">
        <f>SUM(C120:C130)</f>
        <v>0</v>
      </c>
      <c r="D119" s="150">
        <f t="shared" ref="D119:K119" si="18">SUM(D120:D130)</f>
        <v>0</v>
      </c>
      <c r="E119" s="150">
        <f t="shared" si="18"/>
        <v>0</v>
      </c>
      <c r="F119" s="152">
        <f t="shared" si="18"/>
        <v>0</v>
      </c>
      <c r="G119" s="150">
        <f t="shared" si="18"/>
        <v>0</v>
      </c>
      <c r="H119" s="153">
        <f t="shared" si="18"/>
        <v>0</v>
      </c>
      <c r="I119" s="154">
        <f t="shared" si="18"/>
        <v>0</v>
      </c>
      <c r="J119" s="150">
        <f t="shared" si="18"/>
        <v>0</v>
      </c>
      <c r="K119" s="153">
        <f t="shared" si="18"/>
        <v>0</v>
      </c>
    </row>
    <row r="120" spans="1:11" ht="13.35" customHeight="1" x14ac:dyDescent="0.2">
      <c r="A120" s="263" t="s">
        <v>933</v>
      </c>
      <c r="B120" s="257"/>
      <c r="C120" s="295"/>
      <c r="D120" s="295"/>
      <c r="E120" s="294"/>
      <c r="F120" s="556"/>
      <c r="G120" s="295"/>
      <c r="H120" s="294"/>
      <c r="I120" s="556"/>
      <c r="J120" s="295"/>
      <c r="K120" s="298"/>
    </row>
    <row r="121" spans="1:11" ht="13.35" customHeight="1" x14ac:dyDescent="0.2">
      <c r="A121" s="263" t="s">
        <v>934</v>
      </c>
      <c r="B121" s="257"/>
      <c r="C121" s="295"/>
      <c r="D121" s="295"/>
      <c r="E121" s="294"/>
      <c r="F121" s="556"/>
      <c r="G121" s="295"/>
      <c r="H121" s="294"/>
      <c r="I121" s="556"/>
      <c r="J121" s="295"/>
      <c r="K121" s="298"/>
    </row>
    <row r="122" spans="1:11" ht="13.35" customHeight="1" x14ac:dyDescent="0.2">
      <c r="A122" s="263" t="s">
        <v>935</v>
      </c>
      <c r="B122" s="257"/>
      <c r="C122" s="295"/>
      <c r="D122" s="295"/>
      <c r="E122" s="294"/>
      <c r="F122" s="556"/>
      <c r="G122" s="295"/>
      <c r="H122" s="294"/>
      <c r="I122" s="556"/>
      <c r="J122" s="295"/>
      <c r="K122" s="298"/>
    </row>
    <row r="123" spans="1:11" ht="13.35" customHeight="1" x14ac:dyDescent="0.2">
      <c r="A123" s="263" t="s">
        <v>936</v>
      </c>
      <c r="B123" s="257"/>
      <c r="C123" s="295"/>
      <c r="D123" s="295"/>
      <c r="E123" s="294"/>
      <c r="F123" s="556"/>
      <c r="G123" s="295"/>
      <c r="H123" s="294"/>
      <c r="I123" s="556"/>
      <c r="J123" s="295"/>
      <c r="K123" s="298"/>
    </row>
    <row r="124" spans="1:11" ht="13.35" customHeight="1" x14ac:dyDescent="0.2">
      <c r="A124" s="263" t="s">
        <v>937</v>
      </c>
      <c r="B124" s="257"/>
      <c r="C124" s="295"/>
      <c r="D124" s="295"/>
      <c r="E124" s="294"/>
      <c r="F124" s="556"/>
      <c r="G124" s="295"/>
      <c r="H124" s="294"/>
      <c r="I124" s="556"/>
      <c r="J124" s="295"/>
      <c r="K124" s="298"/>
    </row>
    <row r="125" spans="1:11" ht="13.35" customHeight="1" x14ac:dyDescent="0.2">
      <c r="A125" s="263" t="s">
        <v>938</v>
      </c>
      <c r="B125" s="257"/>
      <c r="C125" s="295"/>
      <c r="D125" s="295"/>
      <c r="E125" s="294"/>
      <c r="F125" s="556"/>
      <c r="G125" s="295"/>
      <c r="H125" s="294"/>
      <c r="I125" s="556"/>
      <c r="J125" s="295"/>
      <c r="K125" s="298"/>
    </row>
    <row r="126" spans="1:11" ht="13.35" customHeight="1" x14ac:dyDescent="0.2">
      <c r="A126" s="263" t="s">
        <v>939</v>
      </c>
      <c r="B126" s="257"/>
      <c r="C126" s="295"/>
      <c r="D126" s="295"/>
      <c r="E126" s="294"/>
      <c r="F126" s="556"/>
      <c r="G126" s="295"/>
      <c r="H126" s="294"/>
      <c r="I126" s="556"/>
      <c r="J126" s="295"/>
      <c r="K126" s="298"/>
    </row>
    <row r="127" spans="1:11" ht="13.35" customHeight="1" x14ac:dyDescent="0.2">
      <c r="A127" s="263" t="s">
        <v>940</v>
      </c>
      <c r="B127" s="257"/>
      <c r="C127" s="295"/>
      <c r="D127" s="295"/>
      <c r="E127" s="294"/>
      <c r="F127" s="556"/>
      <c r="G127" s="295"/>
      <c r="H127" s="294"/>
      <c r="I127" s="556"/>
      <c r="J127" s="295"/>
      <c r="K127" s="298"/>
    </row>
    <row r="128" spans="1:11" ht="13.35" customHeight="1" x14ac:dyDescent="0.2">
      <c r="A128" s="263" t="s">
        <v>941</v>
      </c>
      <c r="B128" s="257"/>
      <c r="C128" s="295"/>
      <c r="D128" s="295"/>
      <c r="E128" s="294"/>
      <c r="F128" s="556"/>
      <c r="G128" s="295"/>
      <c r="H128" s="294"/>
      <c r="I128" s="556"/>
      <c r="J128" s="295"/>
      <c r="K128" s="298"/>
    </row>
    <row r="129" spans="1:11" ht="13.35" customHeight="1" x14ac:dyDescent="0.2">
      <c r="A129" s="263" t="s">
        <v>942</v>
      </c>
      <c r="B129" s="257"/>
      <c r="C129" s="295"/>
      <c r="D129" s="295"/>
      <c r="E129" s="294"/>
      <c r="F129" s="556"/>
      <c r="G129" s="295"/>
      <c r="H129" s="294"/>
      <c r="I129" s="556"/>
      <c r="J129" s="295"/>
      <c r="K129" s="298"/>
    </row>
    <row r="130" spans="1:11" ht="13.35" customHeight="1" x14ac:dyDescent="0.2">
      <c r="A130" s="263" t="s">
        <v>852</v>
      </c>
      <c r="B130" s="257"/>
      <c r="C130" s="295"/>
      <c r="D130" s="295"/>
      <c r="E130" s="294"/>
      <c r="F130" s="556"/>
      <c r="G130" s="295"/>
      <c r="H130" s="294"/>
      <c r="I130" s="556"/>
      <c r="J130" s="295"/>
      <c r="K130" s="298"/>
    </row>
    <row r="131" spans="1:11" ht="13.35" customHeight="1" x14ac:dyDescent="0.2">
      <c r="A131" s="235" t="s">
        <v>943</v>
      </c>
      <c r="B131" s="257"/>
      <c r="C131" s="155">
        <f>SUM(C132:C134)</f>
        <v>0</v>
      </c>
      <c r="D131" s="155">
        <f t="shared" ref="D131:K131" si="19">SUM(D132:D134)</f>
        <v>0</v>
      </c>
      <c r="E131" s="155">
        <f t="shared" si="19"/>
        <v>0</v>
      </c>
      <c r="F131" s="157">
        <f t="shared" si="19"/>
        <v>0</v>
      </c>
      <c r="G131" s="155">
        <f t="shared" si="19"/>
        <v>0</v>
      </c>
      <c r="H131" s="158">
        <f t="shared" si="19"/>
        <v>0</v>
      </c>
      <c r="I131" s="159">
        <f t="shared" si="19"/>
        <v>0</v>
      </c>
      <c r="J131" s="155">
        <f t="shared" si="19"/>
        <v>0</v>
      </c>
      <c r="K131" s="158">
        <f t="shared" si="19"/>
        <v>0</v>
      </c>
    </row>
    <row r="132" spans="1:11" ht="13.35" customHeight="1" x14ac:dyDescent="0.2">
      <c r="A132" s="263" t="s">
        <v>944</v>
      </c>
      <c r="B132" s="257"/>
      <c r="C132" s="295"/>
      <c r="D132" s="295"/>
      <c r="E132" s="294"/>
      <c r="F132" s="556"/>
      <c r="G132" s="295"/>
      <c r="H132" s="294"/>
      <c r="I132" s="556"/>
      <c r="J132" s="295"/>
      <c r="K132" s="298"/>
    </row>
    <row r="133" spans="1:11" ht="13.35" customHeight="1" x14ac:dyDescent="0.2">
      <c r="A133" s="263" t="s">
        <v>945</v>
      </c>
      <c r="B133" s="257"/>
      <c r="C133" s="295"/>
      <c r="D133" s="295"/>
      <c r="E133" s="294"/>
      <c r="F133" s="556"/>
      <c r="G133" s="295"/>
      <c r="H133" s="294"/>
      <c r="I133" s="556"/>
      <c r="J133" s="295"/>
      <c r="K133" s="298"/>
    </row>
    <row r="134" spans="1:11" ht="13.35" customHeight="1" x14ac:dyDescent="0.2">
      <c r="A134" s="263" t="s">
        <v>852</v>
      </c>
      <c r="B134" s="257"/>
      <c r="C134" s="295"/>
      <c r="D134" s="295"/>
      <c r="E134" s="294"/>
      <c r="F134" s="556"/>
      <c r="G134" s="295"/>
      <c r="H134" s="294"/>
      <c r="I134" s="556"/>
      <c r="J134" s="295"/>
      <c r="K134" s="298"/>
    </row>
    <row r="135" spans="1:11" ht="5.0999999999999996" customHeight="1" x14ac:dyDescent="0.2">
      <c r="A135" s="281"/>
      <c r="B135" s="257"/>
      <c r="C135" s="66"/>
      <c r="D135" s="66"/>
      <c r="E135" s="268"/>
      <c r="F135" s="269"/>
      <c r="G135" s="66"/>
      <c r="H135" s="270"/>
      <c r="I135" s="269"/>
      <c r="J135" s="66"/>
      <c r="K135" s="268"/>
    </row>
    <row r="136" spans="1:11" ht="13.35" customHeight="1" x14ac:dyDescent="0.2">
      <c r="A136" s="256" t="s">
        <v>946</v>
      </c>
      <c r="B136" s="257"/>
      <c r="C136" s="66">
        <f t="shared" ref="C136:K136" si="20">SUM(C137:C137)</f>
        <v>0</v>
      </c>
      <c r="D136" s="66">
        <f t="shared" si="20"/>
        <v>0</v>
      </c>
      <c r="E136" s="268">
        <f t="shared" si="20"/>
        <v>0</v>
      </c>
      <c r="F136" s="269">
        <f t="shared" si="20"/>
        <v>0</v>
      </c>
      <c r="G136" s="66">
        <f t="shared" si="20"/>
        <v>0</v>
      </c>
      <c r="H136" s="270">
        <f t="shared" si="20"/>
        <v>0</v>
      </c>
      <c r="I136" s="269">
        <f t="shared" si="20"/>
        <v>0</v>
      </c>
      <c r="J136" s="66">
        <f t="shared" si="20"/>
        <v>0</v>
      </c>
      <c r="K136" s="268">
        <f t="shared" si="20"/>
        <v>0</v>
      </c>
    </row>
    <row r="137" spans="1:11" ht="13.35" customHeight="1" x14ac:dyDescent="0.2">
      <c r="A137" s="235" t="s">
        <v>946</v>
      </c>
      <c r="B137" s="257"/>
      <c r="C137" s="533"/>
      <c r="D137" s="533"/>
      <c r="E137" s="564"/>
      <c r="F137" s="565"/>
      <c r="G137" s="533"/>
      <c r="H137" s="566"/>
      <c r="I137" s="565"/>
      <c r="J137" s="533"/>
      <c r="K137" s="564"/>
    </row>
    <row r="138" spans="1:11" ht="5.0999999999999996" customHeight="1" x14ac:dyDescent="0.2">
      <c r="A138" s="267"/>
      <c r="B138" s="257"/>
      <c r="C138" s="66"/>
      <c r="D138" s="66"/>
      <c r="E138" s="268"/>
      <c r="F138" s="269"/>
      <c r="G138" s="66"/>
      <c r="H138" s="270"/>
      <c r="I138" s="269"/>
      <c r="J138" s="66"/>
      <c r="K138" s="268"/>
    </row>
    <row r="139" spans="1:11" ht="13.35" customHeight="1" x14ac:dyDescent="0.2">
      <c r="A139" s="256" t="s">
        <v>947</v>
      </c>
      <c r="B139" s="257"/>
      <c r="C139" s="66">
        <f>+C140+C141</f>
        <v>0</v>
      </c>
      <c r="D139" s="66">
        <f t="shared" ref="D139:K139" si="21">+D140+D141</f>
        <v>0</v>
      </c>
      <c r="E139" s="268">
        <f t="shared" si="21"/>
        <v>0</v>
      </c>
      <c r="F139" s="269">
        <f t="shared" si="21"/>
        <v>0</v>
      </c>
      <c r="G139" s="66">
        <f t="shared" si="21"/>
        <v>0</v>
      </c>
      <c r="H139" s="270">
        <f t="shared" si="21"/>
        <v>0</v>
      </c>
      <c r="I139" s="269">
        <f t="shared" si="21"/>
        <v>0</v>
      </c>
      <c r="J139" s="66">
        <f t="shared" si="21"/>
        <v>0</v>
      </c>
      <c r="K139" s="268">
        <f t="shared" si="21"/>
        <v>0</v>
      </c>
    </row>
    <row r="140" spans="1:11" ht="13.35" customHeight="1" x14ac:dyDescent="0.2">
      <c r="A140" s="239" t="s">
        <v>948</v>
      </c>
      <c r="B140" s="257"/>
      <c r="C140" s="533"/>
      <c r="D140" s="533"/>
      <c r="E140" s="564"/>
      <c r="F140" s="565"/>
      <c r="G140" s="533"/>
      <c r="H140" s="566"/>
      <c r="I140" s="565"/>
      <c r="J140" s="533"/>
      <c r="K140" s="564"/>
    </row>
    <row r="141" spans="1:11" ht="13.35" customHeight="1" x14ac:dyDescent="0.2">
      <c r="A141" s="239" t="s">
        <v>949</v>
      </c>
      <c r="B141" s="257"/>
      <c r="C141" s="155">
        <f>SUM(C142:C147)</f>
        <v>0</v>
      </c>
      <c r="D141" s="155">
        <f t="shared" ref="D141:K141" si="22">SUM(D142:D147)</f>
        <v>0</v>
      </c>
      <c r="E141" s="155">
        <f t="shared" si="22"/>
        <v>0</v>
      </c>
      <c r="F141" s="157">
        <f t="shared" si="22"/>
        <v>0</v>
      </c>
      <c r="G141" s="155">
        <f t="shared" si="22"/>
        <v>0</v>
      </c>
      <c r="H141" s="158">
        <f t="shared" si="22"/>
        <v>0</v>
      </c>
      <c r="I141" s="159">
        <f t="shared" si="22"/>
        <v>0</v>
      </c>
      <c r="J141" s="155">
        <f t="shared" si="22"/>
        <v>0</v>
      </c>
      <c r="K141" s="158">
        <f t="shared" si="22"/>
        <v>0</v>
      </c>
    </row>
    <row r="142" spans="1:11" ht="13.35" customHeight="1" x14ac:dyDescent="0.2">
      <c r="A142" s="263" t="s">
        <v>950</v>
      </c>
      <c r="B142" s="257"/>
      <c r="C142" s="295"/>
      <c r="D142" s="295"/>
      <c r="E142" s="294"/>
      <c r="F142" s="556"/>
      <c r="G142" s="295"/>
      <c r="H142" s="294"/>
      <c r="I142" s="556"/>
      <c r="J142" s="295"/>
      <c r="K142" s="298"/>
    </row>
    <row r="143" spans="1:11" ht="13.35" customHeight="1" x14ac:dyDescent="0.2">
      <c r="A143" s="263" t="s">
        <v>951</v>
      </c>
      <c r="B143" s="257"/>
      <c r="C143" s="295"/>
      <c r="D143" s="295"/>
      <c r="E143" s="294"/>
      <c r="F143" s="556"/>
      <c r="G143" s="295"/>
      <c r="H143" s="294"/>
      <c r="I143" s="556"/>
      <c r="J143" s="295"/>
      <c r="K143" s="298"/>
    </row>
    <row r="144" spans="1:11" ht="13.35" customHeight="1" x14ac:dyDescent="0.2">
      <c r="A144" s="263" t="s">
        <v>952</v>
      </c>
      <c r="B144" s="257"/>
      <c r="C144" s="295"/>
      <c r="D144" s="295"/>
      <c r="E144" s="294"/>
      <c r="F144" s="556"/>
      <c r="G144" s="295"/>
      <c r="H144" s="294"/>
      <c r="I144" s="556"/>
      <c r="J144" s="295"/>
      <c r="K144" s="298"/>
    </row>
    <row r="145" spans="1:11" ht="13.35" customHeight="1" x14ac:dyDescent="0.2">
      <c r="A145" s="263" t="s">
        <v>953</v>
      </c>
      <c r="B145" s="257"/>
      <c r="C145" s="295"/>
      <c r="D145" s="295"/>
      <c r="E145" s="294"/>
      <c r="F145" s="556"/>
      <c r="G145" s="295"/>
      <c r="H145" s="294"/>
      <c r="I145" s="556"/>
      <c r="J145" s="295"/>
      <c r="K145" s="298"/>
    </row>
    <row r="146" spans="1:11" ht="13.35" customHeight="1" x14ac:dyDescent="0.2">
      <c r="A146" s="263" t="s">
        <v>954</v>
      </c>
      <c r="B146" s="257"/>
      <c r="C146" s="295"/>
      <c r="D146" s="295"/>
      <c r="E146" s="294"/>
      <c r="F146" s="556"/>
      <c r="G146" s="295"/>
      <c r="H146" s="294"/>
      <c r="I146" s="556"/>
      <c r="J146" s="295"/>
      <c r="K146" s="298"/>
    </row>
    <row r="147" spans="1:11" ht="13.35" customHeight="1" x14ac:dyDescent="0.2">
      <c r="A147" s="263" t="s">
        <v>955</v>
      </c>
      <c r="B147" s="257"/>
      <c r="C147" s="295"/>
      <c r="D147" s="295"/>
      <c r="E147" s="294"/>
      <c r="F147" s="556"/>
      <c r="G147" s="295"/>
      <c r="H147" s="294"/>
      <c r="I147" s="556"/>
      <c r="J147" s="295"/>
      <c r="K147" s="298"/>
    </row>
    <row r="148" spans="1:11" ht="5.0999999999999996" customHeight="1" x14ac:dyDescent="0.2">
      <c r="A148" s="267"/>
      <c r="B148" s="257"/>
      <c r="C148" s="80"/>
      <c r="D148" s="80"/>
      <c r="E148" s="278"/>
      <c r="F148" s="279"/>
      <c r="G148" s="80"/>
      <c r="H148" s="280"/>
      <c r="I148" s="279"/>
      <c r="J148" s="80"/>
      <c r="K148" s="278"/>
    </row>
    <row r="149" spans="1:11" ht="13.35" customHeight="1" x14ac:dyDescent="0.2">
      <c r="A149" s="256" t="s">
        <v>956</v>
      </c>
      <c r="B149" s="257"/>
      <c r="C149" s="66">
        <f t="shared" ref="C149:K149" si="23">SUM(C150:C150)</f>
        <v>0</v>
      </c>
      <c r="D149" s="66">
        <f t="shared" si="23"/>
        <v>0</v>
      </c>
      <c r="E149" s="268">
        <f t="shared" si="23"/>
        <v>0</v>
      </c>
      <c r="F149" s="269">
        <f t="shared" si="23"/>
        <v>0</v>
      </c>
      <c r="G149" s="66">
        <f t="shared" si="23"/>
        <v>0</v>
      </c>
      <c r="H149" s="270">
        <f t="shared" si="23"/>
        <v>0</v>
      </c>
      <c r="I149" s="269">
        <f t="shared" si="23"/>
        <v>0</v>
      </c>
      <c r="J149" s="66">
        <f t="shared" si="23"/>
        <v>0</v>
      </c>
      <c r="K149" s="268">
        <f t="shared" si="23"/>
        <v>0</v>
      </c>
    </row>
    <row r="150" spans="1:11" ht="13.35" customHeight="1" x14ac:dyDescent="0.2">
      <c r="A150" s="235" t="s">
        <v>956</v>
      </c>
      <c r="B150" s="257"/>
      <c r="C150" s="533"/>
      <c r="D150" s="533"/>
      <c r="E150" s="564"/>
      <c r="F150" s="565"/>
      <c r="G150" s="533"/>
      <c r="H150" s="566"/>
      <c r="I150" s="565"/>
      <c r="J150" s="533"/>
      <c r="K150" s="564"/>
    </row>
    <row r="151" spans="1:11" ht="5.0999999999999996" customHeight="1" x14ac:dyDescent="0.2">
      <c r="A151" s="267"/>
      <c r="B151" s="257"/>
      <c r="C151" s="66"/>
      <c r="D151" s="66"/>
      <c r="E151" s="268"/>
      <c r="F151" s="269"/>
      <c r="G151" s="66"/>
      <c r="H151" s="270"/>
      <c r="I151" s="269"/>
      <c r="J151" s="66"/>
      <c r="K151" s="268"/>
    </row>
    <row r="152" spans="1:11" ht="13.35" customHeight="1" x14ac:dyDescent="0.2">
      <c r="A152" s="256" t="s">
        <v>957</v>
      </c>
      <c r="B152" s="257"/>
      <c r="C152" s="66">
        <f t="shared" ref="C152:K152" si="24">SUM(C153:C153)</f>
        <v>0</v>
      </c>
      <c r="D152" s="66">
        <f t="shared" si="24"/>
        <v>0</v>
      </c>
      <c r="E152" s="268">
        <f t="shared" si="24"/>
        <v>0</v>
      </c>
      <c r="F152" s="269">
        <f t="shared" si="24"/>
        <v>0</v>
      </c>
      <c r="G152" s="66">
        <f t="shared" si="24"/>
        <v>0</v>
      </c>
      <c r="H152" s="270">
        <f t="shared" si="24"/>
        <v>0</v>
      </c>
      <c r="I152" s="269">
        <f t="shared" si="24"/>
        <v>0</v>
      </c>
      <c r="J152" s="66">
        <f t="shared" si="24"/>
        <v>0</v>
      </c>
      <c r="K152" s="268">
        <f t="shared" si="24"/>
        <v>0</v>
      </c>
    </row>
    <row r="153" spans="1:11" ht="13.35" customHeight="1" x14ac:dyDescent="0.2">
      <c r="A153" s="235" t="s">
        <v>957</v>
      </c>
      <c r="B153" s="257"/>
      <c r="C153" s="533"/>
      <c r="D153" s="533"/>
      <c r="E153" s="564"/>
      <c r="F153" s="565"/>
      <c r="G153" s="533"/>
      <c r="H153" s="566"/>
      <c r="I153" s="565"/>
      <c r="J153" s="533"/>
      <c r="K153" s="564"/>
    </row>
    <row r="154" spans="1:11" ht="5.0999999999999996" customHeight="1" x14ac:dyDescent="0.2">
      <c r="A154" s="267"/>
      <c r="B154" s="257"/>
      <c r="C154" s="66"/>
      <c r="D154" s="66"/>
      <c r="E154" s="268"/>
      <c r="F154" s="269"/>
      <c r="G154" s="66"/>
      <c r="H154" s="270"/>
      <c r="I154" s="269"/>
      <c r="J154" s="66"/>
      <c r="K154" s="268"/>
    </row>
    <row r="155" spans="1:11" ht="13.35" customHeight="1" x14ac:dyDescent="0.2">
      <c r="A155" s="256" t="s">
        <v>958</v>
      </c>
      <c r="B155" s="257"/>
      <c r="C155" s="66">
        <f t="shared" ref="C155:K155" si="25">SUM(C156:C156)</f>
        <v>0</v>
      </c>
      <c r="D155" s="66">
        <f t="shared" si="25"/>
        <v>0</v>
      </c>
      <c r="E155" s="268">
        <f t="shared" si="25"/>
        <v>0</v>
      </c>
      <c r="F155" s="269">
        <f t="shared" si="25"/>
        <v>0</v>
      </c>
      <c r="G155" s="66">
        <f t="shared" si="25"/>
        <v>0</v>
      </c>
      <c r="H155" s="270">
        <f t="shared" si="25"/>
        <v>0</v>
      </c>
      <c r="I155" s="269">
        <f t="shared" si="25"/>
        <v>0</v>
      </c>
      <c r="J155" s="66">
        <f t="shared" si="25"/>
        <v>0</v>
      </c>
      <c r="K155" s="268">
        <f t="shared" si="25"/>
        <v>0</v>
      </c>
    </row>
    <row r="156" spans="1:11" ht="13.35" customHeight="1" x14ac:dyDescent="0.2">
      <c r="A156" s="235" t="s">
        <v>958</v>
      </c>
      <c r="B156" s="257"/>
      <c r="C156" s="533"/>
      <c r="D156" s="533"/>
      <c r="E156" s="564"/>
      <c r="F156" s="565"/>
      <c r="G156" s="533"/>
      <c r="H156" s="566"/>
      <c r="I156" s="565"/>
      <c r="J156" s="533"/>
      <c r="K156" s="564"/>
    </row>
    <row r="157" spans="1:11" ht="5.0999999999999996" customHeight="1" x14ac:dyDescent="0.2">
      <c r="A157" s="267"/>
      <c r="B157" s="257"/>
      <c r="C157" s="66"/>
      <c r="D157" s="66"/>
      <c r="E157" s="268"/>
      <c r="F157" s="269"/>
      <c r="G157" s="66"/>
      <c r="H157" s="270"/>
      <c r="I157" s="269"/>
      <c r="J157" s="66"/>
      <c r="K157" s="268"/>
    </row>
    <row r="158" spans="1:11" ht="13.35" customHeight="1" x14ac:dyDescent="0.2">
      <c r="A158" s="256" t="s">
        <v>959</v>
      </c>
      <c r="B158" s="257"/>
      <c r="C158" s="66">
        <f t="shared" ref="C158:K158" si="26">SUM(C159:C159)</f>
        <v>0</v>
      </c>
      <c r="D158" s="66">
        <f t="shared" si="26"/>
        <v>0</v>
      </c>
      <c r="E158" s="268">
        <f t="shared" si="26"/>
        <v>0</v>
      </c>
      <c r="F158" s="269">
        <f t="shared" si="26"/>
        <v>0</v>
      </c>
      <c r="G158" s="66">
        <f t="shared" si="26"/>
        <v>0</v>
      </c>
      <c r="H158" s="270">
        <f t="shared" si="26"/>
        <v>0</v>
      </c>
      <c r="I158" s="269">
        <f t="shared" si="26"/>
        <v>0</v>
      </c>
      <c r="J158" s="66">
        <f t="shared" si="26"/>
        <v>0</v>
      </c>
      <c r="K158" s="268">
        <f t="shared" si="26"/>
        <v>0</v>
      </c>
    </row>
    <row r="159" spans="1:11" ht="13.35" customHeight="1" x14ac:dyDescent="0.2">
      <c r="A159" s="235" t="s">
        <v>959</v>
      </c>
      <c r="B159" s="257"/>
      <c r="C159" s="533"/>
      <c r="D159" s="533"/>
      <c r="E159" s="564"/>
      <c r="F159" s="565"/>
      <c r="G159" s="533"/>
      <c r="H159" s="566"/>
      <c r="I159" s="565"/>
      <c r="J159" s="533"/>
      <c r="K159" s="564"/>
    </row>
    <row r="160" spans="1:11" ht="5.0999999999999996" customHeight="1" x14ac:dyDescent="0.2">
      <c r="A160" s="267"/>
      <c r="B160" s="257"/>
      <c r="C160" s="66"/>
      <c r="D160" s="66"/>
      <c r="E160" s="268"/>
      <c r="F160" s="269"/>
      <c r="G160" s="66"/>
      <c r="H160" s="270"/>
      <c r="I160" s="269"/>
      <c r="J160" s="66"/>
      <c r="K160" s="268"/>
    </row>
    <row r="161" spans="1:11" ht="13.35" customHeight="1" x14ac:dyDescent="0.2">
      <c r="A161" s="256" t="s">
        <v>974</v>
      </c>
      <c r="B161" s="257"/>
      <c r="C161" s="66">
        <f t="shared" ref="C161:K161" si="27">SUM(C162:C162)</f>
        <v>0</v>
      </c>
      <c r="D161" s="66">
        <f t="shared" si="27"/>
        <v>0</v>
      </c>
      <c r="E161" s="268">
        <f t="shared" si="27"/>
        <v>0</v>
      </c>
      <c r="F161" s="269">
        <f t="shared" si="27"/>
        <v>0</v>
      </c>
      <c r="G161" s="66">
        <f t="shared" si="27"/>
        <v>0</v>
      </c>
      <c r="H161" s="270">
        <f t="shared" si="27"/>
        <v>0</v>
      </c>
      <c r="I161" s="269">
        <f t="shared" si="27"/>
        <v>0</v>
      </c>
      <c r="J161" s="66">
        <f t="shared" si="27"/>
        <v>0</v>
      </c>
      <c r="K161" s="268">
        <f t="shared" si="27"/>
        <v>0</v>
      </c>
    </row>
    <row r="162" spans="1:11" ht="13.35" customHeight="1" x14ac:dyDescent="0.2">
      <c r="A162" s="235" t="s">
        <v>974</v>
      </c>
      <c r="B162" s="257"/>
      <c r="C162" s="533"/>
      <c r="D162" s="533"/>
      <c r="E162" s="564"/>
      <c r="F162" s="565"/>
      <c r="G162" s="533"/>
      <c r="H162" s="566"/>
      <c r="I162" s="565"/>
      <c r="J162" s="533"/>
      <c r="K162" s="564"/>
    </row>
    <row r="163" spans="1:11" ht="5.0999999999999996" customHeight="1" x14ac:dyDescent="0.2">
      <c r="A163" s="267"/>
      <c r="B163" s="257"/>
      <c r="C163" s="66"/>
      <c r="D163" s="66"/>
      <c r="E163" s="268"/>
      <c r="F163" s="269"/>
      <c r="G163" s="66"/>
      <c r="H163" s="270"/>
      <c r="I163" s="269"/>
      <c r="J163" s="66"/>
      <c r="K163" s="268"/>
    </row>
    <row r="164" spans="1:11" ht="13.35" customHeight="1" x14ac:dyDescent="0.2">
      <c r="A164" s="256" t="s">
        <v>960</v>
      </c>
      <c r="B164" s="257"/>
      <c r="C164" s="66">
        <f t="shared" ref="C164:K164" si="28">SUM(C165:C165)</f>
        <v>0</v>
      </c>
      <c r="D164" s="66">
        <f t="shared" si="28"/>
        <v>0</v>
      </c>
      <c r="E164" s="268">
        <f t="shared" si="28"/>
        <v>0</v>
      </c>
      <c r="F164" s="269">
        <f t="shared" si="28"/>
        <v>0</v>
      </c>
      <c r="G164" s="66">
        <f t="shared" si="28"/>
        <v>0</v>
      </c>
      <c r="H164" s="270">
        <f t="shared" si="28"/>
        <v>0</v>
      </c>
      <c r="I164" s="269">
        <f t="shared" si="28"/>
        <v>0</v>
      </c>
      <c r="J164" s="66">
        <f t="shared" si="28"/>
        <v>0</v>
      </c>
      <c r="K164" s="268">
        <f t="shared" si="28"/>
        <v>0</v>
      </c>
    </row>
    <row r="165" spans="1:11" ht="13.35" customHeight="1" x14ac:dyDescent="0.2">
      <c r="A165" s="235" t="s">
        <v>960</v>
      </c>
      <c r="B165" s="257"/>
      <c r="C165" s="533"/>
      <c r="D165" s="533"/>
      <c r="E165" s="564"/>
      <c r="F165" s="565"/>
      <c r="G165" s="533"/>
      <c r="H165" s="566"/>
      <c r="I165" s="565"/>
      <c r="J165" s="533"/>
      <c r="K165" s="564"/>
    </row>
    <row r="166" spans="1:11" ht="5.0999999999999996" customHeight="1" x14ac:dyDescent="0.2">
      <c r="A166" s="267"/>
      <c r="B166" s="257"/>
      <c r="C166" s="66"/>
      <c r="D166" s="66"/>
      <c r="E166" s="268"/>
      <c r="F166" s="269"/>
      <c r="G166" s="66"/>
      <c r="H166" s="270"/>
      <c r="I166" s="269"/>
      <c r="J166" s="66"/>
      <c r="K166" s="268"/>
    </row>
    <row r="167" spans="1:11" ht="13.35" customHeight="1" x14ac:dyDescent="0.2">
      <c r="A167" s="248" t="s">
        <v>963</v>
      </c>
      <c r="B167" s="568">
        <v>1</v>
      </c>
      <c r="C167" s="251">
        <f>C6+C74+C103+C110+C118+C136+C139+C149+C152+C155+C158+C161+C164</f>
        <v>25933060.18</v>
      </c>
      <c r="D167" s="251">
        <f t="shared" ref="D167:K167" si="29">D6+D74+D103+D110+D118+D136+D139+D149+D152+D155+D158+D161+D164</f>
        <v>9922731.6999999993</v>
      </c>
      <c r="E167" s="569">
        <f t="shared" si="29"/>
        <v>15391624.98</v>
      </c>
      <c r="F167" s="570">
        <f t="shared" si="29"/>
        <v>18521514</v>
      </c>
      <c r="G167" s="251">
        <f t="shared" si="29"/>
        <v>18521514</v>
      </c>
      <c r="H167" s="571">
        <f t="shared" si="29"/>
        <v>18521514</v>
      </c>
      <c r="I167" s="570">
        <f t="shared" si="29"/>
        <v>16018765.837199999</v>
      </c>
      <c r="J167" s="251">
        <f t="shared" si="29"/>
        <v>13536873.9975424</v>
      </c>
      <c r="K167" s="569">
        <f t="shared" si="29"/>
        <v>14011038.915594265</v>
      </c>
    </row>
    <row r="168" spans="1:11" ht="12.75" customHeight="1" x14ac:dyDescent="0.2">
      <c r="A168" s="189" t="str">
        <f>head27a</f>
        <v>References</v>
      </c>
      <c r="B168" s="305"/>
      <c r="C168" s="77"/>
      <c r="D168" s="77"/>
      <c r="E168" s="77"/>
      <c r="F168" s="77"/>
      <c r="G168" s="77"/>
      <c r="H168" s="77"/>
      <c r="I168" s="77"/>
      <c r="J168" s="77"/>
      <c r="K168" s="77"/>
    </row>
    <row r="169" spans="1:11" ht="11.25" customHeight="1" x14ac:dyDescent="0.2">
      <c r="A169" s="185" t="s">
        <v>970</v>
      </c>
      <c r="B169" s="305"/>
      <c r="C169" s="286"/>
      <c r="D169" s="286"/>
      <c r="E169" s="77"/>
      <c r="F169" s="77"/>
      <c r="G169" s="77"/>
      <c r="H169" s="77"/>
      <c r="I169" s="77"/>
      <c r="J169" s="77"/>
      <c r="K169" s="77"/>
    </row>
    <row r="170" spans="1:11" ht="11.25" customHeight="1" x14ac:dyDescent="0.2"/>
    <row r="171" spans="1:11" ht="11.25" customHeight="1" x14ac:dyDescent="0.2"/>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printOptions horizontalCentered="1"/>
  <pageMargins left="0.37" right="0.14000000000000001" top="0.79" bottom="0.6" header="0.51181102362204722" footer="0.51"/>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8">
    <tabColor rgb="FFCCFFCC"/>
    <pageSetUpPr fitToPage="1"/>
  </sheetPr>
  <dimension ref="A1:O101"/>
  <sheetViews>
    <sheetView showGridLines="0" zoomScaleNormal="100" zoomScaleSheetLayoutView="120" workbookViewId="0">
      <pane xSplit="2" ySplit="4" topLeftCell="C5" activePane="bottomRight" state="frozen"/>
      <selection activeCell="A23" sqref="A23"/>
      <selection pane="topRight" activeCell="A23" sqref="A23"/>
      <selection pane="bottomLeft" activeCell="A23" sqref="A23"/>
      <selection pane="bottomRight" activeCell="G15" sqref="G15"/>
    </sheetView>
  </sheetViews>
  <sheetFormatPr defaultColWidth="9.109375" defaultRowHeight="10.199999999999999" x14ac:dyDescent="0.2"/>
  <cols>
    <col min="1" max="1" width="35.6640625" style="59" customWidth="1"/>
    <col min="2" max="2" width="3.109375" style="58" customWidth="1"/>
    <col min="3" max="14" width="9.6640625" style="59" customWidth="1"/>
    <col min="15" max="15" width="9.88671875" style="59" customWidth="1"/>
    <col min="16" max="18" width="9.44140625" style="59" customWidth="1"/>
    <col min="19" max="20" width="9.88671875" style="59" customWidth="1"/>
    <col min="21" max="16384" width="9.109375" style="59"/>
  </cols>
  <sheetData>
    <row r="1" spans="1:15" ht="13.8" x14ac:dyDescent="0.3">
      <c r="A1" s="57" t="str">
        <f>_MEB12</f>
        <v>Centlec (Soc) Ltd - Supporting Table SD8 Future financial implications of the capital expenditure budget</v>
      </c>
    </row>
    <row r="2" spans="1:15" ht="36" customHeight="1" x14ac:dyDescent="0.2">
      <c r="A2" s="466" t="str">
        <f>desc</f>
        <v>Description</v>
      </c>
      <c r="B2" s="467" t="str">
        <f>head27</f>
        <v>Ref</v>
      </c>
      <c r="C2" s="60" t="s">
        <v>102</v>
      </c>
      <c r="D2" s="573" t="str">
        <f>Head2</f>
        <v>Current Year 2020/21</v>
      </c>
      <c r="E2" s="654" t="str">
        <f>Head3</f>
        <v>2021/22 Medium Term Revenue &amp; Expenditure Framework</v>
      </c>
      <c r="F2" s="655"/>
      <c r="G2" s="656"/>
      <c r="H2" s="574" t="str">
        <f>Head12</f>
        <v>Forecast 2024/25</v>
      </c>
      <c r="I2" s="60" t="str">
        <f>Head13</f>
        <v>Forecast 2025/26</v>
      </c>
      <c r="J2" s="60" t="str">
        <f>Head14</f>
        <v>Forecast 2026/27</v>
      </c>
      <c r="K2" s="60" t="str">
        <f>Head15</f>
        <v>Forecast 2027/28</v>
      </c>
      <c r="L2" s="60" t="str">
        <f>Head16</f>
        <v>Forecast 2028/29</v>
      </c>
      <c r="M2" s="60" t="str">
        <f>Head17</f>
        <v>Forecast 2029/30</v>
      </c>
      <c r="N2" s="573" t="str">
        <f>Head18</f>
        <v>Forecast 2030/31</v>
      </c>
      <c r="O2" s="575" t="s">
        <v>66</v>
      </c>
    </row>
    <row r="3" spans="1:15" x14ac:dyDescent="0.2">
      <c r="A3" s="576"/>
      <c r="B3" s="577" t="s">
        <v>1003</v>
      </c>
      <c r="C3" s="691" t="str">
        <f>Head9</f>
        <v>Budget Year 2021/22</v>
      </c>
      <c r="D3" s="692" t="str">
        <f>Head10</f>
        <v>Budget Year +1 2022/23</v>
      </c>
      <c r="E3" s="694" t="str">
        <f>Head11</f>
        <v>Budget Year +2 2023/24</v>
      </c>
      <c r="F3" s="691" t="str">
        <f>Head12</f>
        <v>Forecast 2024/25</v>
      </c>
      <c r="G3" s="692" t="str">
        <f>Head13</f>
        <v>Forecast 2025/26</v>
      </c>
      <c r="H3" s="664" t="str">
        <f>Head14</f>
        <v>Forecast 2026/27</v>
      </c>
      <c r="I3" s="696" t="str">
        <f>Head48</f>
        <v>Present value</v>
      </c>
      <c r="J3" s="130" t="s">
        <v>106</v>
      </c>
      <c r="K3" s="130" t="s">
        <v>106</v>
      </c>
      <c r="L3" s="130" t="s">
        <v>106</v>
      </c>
      <c r="M3" s="130" t="s">
        <v>106</v>
      </c>
      <c r="N3" s="128" t="s">
        <v>106</v>
      </c>
      <c r="O3" s="578" t="s">
        <v>106</v>
      </c>
    </row>
    <row r="4" spans="1:15" ht="13.5" customHeight="1" x14ac:dyDescent="0.2">
      <c r="A4" s="253" t="s">
        <v>183</v>
      </c>
      <c r="B4" s="579"/>
      <c r="C4" s="665"/>
      <c r="D4" s="693"/>
      <c r="E4" s="695"/>
      <c r="F4" s="665"/>
      <c r="G4" s="693"/>
      <c r="H4" s="665"/>
      <c r="I4" s="697"/>
      <c r="J4" s="580"/>
      <c r="K4" s="580"/>
      <c r="L4" s="580"/>
      <c r="M4" s="580"/>
      <c r="N4" s="581"/>
      <c r="O4" s="582"/>
    </row>
    <row r="5" spans="1:15" x14ac:dyDescent="0.2">
      <c r="A5" s="583" t="s">
        <v>1000</v>
      </c>
      <c r="B5" s="257"/>
      <c r="C5" s="584"/>
      <c r="D5" s="585"/>
      <c r="E5" s="586"/>
      <c r="F5" s="584"/>
      <c r="G5" s="587"/>
      <c r="H5" s="585"/>
      <c r="I5" s="584"/>
      <c r="J5" s="584"/>
      <c r="K5" s="584"/>
      <c r="L5" s="584"/>
      <c r="M5" s="584"/>
      <c r="N5" s="587"/>
      <c r="O5" s="588"/>
    </row>
    <row r="6" spans="1:15" ht="11.25" customHeight="1" x14ac:dyDescent="0.2">
      <c r="A6" s="256" t="s">
        <v>1004</v>
      </c>
      <c r="B6" s="257">
        <v>2</v>
      </c>
      <c r="C6" s="584"/>
      <c r="D6" s="585"/>
      <c r="E6" s="586"/>
      <c r="F6" s="584"/>
      <c r="G6" s="587"/>
      <c r="H6" s="585"/>
      <c r="I6" s="584"/>
      <c r="J6" s="584"/>
      <c r="K6" s="584"/>
      <c r="L6" s="584"/>
      <c r="M6" s="584"/>
      <c r="N6" s="587"/>
      <c r="O6" s="588"/>
    </row>
    <row r="7" spans="1:15" ht="11.25" customHeight="1" x14ac:dyDescent="0.2">
      <c r="A7" s="589" t="s">
        <v>107</v>
      </c>
      <c r="B7" s="257"/>
      <c r="C7" s="590"/>
      <c r="D7" s="591"/>
      <c r="E7" s="592"/>
      <c r="F7" s="590"/>
      <c r="G7" s="593"/>
      <c r="H7" s="591"/>
      <c r="I7" s="590"/>
      <c r="J7" s="590"/>
      <c r="K7" s="590"/>
      <c r="L7" s="590"/>
      <c r="M7" s="590"/>
      <c r="N7" s="593"/>
      <c r="O7" s="594">
        <f>SUM(C7:N7)</f>
        <v>0</v>
      </c>
    </row>
    <row r="8" spans="1:15" ht="11.25" customHeight="1" x14ac:dyDescent="0.2">
      <c r="A8" s="589" t="s">
        <v>108</v>
      </c>
      <c r="B8" s="257"/>
      <c r="C8" s="532"/>
      <c r="D8" s="563"/>
      <c r="E8" s="562"/>
      <c r="F8" s="532"/>
      <c r="G8" s="561"/>
      <c r="H8" s="563"/>
      <c r="I8" s="532"/>
      <c r="J8" s="532"/>
      <c r="K8" s="532"/>
      <c r="L8" s="532"/>
      <c r="M8" s="532"/>
      <c r="N8" s="561"/>
      <c r="O8" s="594">
        <f>SUM(C8:N8)</f>
        <v>0</v>
      </c>
    </row>
    <row r="9" spans="1:15" ht="11.25" customHeight="1" x14ac:dyDescent="0.2">
      <c r="A9" s="589" t="s">
        <v>109</v>
      </c>
      <c r="B9" s="257"/>
      <c r="C9" s="295"/>
      <c r="D9" s="294"/>
      <c r="E9" s="556"/>
      <c r="F9" s="295"/>
      <c r="G9" s="555"/>
      <c r="H9" s="294"/>
      <c r="I9" s="295"/>
      <c r="J9" s="295"/>
      <c r="K9" s="295"/>
      <c r="L9" s="295"/>
      <c r="M9" s="295"/>
      <c r="N9" s="555"/>
      <c r="O9" s="594">
        <f>SUM(C9:N9)</f>
        <v>0</v>
      </c>
    </row>
    <row r="10" spans="1:15" ht="11.25" customHeight="1" x14ac:dyDescent="0.2">
      <c r="A10" s="583" t="s">
        <v>74</v>
      </c>
      <c r="B10" s="257"/>
      <c r="C10" s="458">
        <f t="shared" ref="C10:N10" si="0">SUM(C7:C9)</f>
        <v>0</v>
      </c>
      <c r="D10" s="595">
        <f t="shared" si="0"/>
        <v>0</v>
      </c>
      <c r="E10" s="596">
        <f t="shared" si="0"/>
        <v>0</v>
      </c>
      <c r="F10" s="458">
        <f t="shared" si="0"/>
        <v>0</v>
      </c>
      <c r="G10" s="597">
        <f t="shared" si="0"/>
        <v>0</v>
      </c>
      <c r="H10" s="595">
        <f t="shared" si="0"/>
        <v>0</v>
      </c>
      <c r="I10" s="458">
        <f t="shared" si="0"/>
        <v>0</v>
      </c>
      <c r="J10" s="458">
        <f t="shared" si="0"/>
        <v>0</v>
      </c>
      <c r="K10" s="458">
        <f t="shared" si="0"/>
        <v>0</v>
      </c>
      <c r="L10" s="458">
        <f t="shared" si="0"/>
        <v>0</v>
      </c>
      <c r="M10" s="458">
        <f t="shared" si="0"/>
        <v>0</v>
      </c>
      <c r="N10" s="597">
        <f t="shared" si="0"/>
        <v>0</v>
      </c>
      <c r="O10" s="598">
        <f>SUM(C10:N10)</f>
        <v>0</v>
      </c>
    </row>
    <row r="11" spans="1:15" ht="5.0999999999999996" customHeight="1" x14ac:dyDescent="0.2">
      <c r="A11" s="267"/>
      <c r="B11" s="257"/>
      <c r="C11" s="66"/>
      <c r="D11" s="270"/>
      <c r="E11" s="269"/>
      <c r="F11" s="66"/>
      <c r="G11" s="268"/>
      <c r="H11" s="270"/>
      <c r="I11" s="66"/>
      <c r="J11" s="66"/>
      <c r="K11" s="66"/>
      <c r="L11" s="66"/>
      <c r="M11" s="66"/>
      <c r="N11" s="268"/>
      <c r="O11" s="594"/>
    </row>
    <row r="12" spans="1:15" ht="11.25" customHeight="1" x14ac:dyDescent="0.2">
      <c r="A12" s="256" t="s">
        <v>1005</v>
      </c>
      <c r="B12" s="257">
        <v>2</v>
      </c>
      <c r="C12" s="66"/>
      <c r="D12" s="270"/>
      <c r="E12" s="269"/>
      <c r="F12" s="66"/>
      <c r="G12" s="268"/>
      <c r="H12" s="270"/>
      <c r="I12" s="66"/>
      <c r="J12" s="66"/>
      <c r="K12" s="66"/>
      <c r="L12" s="66"/>
      <c r="M12" s="66"/>
      <c r="N12" s="268"/>
      <c r="O12" s="594"/>
    </row>
    <row r="13" spans="1:15" ht="11.25" customHeight="1" x14ac:dyDescent="0.2">
      <c r="A13" s="589" t="s">
        <v>107</v>
      </c>
      <c r="B13" s="257"/>
      <c r="C13" s="295"/>
      <c r="D13" s="294"/>
      <c r="E13" s="556"/>
      <c r="F13" s="295"/>
      <c r="G13" s="555"/>
      <c r="H13" s="294"/>
      <c r="I13" s="295"/>
      <c r="J13" s="295"/>
      <c r="K13" s="295"/>
      <c r="L13" s="295"/>
      <c r="M13" s="295"/>
      <c r="N13" s="555"/>
      <c r="O13" s="594">
        <f>SUM(C13:N13)</f>
        <v>0</v>
      </c>
    </row>
    <row r="14" spans="1:15" ht="11.25" customHeight="1" x14ac:dyDescent="0.2">
      <c r="A14" s="589" t="s">
        <v>108</v>
      </c>
      <c r="B14" s="257"/>
      <c r="C14" s="295"/>
      <c r="D14" s="294"/>
      <c r="E14" s="556"/>
      <c r="F14" s="295"/>
      <c r="G14" s="555"/>
      <c r="H14" s="294"/>
      <c r="I14" s="295"/>
      <c r="J14" s="295"/>
      <c r="K14" s="295"/>
      <c r="L14" s="295"/>
      <c r="M14" s="295"/>
      <c r="N14" s="555"/>
      <c r="O14" s="594">
        <f>SUM(C14:N14)</f>
        <v>0</v>
      </c>
    </row>
    <row r="15" spans="1:15" ht="11.25" customHeight="1" x14ac:dyDescent="0.2">
      <c r="A15" s="589" t="s">
        <v>109</v>
      </c>
      <c r="B15" s="257"/>
      <c r="C15" s="295"/>
      <c r="D15" s="294"/>
      <c r="E15" s="556"/>
      <c r="F15" s="295"/>
      <c r="G15" s="555"/>
      <c r="H15" s="294"/>
      <c r="I15" s="295"/>
      <c r="J15" s="295"/>
      <c r="K15" s="295"/>
      <c r="L15" s="295"/>
      <c r="M15" s="295"/>
      <c r="N15" s="555"/>
      <c r="O15" s="594">
        <f>SUM(C15:N15)</f>
        <v>0</v>
      </c>
    </row>
    <row r="16" spans="1:15" ht="11.25" customHeight="1" x14ac:dyDescent="0.2">
      <c r="A16" s="583" t="s">
        <v>103</v>
      </c>
      <c r="B16" s="257"/>
      <c r="C16" s="528">
        <f t="shared" ref="C16:N16" si="1">SUM(C13:C15)</f>
        <v>0</v>
      </c>
      <c r="D16" s="526">
        <f t="shared" si="1"/>
        <v>0</v>
      </c>
      <c r="E16" s="599">
        <f t="shared" si="1"/>
        <v>0</v>
      </c>
      <c r="F16" s="528">
        <f t="shared" si="1"/>
        <v>0</v>
      </c>
      <c r="G16" s="600">
        <f t="shared" si="1"/>
        <v>0</v>
      </c>
      <c r="H16" s="526">
        <f t="shared" si="1"/>
        <v>0</v>
      </c>
      <c r="I16" s="528">
        <f t="shared" si="1"/>
        <v>0</v>
      </c>
      <c r="J16" s="528">
        <f t="shared" si="1"/>
        <v>0</v>
      </c>
      <c r="K16" s="528">
        <f t="shared" si="1"/>
        <v>0</v>
      </c>
      <c r="L16" s="528">
        <f t="shared" si="1"/>
        <v>0</v>
      </c>
      <c r="M16" s="528">
        <f t="shared" si="1"/>
        <v>0</v>
      </c>
      <c r="N16" s="600">
        <f t="shared" si="1"/>
        <v>0</v>
      </c>
      <c r="O16" s="598">
        <f>SUM(C16:N16)</f>
        <v>0</v>
      </c>
    </row>
    <row r="17" spans="1:15" ht="5.0999999999999996" customHeight="1" x14ac:dyDescent="0.2">
      <c r="A17" s="267"/>
      <c r="B17" s="257"/>
      <c r="C17" s="66"/>
      <c r="D17" s="270"/>
      <c r="E17" s="269"/>
      <c r="F17" s="66"/>
      <c r="G17" s="268"/>
      <c r="H17" s="270"/>
      <c r="I17" s="66"/>
      <c r="J17" s="66"/>
      <c r="K17" s="66"/>
      <c r="L17" s="66"/>
      <c r="M17" s="66"/>
      <c r="N17" s="268"/>
      <c r="O17" s="601"/>
    </row>
    <row r="18" spans="1:15" ht="11.25" customHeight="1" x14ac:dyDescent="0.2">
      <c r="A18" s="256" t="s">
        <v>1006</v>
      </c>
      <c r="B18" s="257">
        <v>2</v>
      </c>
      <c r="C18" s="80"/>
      <c r="D18" s="280"/>
      <c r="E18" s="279"/>
      <c r="F18" s="80"/>
      <c r="G18" s="278"/>
      <c r="H18" s="280"/>
      <c r="I18" s="80"/>
      <c r="J18" s="80"/>
      <c r="K18" s="80"/>
      <c r="L18" s="80"/>
      <c r="M18" s="80"/>
      <c r="N18" s="278"/>
      <c r="O18" s="594"/>
    </row>
    <row r="19" spans="1:15" ht="11.25" customHeight="1" x14ac:dyDescent="0.2">
      <c r="A19" s="589" t="s">
        <v>1209</v>
      </c>
      <c r="B19" s="257"/>
      <c r="C19" s="295">
        <v>169565708.51605999</v>
      </c>
      <c r="D19" s="294">
        <v>125350376.42419639</v>
      </c>
      <c r="E19" s="556">
        <v>108170012.66431491</v>
      </c>
      <c r="F19" s="295"/>
      <c r="G19" s="555"/>
      <c r="H19" s="294"/>
      <c r="I19" s="295"/>
      <c r="J19" s="295"/>
      <c r="K19" s="295"/>
      <c r="L19" s="295"/>
      <c r="M19" s="295"/>
      <c r="N19" s="555"/>
      <c r="O19" s="594">
        <f>SUM(C19:N19)</f>
        <v>403086097.60457128</v>
      </c>
    </row>
    <row r="20" spans="1:15" ht="11.25" customHeight="1" x14ac:dyDescent="0.2">
      <c r="A20" s="589" t="s">
        <v>1210</v>
      </c>
      <c r="B20" s="257"/>
      <c r="C20" s="295">
        <v>13343505.82082667</v>
      </c>
      <c r="D20" s="294">
        <v>13197933.065301389</v>
      </c>
      <c r="E20" s="556">
        <v>13230642.120174648</v>
      </c>
      <c r="F20" s="295"/>
      <c r="G20" s="555"/>
      <c r="H20" s="294"/>
      <c r="I20" s="295"/>
      <c r="J20" s="295"/>
      <c r="K20" s="295"/>
      <c r="L20" s="295"/>
      <c r="M20" s="295"/>
      <c r="N20" s="555"/>
      <c r="O20" s="594"/>
    </row>
    <row r="21" spans="1:15" ht="11.25" customHeight="1" x14ac:dyDescent="0.2">
      <c r="A21" s="589" t="s">
        <v>1211</v>
      </c>
      <c r="B21" s="257"/>
      <c r="C21" s="295">
        <v>34268437.812253334</v>
      </c>
      <c r="D21" s="294">
        <v>4321712.2003679741</v>
      </c>
      <c r="E21" s="556">
        <v>4379867.5371841639</v>
      </c>
      <c r="F21" s="295"/>
      <c r="G21" s="555"/>
      <c r="H21" s="294"/>
      <c r="I21" s="295"/>
      <c r="J21" s="295"/>
      <c r="K21" s="295"/>
      <c r="L21" s="295"/>
      <c r="M21" s="295"/>
      <c r="N21" s="555"/>
      <c r="O21" s="594">
        <f>SUM(C21:N21)</f>
        <v>42970017.54980547</v>
      </c>
    </row>
    <row r="22" spans="1:15" ht="11.25" customHeight="1" x14ac:dyDescent="0.2">
      <c r="A22" s="589" t="s">
        <v>1212</v>
      </c>
      <c r="B22" s="257"/>
      <c r="C22" s="295">
        <v>574173.81414666667</v>
      </c>
      <c r="D22" s="294">
        <v>591989.11434082664</v>
      </c>
      <c r="E22" s="556">
        <v>611436.6353718231</v>
      </c>
      <c r="F22" s="295"/>
      <c r="G22" s="555"/>
      <c r="H22" s="294"/>
      <c r="I22" s="295"/>
      <c r="J22" s="295"/>
      <c r="K22" s="295"/>
      <c r="L22" s="295"/>
      <c r="M22" s="295"/>
      <c r="N22" s="555"/>
      <c r="O22" s="594">
        <f>SUM(C22:N22)</f>
        <v>1777599.5638593163</v>
      </c>
    </row>
    <row r="23" spans="1:15" ht="11.25" customHeight="1" x14ac:dyDescent="0.2">
      <c r="A23" s="583" t="s">
        <v>75</v>
      </c>
      <c r="B23" s="257"/>
      <c r="C23" s="528">
        <f t="shared" ref="C23:N23" si="2">SUM(C19:C22)</f>
        <v>217751825.96328667</v>
      </c>
      <c r="D23" s="526">
        <f t="shared" si="2"/>
        <v>143462010.80420658</v>
      </c>
      <c r="E23" s="599">
        <f t="shared" si="2"/>
        <v>126391958.95704554</v>
      </c>
      <c r="F23" s="528">
        <f t="shared" si="2"/>
        <v>0</v>
      </c>
      <c r="G23" s="600">
        <f t="shared" si="2"/>
        <v>0</v>
      </c>
      <c r="H23" s="526">
        <f t="shared" si="2"/>
        <v>0</v>
      </c>
      <c r="I23" s="528">
        <f t="shared" si="2"/>
        <v>0</v>
      </c>
      <c r="J23" s="528">
        <f t="shared" si="2"/>
        <v>0</v>
      </c>
      <c r="K23" s="528">
        <f t="shared" si="2"/>
        <v>0</v>
      </c>
      <c r="L23" s="528">
        <f t="shared" si="2"/>
        <v>0</v>
      </c>
      <c r="M23" s="528">
        <f t="shared" si="2"/>
        <v>0</v>
      </c>
      <c r="N23" s="600">
        <f t="shared" si="2"/>
        <v>0</v>
      </c>
      <c r="O23" s="598">
        <f>SUM(C23:N23)</f>
        <v>487605795.7245388</v>
      </c>
    </row>
    <row r="24" spans="1:15" ht="5.0999999999999996" customHeight="1" x14ac:dyDescent="0.2">
      <c r="A24" s="267"/>
      <c r="B24" s="257"/>
      <c r="C24" s="66"/>
      <c r="D24" s="270"/>
      <c r="E24" s="269"/>
      <c r="F24" s="66"/>
      <c r="G24" s="268"/>
      <c r="H24" s="270"/>
      <c r="I24" s="66"/>
      <c r="J24" s="66"/>
      <c r="K24" s="66"/>
      <c r="L24" s="66"/>
      <c r="M24" s="66"/>
      <c r="N24" s="268"/>
      <c r="O24" s="594"/>
    </row>
    <row r="25" spans="1:15" ht="11.25" customHeight="1" x14ac:dyDescent="0.2">
      <c r="A25" s="567" t="s">
        <v>1007</v>
      </c>
      <c r="B25" s="568"/>
      <c r="C25" s="251">
        <f>C16+C23</f>
        <v>217751825.96328667</v>
      </c>
      <c r="D25" s="571">
        <f t="shared" ref="D25:O25" si="3">D16+D23</f>
        <v>143462010.80420658</v>
      </c>
      <c r="E25" s="570">
        <f t="shared" si="3"/>
        <v>126391958.95704554</v>
      </c>
      <c r="F25" s="251">
        <f t="shared" si="3"/>
        <v>0</v>
      </c>
      <c r="G25" s="569">
        <f t="shared" si="3"/>
        <v>0</v>
      </c>
      <c r="H25" s="571">
        <f t="shared" si="3"/>
        <v>0</v>
      </c>
      <c r="I25" s="251">
        <f t="shared" si="3"/>
        <v>0</v>
      </c>
      <c r="J25" s="251">
        <f t="shared" si="3"/>
        <v>0</v>
      </c>
      <c r="K25" s="251">
        <f t="shared" si="3"/>
        <v>0</v>
      </c>
      <c r="L25" s="251">
        <f t="shared" si="3"/>
        <v>0</v>
      </c>
      <c r="M25" s="251">
        <f t="shared" si="3"/>
        <v>0</v>
      </c>
      <c r="N25" s="569">
        <f t="shared" si="3"/>
        <v>0</v>
      </c>
      <c r="O25" s="602">
        <f t="shared" si="3"/>
        <v>487605795.7245388</v>
      </c>
    </row>
    <row r="26" spans="1:15" ht="12.75" customHeight="1" x14ac:dyDescent="0.2">
      <c r="A26" s="187" t="s">
        <v>1008</v>
      </c>
      <c r="B26" s="305"/>
      <c r="C26" s="286"/>
      <c r="D26" s="77"/>
      <c r="E26" s="77"/>
      <c r="F26" s="77"/>
      <c r="G26" s="77"/>
    </row>
    <row r="27" spans="1:15" ht="12.75" customHeight="1" x14ac:dyDescent="0.2">
      <c r="A27" s="185" t="s">
        <v>76</v>
      </c>
      <c r="B27" s="305"/>
      <c r="C27" s="286"/>
      <c r="D27" s="77"/>
      <c r="E27" s="77"/>
      <c r="F27" s="77"/>
      <c r="G27" s="77"/>
    </row>
    <row r="28" spans="1:15" ht="24" customHeight="1" x14ac:dyDescent="0.25">
      <c r="A28" s="689" t="s">
        <v>1009</v>
      </c>
      <c r="B28" s="690"/>
      <c r="C28" s="690"/>
      <c r="D28" s="690"/>
      <c r="E28" s="690"/>
      <c r="F28" s="690"/>
      <c r="G28" s="690"/>
      <c r="H28" s="690"/>
      <c r="I28" s="690"/>
      <c r="J28" s="690"/>
      <c r="K28" s="690"/>
      <c r="L28" s="690"/>
      <c r="M28" s="690"/>
      <c r="N28" s="690"/>
    </row>
    <row r="29" spans="1:15" ht="11.25" customHeight="1" x14ac:dyDescent="0.2">
      <c r="B29" s="59"/>
    </row>
    <row r="30" spans="1:15" x14ac:dyDescent="0.2">
      <c r="A30" s="603"/>
      <c r="B30" s="59"/>
      <c r="C30" s="604"/>
      <c r="D30" s="604"/>
      <c r="E30" s="604"/>
    </row>
    <row r="31" spans="1:15" ht="11.25" customHeight="1" x14ac:dyDescent="0.2">
      <c r="B31" s="59"/>
    </row>
    <row r="32" spans="1:15" ht="11.25" customHeight="1" x14ac:dyDescent="0.2">
      <c r="B32" s="59"/>
    </row>
    <row r="33" spans="2:2" ht="11.25" customHeight="1" x14ac:dyDescent="0.2">
      <c r="B33" s="59"/>
    </row>
    <row r="34" spans="2:2" ht="11.25" customHeight="1" x14ac:dyDescent="0.2">
      <c r="B34" s="59"/>
    </row>
    <row r="35" spans="2:2" ht="11.25" customHeight="1" x14ac:dyDescent="0.2">
      <c r="B35" s="59"/>
    </row>
    <row r="36" spans="2:2" ht="11.25" customHeight="1" x14ac:dyDescent="0.2">
      <c r="B36" s="59"/>
    </row>
    <row r="37" spans="2:2" ht="11.25" customHeight="1" x14ac:dyDescent="0.2">
      <c r="B37" s="59"/>
    </row>
    <row r="38" spans="2:2" ht="11.25" customHeight="1" x14ac:dyDescent="0.2">
      <c r="B38" s="59"/>
    </row>
    <row r="39" spans="2:2" ht="11.25" customHeight="1" x14ac:dyDescent="0.2">
      <c r="B39" s="59"/>
    </row>
    <row r="40" spans="2:2" ht="11.25" customHeight="1" x14ac:dyDescent="0.2">
      <c r="B40" s="59"/>
    </row>
    <row r="41" spans="2:2" ht="11.25" customHeight="1" x14ac:dyDescent="0.2">
      <c r="B41" s="59"/>
    </row>
    <row r="42" spans="2:2" ht="11.25" customHeight="1" x14ac:dyDescent="0.2">
      <c r="B42" s="59"/>
    </row>
    <row r="43" spans="2:2" ht="11.25" customHeight="1" x14ac:dyDescent="0.2">
      <c r="B43" s="59"/>
    </row>
    <row r="44" spans="2:2" ht="11.25" customHeight="1" x14ac:dyDescent="0.2">
      <c r="B44" s="59"/>
    </row>
    <row r="45" spans="2:2" ht="11.25" customHeight="1" x14ac:dyDescent="0.2">
      <c r="B45" s="59"/>
    </row>
    <row r="46" spans="2:2" ht="11.25" customHeight="1" x14ac:dyDescent="0.2">
      <c r="B46" s="59"/>
    </row>
    <row r="47" spans="2:2" ht="11.25" customHeight="1" x14ac:dyDescent="0.2">
      <c r="B47" s="59"/>
    </row>
    <row r="48" spans="2:2" x14ac:dyDescent="0.2">
      <c r="B48" s="59"/>
    </row>
    <row r="49" spans="2:2" ht="11.25" customHeight="1" x14ac:dyDescent="0.2">
      <c r="B49" s="59"/>
    </row>
    <row r="50" spans="2:2" ht="11.25" customHeight="1" x14ac:dyDescent="0.2">
      <c r="B50" s="59"/>
    </row>
    <row r="51" spans="2:2" ht="11.25" customHeight="1" x14ac:dyDescent="0.2">
      <c r="B51" s="59"/>
    </row>
    <row r="52" spans="2:2" ht="11.25" customHeight="1" x14ac:dyDescent="0.2">
      <c r="B52" s="59"/>
    </row>
    <row r="53" spans="2:2" ht="11.25" customHeight="1" x14ac:dyDescent="0.2">
      <c r="B53" s="59"/>
    </row>
    <row r="54" spans="2:2" ht="11.25" customHeight="1" x14ac:dyDescent="0.2">
      <c r="B54" s="59"/>
    </row>
    <row r="55" spans="2:2" ht="6" customHeight="1" x14ac:dyDescent="0.2">
      <c r="B55" s="59"/>
    </row>
    <row r="56" spans="2:2" ht="11.25" customHeight="1" x14ac:dyDescent="0.2">
      <c r="B56" s="59"/>
    </row>
    <row r="57" spans="2:2" ht="11.25" customHeight="1" x14ac:dyDescent="0.2">
      <c r="B57" s="59"/>
    </row>
    <row r="58" spans="2:2" ht="11.25" customHeight="1" x14ac:dyDescent="0.2">
      <c r="B58" s="59"/>
    </row>
    <row r="59" spans="2:2" ht="11.25" customHeight="1" x14ac:dyDescent="0.2">
      <c r="B59" s="59"/>
    </row>
    <row r="60" spans="2:2" ht="11.25" customHeight="1" x14ac:dyDescent="0.2">
      <c r="B60" s="59"/>
    </row>
    <row r="61" spans="2:2" ht="11.25" customHeight="1" x14ac:dyDescent="0.2">
      <c r="B61" s="59"/>
    </row>
    <row r="62" spans="2:2" ht="11.25" customHeight="1" x14ac:dyDescent="0.2">
      <c r="B62" s="59"/>
    </row>
    <row r="63" spans="2:2" ht="11.25" customHeight="1" x14ac:dyDescent="0.2">
      <c r="B63" s="59"/>
    </row>
    <row r="64" spans="2:2" ht="11.25" customHeight="1" x14ac:dyDescent="0.2">
      <c r="B64" s="59"/>
    </row>
    <row r="65" spans="1:9" ht="11.25" customHeight="1" x14ac:dyDescent="0.2">
      <c r="B65" s="59"/>
    </row>
    <row r="66" spans="1:9" ht="11.25" customHeight="1" x14ac:dyDescent="0.2">
      <c r="B66" s="59"/>
      <c r="I66" s="605"/>
    </row>
    <row r="67" spans="1:9" ht="11.25" customHeight="1" x14ac:dyDescent="0.2">
      <c r="B67" s="59"/>
    </row>
    <row r="68" spans="1:9" ht="11.25" customHeight="1" x14ac:dyDescent="0.2">
      <c r="B68" s="59"/>
    </row>
    <row r="69" spans="1:9" ht="11.25" customHeight="1" x14ac:dyDescent="0.2">
      <c r="B69" s="59"/>
    </row>
    <row r="70" spans="1:9" x14ac:dyDescent="0.2">
      <c r="B70" s="59"/>
    </row>
    <row r="71" spans="1:9" x14ac:dyDescent="0.2">
      <c r="B71" s="59"/>
    </row>
    <row r="72" spans="1:9" ht="11.25" customHeight="1" x14ac:dyDescent="0.2">
      <c r="B72" s="59"/>
    </row>
    <row r="73" spans="1:9" x14ac:dyDescent="0.2">
      <c r="B73" s="59"/>
    </row>
    <row r="74" spans="1:9" x14ac:dyDescent="0.2">
      <c r="B74" s="59"/>
    </row>
    <row r="75" spans="1:9" x14ac:dyDescent="0.2">
      <c r="B75" s="59"/>
    </row>
    <row r="76" spans="1:9" x14ac:dyDescent="0.2">
      <c r="B76" s="59"/>
    </row>
    <row r="77" spans="1:9" ht="11.25" customHeight="1" x14ac:dyDescent="0.2">
      <c r="B77" s="59"/>
    </row>
    <row r="78" spans="1:9" s="606" customFormat="1" ht="11.25" customHeight="1" x14ac:dyDescent="0.2">
      <c r="A78" s="59"/>
      <c r="B78" s="59"/>
      <c r="C78" s="59"/>
      <c r="D78" s="59"/>
      <c r="E78" s="59"/>
      <c r="F78" s="59"/>
      <c r="G78" s="59"/>
      <c r="H78" s="59"/>
    </row>
    <row r="79" spans="1:9" ht="11.25" customHeight="1" x14ac:dyDescent="0.2">
      <c r="B79" s="59"/>
    </row>
    <row r="80" spans="1:9" ht="11.25" customHeight="1" x14ac:dyDescent="0.2">
      <c r="B80" s="59"/>
    </row>
    <row r="81" spans="2:2" ht="11.25" customHeight="1" x14ac:dyDescent="0.2">
      <c r="B81" s="59"/>
    </row>
    <row r="82" spans="2:2" ht="11.25" customHeight="1" x14ac:dyDescent="0.2">
      <c r="B82" s="59"/>
    </row>
    <row r="83" spans="2:2" ht="11.25" customHeight="1" x14ac:dyDescent="0.2">
      <c r="B83" s="59"/>
    </row>
    <row r="84" spans="2:2" ht="11.25" customHeight="1" x14ac:dyDescent="0.2">
      <c r="B84" s="59"/>
    </row>
    <row r="85" spans="2:2" ht="11.25" customHeight="1" x14ac:dyDescent="0.2">
      <c r="B85" s="59"/>
    </row>
    <row r="86" spans="2:2" ht="11.25" customHeight="1" x14ac:dyDescent="0.2">
      <c r="B86" s="59"/>
    </row>
    <row r="87" spans="2:2" ht="11.25" customHeight="1" x14ac:dyDescent="0.2">
      <c r="B87" s="59"/>
    </row>
    <row r="88" spans="2:2" ht="11.25" customHeight="1" x14ac:dyDescent="0.2">
      <c r="B88" s="59"/>
    </row>
    <row r="89" spans="2:2" ht="11.25" customHeight="1" x14ac:dyDescent="0.2">
      <c r="B89" s="59"/>
    </row>
    <row r="90" spans="2:2" ht="11.25" customHeight="1" x14ac:dyDescent="0.2">
      <c r="B90" s="59"/>
    </row>
    <row r="91" spans="2:2" ht="11.25" customHeight="1" x14ac:dyDescent="0.2">
      <c r="B91" s="59"/>
    </row>
    <row r="92" spans="2:2" ht="11.25" customHeight="1" x14ac:dyDescent="0.2">
      <c r="B92" s="59"/>
    </row>
    <row r="93" spans="2:2" ht="11.25" customHeight="1" x14ac:dyDescent="0.2">
      <c r="B93" s="59"/>
    </row>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mergeCells count="9">
    <mergeCell ref="E2:G2"/>
    <mergeCell ref="A28:N28"/>
    <mergeCell ref="C3:C4"/>
    <mergeCell ref="D3:D4"/>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9">
    <tabColor rgb="FFCCFFCC"/>
    <pageSetUpPr fitToPage="1"/>
  </sheetPr>
  <dimension ref="A1:Q169"/>
  <sheetViews>
    <sheetView showGridLines="0" zoomScaleNormal="100" zoomScaleSheetLayoutView="130" workbookViewId="0">
      <pane xSplit="2" ySplit="1" topLeftCell="M34" activePane="bottomRight" state="frozen"/>
      <selection activeCell="A23" sqref="A23"/>
      <selection pane="topRight" activeCell="A23" sqref="A23"/>
      <selection pane="bottomLeft" activeCell="A23" sqref="A23"/>
      <selection pane="bottomRight" sqref="A1:Q59"/>
    </sheetView>
  </sheetViews>
  <sheetFormatPr defaultColWidth="9.109375" defaultRowHeight="10.199999999999999" x14ac:dyDescent="0.2"/>
  <cols>
    <col min="1" max="1" width="55.88671875" style="59" customWidth="1"/>
    <col min="2" max="2" width="29.44140625" style="58" hidden="1" customWidth="1"/>
    <col min="3" max="3" width="20.33203125" style="59" hidden="1" customWidth="1"/>
    <col min="4" max="4" width="13.33203125" style="59" hidden="1" customWidth="1"/>
    <col min="5" max="5" width="25.88671875" style="59" hidden="1" customWidth="1"/>
    <col min="6" max="6" width="20.6640625" style="59" hidden="1" customWidth="1"/>
    <col min="7" max="7" width="23.109375" style="59" hidden="1" customWidth="1"/>
    <col min="8" max="8" width="21.44140625" style="59" hidden="1" customWidth="1"/>
    <col min="9" max="9" width="21.109375" style="59" hidden="1" customWidth="1"/>
    <col min="10" max="10" width="17.44140625" style="59" hidden="1" customWidth="1"/>
    <col min="11" max="11" width="17.6640625" style="59" hidden="1" customWidth="1"/>
    <col min="12" max="12" width="19.44140625" style="59" hidden="1" customWidth="1"/>
    <col min="13" max="13" width="3.5546875" style="59" hidden="1" customWidth="1"/>
    <col min="14" max="14" width="10.44140625" style="59" customWidth="1"/>
    <col min="15" max="15" width="12.109375" style="59" customWidth="1"/>
    <col min="16" max="16" width="12.88671875" style="59" customWidth="1"/>
    <col min="17" max="17" width="12.33203125" style="59" customWidth="1"/>
    <col min="18" max="18" width="9.88671875" style="59" customWidth="1"/>
    <col min="19" max="21" width="9.44140625" style="59" customWidth="1"/>
    <col min="22" max="22" width="9.88671875" style="59" customWidth="1"/>
    <col min="23" max="25" width="9.44140625" style="59" customWidth="1"/>
    <col min="26" max="27" width="9.88671875" style="59" customWidth="1"/>
    <col min="28" max="16384" width="9.109375" style="59"/>
  </cols>
  <sheetData>
    <row r="1" spans="1:17" ht="13.8" x14ac:dyDescent="0.3">
      <c r="A1" s="725" t="str">
        <f>_MEB13</f>
        <v>Centlec (Soc) Ltd - Supporting Table SD9 Detailed capital budget</v>
      </c>
      <c r="B1" s="463"/>
      <c r="C1" s="462"/>
      <c r="D1" s="462"/>
      <c r="E1" s="462"/>
      <c r="F1" s="462"/>
      <c r="G1" s="462"/>
      <c r="H1" s="462"/>
      <c r="I1" s="462"/>
      <c r="J1" s="462"/>
      <c r="K1" s="462"/>
      <c r="L1" s="462"/>
      <c r="M1" s="462"/>
      <c r="N1" s="462"/>
      <c r="O1" s="462"/>
      <c r="P1" s="462"/>
      <c r="Q1" s="726"/>
    </row>
    <row r="2" spans="1:17" ht="22.35" customHeight="1" x14ac:dyDescent="0.2">
      <c r="A2" s="607" t="s">
        <v>817</v>
      </c>
      <c r="B2" s="608"/>
      <c r="C2" s="608"/>
      <c r="D2" s="608"/>
      <c r="E2" s="609"/>
      <c r="F2" s="609"/>
      <c r="G2" s="609"/>
      <c r="H2" s="609"/>
      <c r="I2" s="609"/>
      <c r="J2" s="609"/>
      <c r="K2" s="609"/>
      <c r="L2" s="610"/>
      <c r="M2" s="698"/>
      <c r="N2" s="678"/>
      <c r="O2" s="654" t="str">
        <f>Head3</f>
        <v>2021/22 Medium Term Revenue &amp; Expenditure Framework</v>
      </c>
      <c r="P2" s="655"/>
      <c r="Q2" s="656"/>
    </row>
    <row r="3" spans="1:17" s="611" customFormat="1" ht="50.25" customHeight="1" x14ac:dyDescent="0.25">
      <c r="A3" s="727" t="s">
        <v>988</v>
      </c>
      <c r="B3" s="469" t="s">
        <v>989</v>
      </c>
      <c r="C3" s="469" t="s">
        <v>990</v>
      </c>
      <c r="D3" s="469" t="s">
        <v>991</v>
      </c>
      <c r="E3" s="469" t="s">
        <v>992</v>
      </c>
      <c r="F3" s="469" t="s">
        <v>993</v>
      </c>
      <c r="G3" s="469" t="s">
        <v>994</v>
      </c>
      <c r="H3" s="469" t="s">
        <v>995</v>
      </c>
      <c r="I3" s="469" t="s">
        <v>996</v>
      </c>
      <c r="J3" s="469" t="s">
        <v>997</v>
      </c>
      <c r="K3" s="469" t="s">
        <v>998</v>
      </c>
      <c r="L3" s="432" t="s">
        <v>999</v>
      </c>
      <c r="M3" s="721" t="str">
        <f>Head5&amp;"    "&amp;Head1</f>
        <v>Audited Outcome    2019/20</v>
      </c>
      <c r="N3" s="723" t="str">
        <f>Head2 &amp; "        "&amp;Head8</f>
        <v>Current Year 2020/21        Full Year Forecast</v>
      </c>
      <c r="O3" s="553" t="str">
        <f>Head9</f>
        <v>Budget Year 2021/22</v>
      </c>
      <c r="P3" s="469" t="str">
        <f>Head10</f>
        <v>Budget Year +1 2022/23</v>
      </c>
      <c r="Q3" s="471" t="str">
        <f>Head11</f>
        <v>Budget Year +2 2023/24</v>
      </c>
    </row>
    <row r="4" spans="1:17" x14ac:dyDescent="0.2">
      <c r="A4" s="612" t="s">
        <v>1000</v>
      </c>
      <c r="B4" s="613"/>
      <c r="C4" s="614"/>
      <c r="D4" s="614"/>
      <c r="E4" s="614"/>
      <c r="F4" s="614"/>
      <c r="G4" s="614"/>
      <c r="H4" s="615"/>
      <c r="I4" s="616"/>
      <c r="J4" s="615"/>
      <c r="K4" s="617"/>
      <c r="L4" s="618"/>
      <c r="M4" s="524"/>
      <c r="N4" s="594"/>
      <c r="O4" s="269"/>
      <c r="P4" s="66"/>
      <c r="Q4" s="268"/>
    </row>
    <row r="5" spans="1:17" ht="11.25" customHeight="1" x14ac:dyDescent="0.2">
      <c r="A5" s="619" t="s">
        <v>1001</v>
      </c>
      <c r="B5" s="613"/>
      <c r="C5" s="614"/>
      <c r="D5" s="614"/>
      <c r="E5" s="614"/>
      <c r="F5" s="614"/>
      <c r="G5" s="614"/>
      <c r="H5" s="615"/>
      <c r="I5" s="616"/>
      <c r="J5" s="615"/>
      <c r="K5" s="617"/>
      <c r="L5" s="618"/>
      <c r="M5" s="722"/>
      <c r="N5" s="588"/>
      <c r="O5" s="586"/>
      <c r="P5" s="584"/>
      <c r="Q5" s="587"/>
    </row>
    <row r="6" spans="1:17" ht="5.0999999999999996" customHeight="1" x14ac:dyDescent="0.2">
      <c r="A6" s="620"/>
      <c r="B6" s="613"/>
      <c r="C6" s="614"/>
      <c r="D6" s="614"/>
      <c r="E6" s="614"/>
      <c r="F6" s="614"/>
      <c r="G6" s="614"/>
      <c r="H6" s="615"/>
      <c r="I6" s="616"/>
      <c r="J6" s="615"/>
      <c r="K6" s="617"/>
      <c r="L6" s="618"/>
      <c r="M6" s="524"/>
      <c r="N6" s="594"/>
      <c r="O6" s="269"/>
      <c r="P6" s="66"/>
      <c r="Q6" s="268"/>
    </row>
    <row r="7" spans="1:17" ht="11.25" customHeight="1" x14ac:dyDescent="0.2">
      <c r="A7" s="630" t="s">
        <v>1213</v>
      </c>
      <c r="B7" s="622"/>
      <c r="C7" s="623"/>
      <c r="D7" s="623"/>
      <c r="E7" s="624"/>
      <c r="F7" s="624"/>
      <c r="G7" s="622"/>
      <c r="H7" s="624"/>
      <c r="I7" s="625"/>
      <c r="J7" s="622"/>
      <c r="K7" s="626"/>
      <c r="L7" s="627"/>
      <c r="M7" s="296"/>
      <c r="N7" s="724">
        <v>519155</v>
      </c>
      <c r="O7" s="556">
        <v>574173.81414666667</v>
      </c>
      <c r="P7" s="295">
        <v>591989.11434082664</v>
      </c>
      <c r="Q7" s="555">
        <v>611436.6353718231</v>
      </c>
    </row>
    <row r="8" spans="1:17" ht="11.25" customHeight="1" x14ac:dyDescent="0.2">
      <c r="A8" s="628" t="s">
        <v>1214</v>
      </c>
      <c r="B8" s="626"/>
      <c r="C8" s="629"/>
      <c r="D8" s="623"/>
      <c r="E8" s="624"/>
      <c r="F8" s="624"/>
      <c r="G8" s="622"/>
      <c r="H8" s="624"/>
      <c r="I8" s="625"/>
      <c r="J8" s="622"/>
      <c r="K8" s="626"/>
      <c r="L8" s="627"/>
      <c r="M8" s="296"/>
      <c r="N8" s="724">
        <v>0</v>
      </c>
      <c r="O8" s="556">
        <v>1004297.4</v>
      </c>
      <c r="P8" s="295">
        <v>1046477.8908000001</v>
      </c>
      <c r="Q8" s="555">
        <v>1092522.9179952</v>
      </c>
    </row>
    <row r="9" spans="1:17" x14ac:dyDescent="0.2">
      <c r="A9" s="630" t="s">
        <v>1215</v>
      </c>
      <c r="B9" s="626"/>
      <c r="C9" s="629"/>
      <c r="D9" s="623"/>
      <c r="E9" s="624"/>
      <c r="F9" s="624"/>
      <c r="G9" s="622"/>
      <c r="H9" s="624"/>
      <c r="I9" s="625"/>
      <c r="J9" s="622"/>
      <c r="K9" s="626"/>
      <c r="L9" s="627"/>
      <c r="M9" s="296"/>
      <c r="N9" s="724">
        <v>1990207</v>
      </c>
      <c r="O9" s="556">
        <v>0</v>
      </c>
      <c r="P9" s="295">
        <v>0</v>
      </c>
      <c r="Q9" s="555">
        <v>0</v>
      </c>
    </row>
    <row r="10" spans="1:17" ht="11.25" customHeight="1" x14ac:dyDescent="0.2">
      <c r="A10" s="630" t="s">
        <v>1216</v>
      </c>
      <c r="B10" s="626"/>
      <c r="C10" s="629"/>
      <c r="D10" s="623"/>
      <c r="E10" s="624"/>
      <c r="F10" s="624"/>
      <c r="G10" s="622"/>
      <c r="H10" s="624"/>
      <c r="I10" s="625"/>
      <c r="J10" s="622"/>
      <c r="K10" s="626"/>
      <c r="L10" s="627"/>
      <c r="M10" s="296"/>
      <c r="N10" s="724">
        <v>3252697</v>
      </c>
      <c r="O10" s="556">
        <v>1537426.9327333332</v>
      </c>
      <c r="P10" s="295">
        <v>1601998.8639081332</v>
      </c>
      <c r="Q10" s="555">
        <v>1672486.8139200911</v>
      </c>
    </row>
    <row r="11" spans="1:17" ht="11.25" customHeight="1" x14ac:dyDescent="0.2">
      <c r="A11" s="630" t="s">
        <v>1217</v>
      </c>
      <c r="B11" s="626"/>
      <c r="C11" s="629"/>
      <c r="D11" s="623"/>
      <c r="E11" s="624"/>
      <c r="F11" s="624"/>
      <c r="G11" s="622"/>
      <c r="H11" s="624"/>
      <c r="I11" s="625"/>
      <c r="J11" s="622"/>
      <c r="K11" s="626"/>
      <c r="L11" s="627"/>
      <c r="M11" s="296"/>
      <c r="N11" s="724">
        <v>8549085</v>
      </c>
      <c r="O11" s="556">
        <v>10562188.088093337</v>
      </c>
      <c r="P11" s="295">
        <v>10299799.987793256</v>
      </c>
      <c r="Q11" s="555">
        <v>10204991.187256157</v>
      </c>
    </row>
    <row r="12" spans="1:17" ht="11.25" customHeight="1" x14ac:dyDescent="0.2">
      <c r="A12" s="630" t="s">
        <v>1218</v>
      </c>
      <c r="B12" s="626"/>
      <c r="C12" s="629"/>
      <c r="D12" s="623"/>
      <c r="E12" s="624"/>
      <c r="F12" s="624"/>
      <c r="G12" s="622"/>
      <c r="H12" s="624"/>
      <c r="I12" s="625"/>
      <c r="J12" s="622"/>
      <c r="K12" s="626"/>
      <c r="L12" s="627"/>
      <c r="M12" s="296"/>
      <c r="N12" s="724">
        <v>50492049</v>
      </c>
      <c r="O12" s="556">
        <v>20466030.119966667</v>
      </c>
      <c r="P12" s="295">
        <v>12724686.059147134</v>
      </c>
      <c r="Q12" s="555">
        <v>18238431.720983505</v>
      </c>
    </row>
    <row r="13" spans="1:17" ht="11.25" customHeight="1" x14ac:dyDescent="0.2">
      <c r="A13" s="630" t="s">
        <v>1219</v>
      </c>
      <c r="B13" s="626"/>
      <c r="C13" s="629"/>
      <c r="D13" s="623"/>
      <c r="E13" s="624"/>
      <c r="F13" s="624"/>
      <c r="G13" s="622"/>
      <c r="H13" s="624"/>
      <c r="I13" s="625"/>
      <c r="J13" s="622"/>
      <c r="K13" s="626"/>
      <c r="L13" s="627"/>
      <c r="M13" s="296"/>
      <c r="N13" s="724">
        <v>15109930</v>
      </c>
      <c r="O13" s="556">
        <v>5000000.0042666672</v>
      </c>
      <c r="P13" s="295">
        <v>5160450.0018658666</v>
      </c>
      <c r="Q13" s="555">
        <v>5326048.8367879642</v>
      </c>
    </row>
    <row r="14" spans="1:17" ht="11.25" customHeight="1" x14ac:dyDescent="0.2">
      <c r="A14" s="630" t="s">
        <v>1220</v>
      </c>
      <c r="B14" s="626"/>
      <c r="C14" s="629"/>
      <c r="D14" s="623"/>
      <c r="E14" s="624"/>
      <c r="F14" s="624"/>
      <c r="G14" s="622"/>
      <c r="H14" s="624"/>
      <c r="I14" s="625"/>
      <c r="J14" s="622"/>
      <c r="K14" s="626"/>
      <c r="L14" s="627"/>
      <c r="M14" s="296"/>
      <c r="N14" s="724">
        <v>0</v>
      </c>
      <c r="O14" s="556">
        <v>0</v>
      </c>
      <c r="P14" s="295">
        <v>0</v>
      </c>
      <c r="Q14" s="555">
        <v>0</v>
      </c>
    </row>
    <row r="15" spans="1:17" ht="11.25" customHeight="1" x14ac:dyDescent="0.2">
      <c r="A15" s="630" t="s">
        <v>1221</v>
      </c>
      <c r="B15" s="626"/>
      <c r="C15" s="629"/>
      <c r="D15" s="623"/>
      <c r="E15" s="624"/>
      <c r="F15" s="624"/>
      <c r="G15" s="622"/>
      <c r="H15" s="624"/>
      <c r="I15" s="625"/>
      <c r="J15" s="622"/>
      <c r="K15" s="626"/>
      <c r="L15" s="627"/>
      <c r="M15" s="296"/>
      <c r="N15" s="724">
        <v>8850792</v>
      </c>
      <c r="O15" s="556">
        <v>9231192.3697199989</v>
      </c>
      <c r="P15" s="295">
        <v>9618902.4492482394</v>
      </c>
      <c r="Q15" s="555">
        <v>9642134.1570151616</v>
      </c>
    </row>
    <row r="16" spans="1:17" ht="11.25" customHeight="1" x14ac:dyDescent="0.2">
      <c r="A16" s="630" t="s">
        <v>1222</v>
      </c>
      <c r="B16" s="626"/>
      <c r="C16" s="629"/>
      <c r="D16" s="623"/>
      <c r="E16" s="624"/>
      <c r="F16" s="624"/>
      <c r="G16" s="622"/>
      <c r="H16" s="624"/>
      <c r="I16" s="625"/>
      <c r="J16" s="622"/>
      <c r="K16" s="626"/>
      <c r="L16" s="627"/>
      <c r="M16" s="296"/>
      <c r="N16" s="724">
        <v>3021986</v>
      </c>
      <c r="O16" s="556">
        <v>5000000</v>
      </c>
      <c r="P16" s="295">
        <v>5160450</v>
      </c>
      <c r="Q16" s="555">
        <v>5326048.84</v>
      </c>
    </row>
    <row r="17" spans="1:17" ht="11.25" customHeight="1" x14ac:dyDescent="0.2">
      <c r="A17" s="630" t="s">
        <v>1223</v>
      </c>
      <c r="B17" s="626"/>
      <c r="C17" s="629"/>
      <c r="D17" s="623"/>
      <c r="E17" s="624"/>
      <c r="F17" s="624"/>
      <c r="G17" s="622"/>
      <c r="H17" s="624"/>
      <c r="I17" s="625"/>
      <c r="J17" s="622"/>
      <c r="K17" s="626"/>
      <c r="L17" s="627"/>
      <c r="M17" s="296"/>
      <c r="N17" s="724">
        <v>11932851</v>
      </c>
      <c r="O17" s="556">
        <v>13000000</v>
      </c>
      <c r="P17" s="295">
        <v>13417170</v>
      </c>
      <c r="Q17" s="555">
        <v>13847726.985299999</v>
      </c>
    </row>
    <row r="18" spans="1:17" ht="11.25" customHeight="1" x14ac:dyDescent="0.2">
      <c r="A18" s="630" t="s">
        <v>1224</v>
      </c>
      <c r="B18" s="626"/>
      <c r="C18" s="629"/>
      <c r="D18" s="623"/>
      <c r="E18" s="624"/>
      <c r="F18" s="624"/>
      <c r="G18" s="622"/>
      <c r="H18" s="624"/>
      <c r="I18" s="625"/>
      <c r="J18" s="622"/>
      <c r="K18" s="626"/>
      <c r="L18" s="627"/>
      <c r="M18" s="296"/>
      <c r="N18" s="724">
        <v>1813192</v>
      </c>
      <c r="O18" s="556">
        <v>3000000.0038399999</v>
      </c>
      <c r="P18" s="295">
        <v>3096269.9991812799</v>
      </c>
      <c r="Q18" s="555">
        <v>3195629.3013052559</v>
      </c>
    </row>
    <row r="19" spans="1:17" ht="11.25" customHeight="1" x14ac:dyDescent="0.2">
      <c r="A19" s="630" t="s">
        <v>1225</v>
      </c>
      <c r="B19" s="626"/>
      <c r="C19" s="629"/>
      <c r="D19" s="623"/>
      <c r="E19" s="624"/>
      <c r="F19" s="624"/>
      <c r="G19" s="622"/>
      <c r="H19" s="624"/>
      <c r="I19" s="625"/>
      <c r="J19" s="622"/>
      <c r="K19" s="626"/>
      <c r="L19" s="627"/>
      <c r="M19" s="296"/>
      <c r="N19" s="724">
        <v>351493</v>
      </c>
      <c r="O19" s="556">
        <v>600000.00466666673</v>
      </c>
      <c r="P19" s="295">
        <v>619245.00364266662</v>
      </c>
      <c r="Q19" s="555">
        <v>639125.84352294402</v>
      </c>
    </row>
    <row r="20" spans="1:17" ht="11.25" customHeight="1" x14ac:dyDescent="0.2">
      <c r="A20" s="630" t="s">
        <v>1226</v>
      </c>
      <c r="B20" s="626"/>
      <c r="C20" s="629"/>
      <c r="D20" s="623"/>
      <c r="E20" s="624"/>
      <c r="F20" s="624"/>
      <c r="G20" s="622"/>
      <c r="H20" s="624"/>
      <c r="I20" s="625"/>
      <c r="J20" s="622"/>
      <c r="K20" s="626"/>
      <c r="L20" s="627"/>
      <c r="M20" s="296"/>
      <c r="N20" s="724">
        <v>6027012</v>
      </c>
      <c r="O20" s="556">
        <v>7999999.9996266663</v>
      </c>
      <c r="P20" s="295">
        <v>4256720.0041109864</v>
      </c>
      <c r="Q20" s="555">
        <v>4521678.1491718702</v>
      </c>
    </row>
    <row r="21" spans="1:17" ht="11.25" customHeight="1" x14ac:dyDescent="0.2">
      <c r="A21" s="630" t="s">
        <v>1227</v>
      </c>
      <c r="B21" s="626"/>
      <c r="C21" s="629"/>
      <c r="D21" s="623"/>
      <c r="E21" s="624"/>
      <c r="F21" s="624"/>
      <c r="G21" s="622"/>
      <c r="H21" s="624"/>
      <c r="I21" s="625"/>
      <c r="J21" s="622"/>
      <c r="K21" s="626"/>
      <c r="L21" s="627"/>
      <c r="M21" s="296"/>
      <c r="N21" s="724">
        <v>37024</v>
      </c>
      <c r="O21" s="556">
        <v>99999.998733333327</v>
      </c>
      <c r="P21" s="295">
        <v>103208.99752013333</v>
      </c>
      <c r="Q21" s="555">
        <v>106520.9767310192</v>
      </c>
    </row>
    <row r="22" spans="1:17" ht="11.25" customHeight="1" x14ac:dyDescent="0.2">
      <c r="A22" s="630" t="s">
        <v>1228</v>
      </c>
      <c r="B22" s="626"/>
      <c r="C22" s="629"/>
      <c r="D22" s="623"/>
      <c r="E22" s="624"/>
      <c r="F22" s="624"/>
      <c r="G22" s="622"/>
      <c r="H22" s="624"/>
      <c r="I22" s="625"/>
      <c r="J22" s="622"/>
      <c r="K22" s="626"/>
      <c r="L22" s="627"/>
      <c r="M22" s="296"/>
      <c r="N22" s="724">
        <v>604397</v>
      </c>
      <c r="O22" s="556">
        <v>200000</v>
      </c>
      <c r="P22" s="295">
        <v>280000</v>
      </c>
      <c r="Q22" s="555">
        <v>291200</v>
      </c>
    </row>
    <row r="23" spans="1:17" ht="11.25" customHeight="1" x14ac:dyDescent="0.2">
      <c r="A23" s="630" t="s">
        <v>1229</v>
      </c>
      <c r="B23" s="626"/>
      <c r="C23" s="629"/>
      <c r="D23" s="623"/>
      <c r="E23" s="624"/>
      <c r="F23" s="624"/>
      <c r="G23" s="622"/>
      <c r="H23" s="624"/>
      <c r="I23" s="625"/>
      <c r="J23" s="622"/>
      <c r="K23" s="626"/>
      <c r="L23" s="627"/>
      <c r="M23" s="296"/>
      <c r="N23" s="724">
        <v>361008</v>
      </c>
      <c r="O23" s="556">
        <v>1005275.2929466667</v>
      </c>
      <c r="P23" s="295">
        <v>1047496.8552504267</v>
      </c>
      <c r="Q23" s="555">
        <v>1093586.7168814454</v>
      </c>
    </row>
    <row r="24" spans="1:17" ht="11.25" customHeight="1" x14ac:dyDescent="0.2">
      <c r="A24" s="630" t="s">
        <v>1230</v>
      </c>
      <c r="B24" s="626"/>
      <c r="C24" s="629"/>
      <c r="D24" s="623"/>
      <c r="E24" s="624"/>
      <c r="F24" s="624"/>
      <c r="G24" s="622"/>
      <c r="H24" s="624"/>
      <c r="I24" s="625"/>
      <c r="J24" s="622"/>
      <c r="K24" s="626"/>
      <c r="L24" s="627"/>
      <c r="M24" s="296"/>
      <c r="N24" s="724">
        <v>3626383</v>
      </c>
      <c r="O24" s="556">
        <v>7029525.1898400001</v>
      </c>
      <c r="P24" s="295">
        <v>4198765.2478132797</v>
      </c>
      <c r="Q24" s="555">
        <v>4383510.918717064</v>
      </c>
    </row>
    <row r="25" spans="1:17" ht="11.25" customHeight="1" x14ac:dyDescent="0.2">
      <c r="A25" s="630" t="s">
        <v>1231</v>
      </c>
      <c r="B25" s="626"/>
      <c r="C25" s="629"/>
      <c r="D25" s="623"/>
      <c r="E25" s="624"/>
      <c r="F25" s="624"/>
      <c r="G25" s="622"/>
      <c r="H25" s="624"/>
      <c r="I25" s="625"/>
      <c r="J25" s="622"/>
      <c r="K25" s="626"/>
      <c r="L25" s="627"/>
      <c r="M25" s="296"/>
      <c r="N25" s="724">
        <v>906596</v>
      </c>
      <c r="O25" s="556">
        <v>508389.78646666667</v>
      </c>
      <c r="P25" s="295">
        <v>508742.15749826666</v>
      </c>
      <c r="Q25" s="555">
        <v>509126.81242819037</v>
      </c>
    </row>
    <row r="26" spans="1:17" ht="11.25" customHeight="1" x14ac:dyDescent="0.2">
      <c r="A26" s="630" t="s">
        <v>1232</v>
      </c>
      <c r="B26" s="626"/>
      <c r="C26" s="629"/>
      <c r="D26" s="623"/>
      <c r="E26" s="624"/>
      <c r="F26" s="624"/>
      <c r="G26" s="622"/>
      <c r="H26" s="624"/>
      <c r="I26" s="625"/>
      <c r="J26" s="622"/>
      <c r="K26" s="626"/>
      <c r="L26" s="627"/>
      <c r="M26" s="296"/>
      <c r="N26" s="724">
        <v>453298</v>
      </c>
      <c r="O26" s="556">
        <v>0</v>
      </c>
      <c r="P26" s="295">
        <v>0</v>
      </c>
      <c r="Q26" s="555">
        <v>0</v>
      </c>
    </row>
    <row r="27" spans="1:17" ht="11.25" customHeight="1" x14ac:dyDescent="0.2">
      <c r="A27" s="630" t="s">
        <v>1233</v>
      </c>
      <c r="B27" s="626"/>
      <c r="C27" s="629"/>
      <c r="D27" s="623"/>
      <c r="E27" s="624"/>
      <c r="F27" s="624"/>
      <c r="G27" s="622"/>
      <c r="H27" s="624"/>
      <c r="I27" s="625"/>
      <c r="J27" s="622"/>
      <c r="K27" s="626"/>
      <c r="L27" s="627"/>
      <c r="M27" s="296"/>
      <c r="N27" s="724">
        <v>2115390</v>
      </c>
      <c r="O27" s="556">
        <v>2077195.14904</v>
      </c>
      <c r="P27" s="295">
        <v>2164437.3452996803</v>
      </c>
      <c r="Q27" s="555">
        <v>2259672.5884928661</v>
      </c>
    </row>
    <row r="28" spans="1:17" ht="11.25" customHeight="1" x14ac:dyDescent="0.2">
      <c r="A28" s="630" t="s">
        <v>1234</v>
      </c>
      <c r="B28" s="626"/>
      <c r="C28" s="629"/>
      <c r="D28" s="623"/>
      <c r="E28" s="624"/>
      <c r="F28" s="624"/>
      <c r="G28" s="622"/>
      <c r="H28" s="624"/>
      <c r="I28" s="625"/>
      <c r="J28" s="622"/>
      <c r="K28" s="626"/>
      <c r="L28" s="627"/>
      <c r="M28" s="296"/>
      <c r="N28" s="724">
        <v>906596</v>
      </c>
      <c r="O28" s="556">
        <v>1957553.1215066665</v>
      </c>
      <c r="P28" s="295">
        <v>2039770.3526099466</v>
      </c>
      <c r="Q28" s="555">
        <v>2129520.2481247843</v>
      </c>
    </row>
    <row r="29" spans="1:17" ht="11.25" customHeight="1" x14ac:dyDescent="0.2">
      <c r="A29" s="630" t="s">
        <v>1235</v>
      </c>
      <c r="B29" s="626"/>
      <c r="C29" s="629"/>
      <c r="D29" s="623"/>
      <c r="E29" s="624"/>
      <c r="F29" s="624"/>
      <c r="G29" s="622"/>
      <c r="H29" s="624"/>
      <c r="I29" s="625"/>
      <c r="J29" s="622"/>
      <c r="K29" s="626"/>
      <c r="L29" s="627"/>
      <c r="M29" s="296"/>
      <c r="N29" s="724">
        <v>906596</v>
      </c>
      <c r="O29" s="556">
        <v>1858402.6537200001</v>
      </c>
      <c r="P29" s="295">
        <v>1936455.5651762402</v>
      </c>
      <c r="Q29" s="555">
        <v>2021659.6100439948</v>
      </c>
    </row>
    <row r="30" spans="1:17" ht="11.25" customHeight="1" x14ac:dyDescent="0.2">
      <c r="A30" s="630" t="s">
        <v>1236</v>
      </c>
      <c r="B30" s="626"/>
      <c r="C30" s="629"/>
      <c r="D30" s="623"/>
      <c r="E30" s="624"/>
      <c r="F30" s="624"/>
      <c r="G30" s="622"/>
      <c r="H30" s="624"/>
      <c r="I30" s="625"/>
      <c r="J30" s="622"/>
      <c r="K30" s="626"/>
      <c r="L30" s="627"/>
      <c r="M30" s="296"/>
      <c r="N30" s="724">
        <v>60440</v>
      </c>
      <c r="O30" s="556">
        <v>110826.66666666666</v>
      </c>
      <c r="P30" s="295">
        <v>115481.38666666666</v>
      </c>
      <c r="Q30" s="555">
        <v>120562.56767999999</v>
      </c>
    </row>
    <row r="31" spans="1:17" ht="11.25" customHeight="1" x14ac:dyDescent="0.2">
      <c r="A31" s="630" t="s">
        <v>1237</v>
      </c>
      <c r="B31" s="626"/>
      <c r="C31" s="629"/>
      <c r="D31" s="623"/>
      <c r="E31" s="624"/>
      <c r="F31" s="624"/>
      <c r="G31" s="622"/>
      <c r="H31" s="624"/>
      <c r="I31" s="625"/>
      <c r="J31" s="622"/>
      <c r="K31" s="626"/>
      <c r="L31" s="627"/>
      <c r="M31" s="296"/>
      <c r="N31" s="724">
        <v>3021986</v>
      </c>
      <c r="O31" s="556">
        <v>789240.64351999993</v>
      </c>
      <c r="P31" s="295">
        <v>801388.75054784003</v>
      </c>
      <c r="Q31" s="555">
        <v>814649.85557194497</v>
      </c>
    </row>
    <row r="32" spans="1:17" ht="11.25" customHeight="1" x14ac:dyDescent="0.2">
      <c r="A32" s="630" t="s">
        <v>1238</v>
      </c>
      <c r="B32" s="626"/>
      <c r="C32" s="629"/>
      <c r="D32" s="623"/>
      <c r="E32" s="624"/>
      <c r="F32" s="624"/>
      <c r="G32" s="622"/>
      <c r="H32" s="624"/>
      <c r="I32" s="625"/>
      <c r="J32" s="622"/>
      <c r="K32" s="626"/>
      <c r="L32" s="627"/>
      <c r="M32" s="296"/>
      <c r="N32" s="724">
        <v>3021986</v>
      </c>
      <c r="O32" s="556">
        <v>10000000.001813333</v>
      </c>
      <c r="P32" s="295">
        <v>3658404.4834894934</v>
      </c>
      <c r="Q32" s="555">
        <v>3819374.280763031</v>
      </c>
    </row>
    <row r="33" spans="1:17" ht="11.25" customHeight="1" x14ac:dyDescent="0.2">
      <c r="A33" s="630" t="s">
        <v>1239</v>
      </c>
      <c r="B33" s="626"/>
      <c r="C33" s="629"/>
      <c r="D33" s="623"/>
      <c r="E33" s="624"/>
      <c r="F33" s="624"/>
      <c r="G33" s="622"/>
      <c r="H33" s="624"/>
      <c r="I33" s="625"/>
      <c r="J33" s="622"/>
      <c r="K33" s="626"/>
      <c r="L33" s="627"/>
      <c r="M33" s="296"/>
      <c r="N33" s="724">
        <v>604397</v>
      </c>
      <c r="O33" s="556">
        <v>0</v>
      </c>
      <c r="P33" s="295">
        <v>0</v>
      </c>
      <c r="Q33" s="555">
        <v>0</v>
      </c>
    </row>
    <row r="34" spans="1:17" ht="11.25" customHeight="1" x14ac:dyDescent="0.2">
      <c r="A34" s="630" t="s">
        <v>1240</v>
      </c>
      <c r="B34" s="626"/>
      <c r="C34" s="629"/>
      <c r="D34" s="623"/>
      <c r="E34" s="624"/>
      <c r="F34" s="624"/>
      <c r="G34" s="622"/>
      <c r="H34" s="624"/>
      <c r="I34" s="625"/>
      <c r="J34" s="622"/>
      <c r="K34" s="626"/>
      <c r="L34" s="627"/>
      <c r="M34" s="296"/>
      <c r="N34" s="724">
        <v>315201</v>
      </c>
      <c r="O34" s="556">
        <v>0</v>
      </c>
      <c r="P34" s="295">
        <v>0</v>
      </c>
      <c r="Q34" s="555">
        <v>0</v>
      </c>
    </row>
    <row r="35" spans="1:17" ht="11.25" customHeight="1" x14ac:dyDescent="0.2">
      <c r="A35" s="630" t="s">
        <v>1241</v>
      </c>
      <c r="B35" s="626"/>
      <c r="C35" s="629"/>
      <c r="D35" s="623"/>
      <c r="E35" s="624"/>
      <c r="F35" s="624"/>
      <c r="G35" s="622"/>
      <c r="H35" s="624"/>
      <c r="I35" s="625"/>
      <c r="J35" s="622"/>
      <c r="K35" s="626"/>
      <c r="L35" s="627"/>
      <c r="M35" s="296"/>
      <c r="N35" s="724">
        <v>11785745</v>
      </c>
      <c r="O35" s="556">
        <v>11133919.13748</v>
      </c>
      <c r="P35" s="295">
        <v>11601543.74125416</v>
      </c>
      <c r="Q35" s="555">
        <v>11612011.665869344</v>
      </c>
    </row>
    <row r="36" spans="1:17" ht="11.25" customHeight="1" x14ac:dyDescent="0.2">
      <c r="A36" s="630" t="s">
        <v>1242</v>
      </c>
      <c r="B36" s="626"/>
      <c r="C36" s="629"/>
      <c r="D36" s="623"/>
      <c r="E36" s="624"/>
      <c r="F36" s="624"/>
      <c r="G36" s="622"/>
      <c r="H36" s="624"/>
      <c r="I36" s="625"/>
      <c r="J36" s="622"/>
      <c r="K36" s="626"/>
      <c r="L36" s="627"/>
      <c r="M36" s="296"/>
      <c r="N36" s="724">
        <v>12087944</v>
      </c>
      <c r="O36" s="556">
        <v>14498158.372239998</v>
      </c>
      <c r="P36" s="295">
        <v>14840788.023874078</v>
      </c>
      <c r="Q36" s="555">
        <v>15271792.588924538</v>
      </c>
    </row>
    <row r="37" spans="1:17" ht="11.25" customHeight="1" x14ac:dyDescent="0.2">
      <c r="A37" s="630" t="s">
        <v>1243</v>
      </c>
      <c r="B37" s="626"/>
      <c r="C37" s="629"/>
      <c r="D37" s="623"/>
      <c r="E37" s="624"/>
      <c r="F37" s="624"/>
      <c r="G37" s="622"/>
      <c r="H37" s="624"/>
      <c r="I37" s="625"/>
      <c r="J37" s="622"/>
      <c r="K37" s="626"/>
      <c r="L37" s="627"/>
      <c r="M37" s="296"/>
      <c r="N37" s="724">
        <v>21071774</v>
      </c>
      <c r="O37" s="556">
        <v>30000000</v>
      </c>
      <c r="P37" s="295">
        <v>0</v>
      </c>
      <c r="Q37" s="555">
        <v>0</v>
      </c>
    </row>
    <row r="38" spans="1:17" ht="11.25" customHeight="1" x14ac:dyDescent="0.2">
      <c r="A38" s="630" t="s">
        <v>1244</v>
      </c>
      <c r="B38" s="626"/>
      <c r="C38" s="629"/>
      <c r="D38" s="623"/>
      <c r="E38" s="624"/>
      <c r="F38" s="624"/>
      <c r="G38" s="622"/>
      <c r="H38" s="624"/>
      <c r="I38" s="625"/>
      <c r="J38" s="622"/>
      <c r="K38" s="626"/>
      <c r="L38" s="627"/>
      <c r="M38" s="296"/>
      <c r="N38" s="724">
        <v>1224638</v>
      </c>
      <c r="O38" s="556">
        <v>1034487.56856</v>
      </c>
      <c r="P38" s="295">
        <v>1035936.0464395201</v>
      </c>
      <c r="Q38" s="555">
        <v>1037517.2324828589</v>
      </c>
    </row>
    <row r="39" spans="1:17" ht="11.25" customHeight="1" x14ac:dyDescent="0.2">
      <c r="A39" s="630" t="s">
        <v>1245</v>
      </c>
      <c r="B39" s="626"/>
      <c r="C39" s="629"/>
      <c r="D39" s="623"/>
      <c r="E39" s="624"/>
      <c r="F39" s="624"/>
      <c r="G39" s="622"/>
      <c r="H39" s="624"/>
      <c r="I39" s="625"/>
      <c r="J39" s="622"/>
      <c r="K39" s="626"/>
      <c r="L39" s="627"/>
      <c r="M39" s="296"/>
      <c r="N39" s="724">
        <v>132361</v>
      </c>
      <c r="O39" s="556">
        <v>515100.1333333333</v>
      </c>
      <c r="P39" s="295">
        <v>515734.33893333335</v>
      </c>
      <c r="Q39" s="555">
        <v>516426.64984640002</v>
      </c>
    </row>
    <row r="40" spans="1:17" ht="11.25" customHeight="1" x14ac:dyDescent="0.2">
      <c r="A40" s="630" t="s">
        <v>1246</v>
      </c>
      <c r="B40" s="626"/>
      <c r="C40" s="629"/>
      <c r="D40" s="623"/>
      <c r="E40" s="624"/>
      <c r="F40" s="624"/>
      <c r="G40" s="622"/>
      <c r="H40" s="624"/>
      <c r="I40" s="625"/>
      <c r="J40" s="622"/>
      <c r="K40" s="626"/>
      <c r="L40" s="627"/>
      <c r="M40" s="296"/>
      <c r="N40" s="724">
        <v>1813192</v>
      </c>
      <c r="O40" s="556">
        <v>0</v>
      </c>
      <c r="P40" s="295">
        <v>0</v>
      </c>
      <c r="Q40" s="555">
        <v>0</v>
      </c>
    </row>
    <row r="41" spans="1:17" ht="11.25" customHeight="1" x14ac:dyDescent="0.2">
      <c r="A41" s="630" t="s">
        <v>1247</v>
      </c>
      <c r="B41" s="626"/>
      <c r="C41" s="629"/>
      <c r="D41" s="623"/>
      <c r="E41" s="624"/>
      <c r="F41" s="624"/>
      <c r="G41" s="622"/>
      <c r="H41" s="624"/>
      <c r="I41" s="625"/>
      <c r="J41" s="622"/>
      <c r="K41" s="626"/>
      <c r="L41" s="627"/>
      <c r="M41" s="296"/>
      <c r="N41" s="724">
        <v>1338543</v>
      </c>
      <c r="O41" s="556">
        <v>2718850.1103600003</v>
      </c>
      <c r="P41" s="295">
        <v>2770041.8149951203</v>
      </c>
      <c r="Q41" s="555">
        <v>2825923.6548549053</v>
      </c>
    </row>
    <row r="42" spans="1:17" ht="11.25" customHeight="1" x14ac:dyDescent="0.2">
      <c r="A42" s="630" t="s">
        <v>1248</v>
      </c>
      <c r="B42" s="626"/>
      <c r="C42" s="629"/>
      <c r="D42" s="623"/>
      <c r="E42" s="624"/>
      <c r="F42" s="624"/>
      <c r="G42" s="622"/>
      <c r="H42" s="624"/>
      <c r="I42" s="625"/>
      <c r="J42" s="622"/>
      <c r="K42" s="626"/>
      <c r="L42" s="627"/>
      <c r="M42" s="296"/>
      <c r="N42" s="724"/>
      <c r="O42" s="556">
        <v>239593.4</v>
      </c>
      <c r="P42" s="295">
        <v>249656.32279999999</v>
      </c>
      <c r="Q42" s="555">
        <v>260641.2010032</v>
      </c>
    </row>
    <row r="43" spans="1:17" ht="11.25" customHeight="1" x14ac:dyDescent="0.2">
      <c r="A43" s="630" t="s">
        <v>1249</v>
      </c>
      <c r="B43" s="626"/>
      <c r="C43" s="629"/>
      <c r="D43" s="623"/>
      <c r="E43" s="624"/>
      <c r="F43" s="624"/>
      <c r="G43" s="622"/>
      <c r="H43" s="624"/>
      <c r="I43" s="625"/>
      <c r="J43" s="622"/>
      <c r="K43" s="626"/>
      <c r="L43" s="627"/>
      <c r="M43" s="296"/>
      <c r="N43" s="724"/>
      <c r="O43" s="556">
        <v>5000000</v>
      </c>
      <c r="P43" s="295">
        <v>0</v>
      </c>
      <c r="Q43" s="555">
        <v>0</v>
      </c>
    </row>
    <row r="44" spans="1:17" ht="11.25" customHeight="1" x14ac:dyDescent="0.2">
      <c r="A44" s="630" t="s">
        <v>1250</v>
      </c>
      <c r="B44" s="626"/>
      <c r="C44" s="629"/>
      <c r="D44" s="623"/>
      <c r="E44" s="624"/>
      <c r="F44" s="624"/>
      <c r="G44" s="622"/>
      <c r="H44" s="624"/>
      <c r="I44" s="625"/>
      <c r="J44" s="622"/>
      <c r="K44" s="626"/>
      <c r="L44" s="627"/>
      <c r="M44" s="296"/>
      <c r="N44" s="724"/>
      <c r="O44" s="556">
        <v>8000000</v>
      </c>
      <c r="P44" s="295">
        <v>0</v>
      </c>
      <c r="Q44" s="555">
        <v>0</v>
      </c>
    </row>
    <row r="45" spans="1:17" ht="11.25" customHeight="1" x14ac:dyDescent="0.2">
      <c r="A45" s="630" t="s">
        <v>1251</v>
      </c>
      <c r="B45" s="626"/>
      <c r="C45" s="629"/>
      <c r="D45" s="623"/>
      <c r="E45" s="624"/>
      <c r="F45" s="624"/>
      <c r="G45" s="622"/>
      <c r="H45" s="624"/>
      <c r="I45" s="625"/>
      <c r="J45" s="622"/>
      <c r="K45" s="626"/>
      <c r="L45" s="627"/>
      <c r="M45" s="296"/>
      <c r="N45" s="724"/>
      <c r="O45" s="556">
        <v>10000000</v>
      </c>
      <c r="P45" s="295">
        <v>13000000</v>
      </c>
      <c r="Q45" s="555">
        <v>0</v>
      </c>
    </row>
    <row r="46" spans="1:17" ht="11.25" customHeight="1" x14ac:dyDescent="0.2">
      <c r="A46" s="630" t="s">
        <v>1252</v>
      </c>
      <c r="B46" s="626"/>
      <c r="C46" s="629"/>
      <c r="D46" s="623"/>
      <c r="E46" s="624"/>
      <c r="F46" s="624"/>
      <c r="G46" s="622"/>
      <c r="H46" s="624"/>
      <c r="I46" s="625"/>
      <c r="J46" s="622"/>
      <c r="K46" s="626"/>
      <c r="L46" s="627"/>
      <c r="M46" s="296"/>
      <c r="N46" s="724"/>
      <c r="O46" s="556">
        <v>10000000</v>
      </c>
      <c r="P46" s="295">
        <v>6000000</v>
      </c>
      <c r="Q46" s="555">
        <v>3000000</v>
      </c>
    </row>
    <row r="47" spans="1:17" ht="11.25" customHeight="1" x14ac:dyDescent="0.2">
      <c r="A47" s="630" t="s">
        <v>1253</v>
      </c>
      <c r="B47" s="626"/>
      <c r="C47" s="629"/>
      <c r="D47" s="623"/>
      <c r="E47" s="624"/>
      <c r="F47" s="624"/>
      <c r="G47" s="622"/>
      <c r="H47" s="624"/>
      <c r="I47" s="625"/>
      <c r="J47" s="622"/>
      <c r="K47" s="626"/>
      <c r="L47" s="627"/>
      <c r="M47" s="296"/>
      <c r="N47" s="724"/>
      <c r="O47" s="556">
        <v>13000000</v>
      </c>
      <c r="P47" s="295">
        <v>9000000</v>
      </c>
      <c r="Q47" s="555">
        <v>0</v>
      </c>
    </row>
    <row r="48" spans="1:17" ht="11.25" customHeight="1" x14ac:dyDescent="0.2">
      <c r="A48" s="630" t="s">
        <v>1254</v>
      </c>
      <c r="B48" s="626"/>
      <c r="C48" s="629"/>
      <c r="D48" s="623"/>
      <c r="E48" s="624"/>
      <c r="F48" s="624"/>
      <c r="G48" s="622"/>
      <c r="H48" s="624"/>
      <c r="I48" s="625"/>
      <c r="J48" s="622"/>
      <c r="K48" s="626"/>
      <c r="L48" s="627"/>
      <c r="M48" s="296"/>
      <c r="N48" s="724"/>
      <c r="O48" s="556">
        <v>8000000</v>
      </c>
      <c r="P48" s="295">
        <v>0</v>
      </c>
      <c r="Q48" s="555">
        <v>0</v>
      </c>
    </row>
    <row r="49" spans="1:17" ht="11.25" hidden="1" customHeight="1" x14ac:dyDescent="0.2">
      <c r="A49" s="621"/>
      <c r="B49" s="626"/>
      <c r="C49" s="629"/>
      <c r="D49" s="623"/>
      <c r="E49" s="624"/>
      <c r="F49" s="624"/>
      <c r="G49" s="622"/>
      <c r="H49" s="624"/>
      <c r="I49" s="625"/>
      <c r="J49" s="622"/>
      <c r="K49" s="626"/>
      <c r="L49" s="627"/>
      <c r="M49" s="296"/>
      <c r="N49" s="724"/>
      <c r="O49" s="556"/>
      <c r="P49" s="295"/>
      <c r="Q49" s="555"/>
    </row>
    <row r="50" spans="1:17" ht="11.25" hidden="1" customHeight="1" x14ac:dyDescent="0.2">
      <c r="A50" s="621"/>
      <c r="B50" s="626"/>
      <c r="C50" s="629"/>
      <c r="D50" s="623"/>
      <c r="E50" s="624"/>
      <c r="F50" s="624"/>
      <c r="G50" s="622"/>
      <c r="H50" s="624"/>
      <c r="I50" s="625"/>
      <c r="J50" s="622"/>
      <c r="K50" s="626"/>
      <c r="L50" s="627"/>
      <c r="M50" s="296"/>
      <c r="N50" s="724"/>
      <c r="O50" s="556"/>
      <c r="P50" s="295"/>
      <c r="Q50" s="555"/>
    </row>
    <row r="51" spans="1:17" ht="11.25" hidden="1" customHeight="1" x14ac:dyDescent="0.2">
      <c r="A51" s="628"/>
      <c r="B51" s="626"/>
      <c r="C51" s="629"/>
      <c r="D51" s="623"/>
      <c r="E51" s="624"/>
      <c r="F51" s="624"/>
      <c r="G51" s="622"/>
      <c r="H51" s="624"/>
      <c r="I51" s="625"/>
      <c r="J51" s="622"/>
      <c r="K51" s="626"/>
      <c r="L51" s="627"/>
      <c r="M51" s="296"/>
      <c r="N51" s="724"/>
      <c r="O51" s="556"/>
      <c r="P51" s="295"/>
      <c r="Q51" s="555"/>
    </row>
    <row r="52" spans="1:17" ht="11.25" hidden="1" customHeight="1" x14ac:dyDescent="0.2">
      <c r="A52" s="628"/>
      <c r="B52" s="626"/>
      <c r="C52" s="629"/>
      <c r="D52" s="623"/>
      <c r="E52" s="624"/>
      <c r="F52" s="624"/>
      <c r="G52" s="622"/>
      <c r="H52" s="624"/>
      <c r="I52" s="625"/>
      <c r="J52" s="622"/>
      <c r="K52" s="626"/>
      <c r="L52" s="627"/>
      <c r="M52" s="296"/>
      <c r="N52" s="724"/>
      <c r="O52" s="556"/>
      <c r="P52" s="295"/>
      <c r="Q52" s="555"/>
    </row>
    <row r="53" spans="1:17" ht="11.25" hidden="1" customHeight="1" x14ac:dyDescent="0.2">
      <c r="A53" s="628"/>
      <c r="B53" s="626"/>
      <c r="C53" s="631"/>
      <c r="D53" s="623"/>
      <c r="E53" s="624"/>
      <c r="F53" s="624"/>
      <c r="G53" s="622"/>
      <c r="H53" s="624"/>
      <c r="I53" s="625"/>
      <c r="J53" s="622"/>
      <c r="K53" s="626"/>
      <c r="L53" s="627"/>
      <c r="M53" s="296"/>
      <c r="N53" s="724"/>
      <c r="O53" s="556"/>
      <c r="P53" s="295"/>
      <c r="Q53" s="555"/>
    </row>
    <row r="54" spans="1:17" ht="11.25" hidden="1" customHeight="1" x14ac:dyDescent="0.2">
      <c r="A54" s="628"/>
      <c r="B54" s="626"/>
      <c r="C54" s="629"/>
      <c r="D54" s="623"/>
      <c r="E54" s="624"/>
      <c r="F54" s="624"/>
      <c r="G54" s="622"/>
      <c r="H54" s="624"/>
      <c r="I54" s="625"/>
      <c r="J54" s="622"/>
      <c r="K54" s="626"/>
      <c r="L54" s="627"/>
      <c r="M54" s="296"/>
      <c r="N54" s="724"/>
      <c r="O54" s="556"/>
      <c r="P54" s="295"/>
      <c r="Q54" s="555"/>
    </row>
    <row r="55" spans="1:17" ht="11.25" hidden="1" customHeight="1" x14ac:dyDescent="0.2">
      <c r="A55" s="628"/>
      <c r="B55" s="626"/>
      <c r="C55" s="629"/>
      <c r="D55" s="623"/>
      <c r="E55" s="624"/>
      <c r="F55" s="624"/>
      <c r="G55" s="622"/>
      <c r="H55" s="624"/>
      <c r="I55" s="625"/>
      <c r="J55" s="622"/>
      <c r="K55" s="626"/>
      <c r="L55" s="627"/>
      <c r="M55" s="296"/>
      <c r="N55" s="724"/>
      <c r="O55" s="556"/>
      <c r="P55" s="295"/>
      <c r="Q55" s="555"/>
    </row>
    <row r="56" spans="1:17" ht="11.25" hidden="1" customHeight="1" x14ac:dyDescent="0.2">
      <c r="A56" s="628"/>
      <c r="B56" s="626"/>
      <c r="C56" s="631"/>
      <c r="D56" s="623"/>
      <c r="E56" s="624"/>
      <c r="F56" s="624"/>
      <c r="G56" s="622"/>
      <c r="H56" s="624"/>
      <c r="I56" s="625"/>
      <c r="J56" s="622"/>
      <c r="K56" s="626"/>
      <c r="L56" s="627"/>
      <c r="M56" s="296"/>
      <c r="N56" s="724"/>
      <c r="O56" s="556"/>
      <c r="P56" s="295"/>
      <c r="Q56" s="555"/>
    </row>
    <row r="57" spans="1:17" ht="11.25" hidden="1" customHeight="1" x14ac:dyDescent="0.2">
      <c r="A57" s="628"/>
      <c r="B57" s="626"/>
      <c r="C57" s="631"/>
      <c r="D57" s="623"/>
      <c r="E57" s="624"/>
      <c r="F57" s="624"/>
      <c r="G57" s="622"/>
      <c r="H57" s="624"/>
      <c r="I57" s="625"/>
      <c r="J57" s="622"/>
      <c r="K57" s="626"/>
      <c r="L57" s="627"/>
      <c r="M57" s="296"/>
      <c r="N57" s="724"/>
      <c r="O57" s="556"/>
      <c r="P57" s="295"/>
      <c r="Q57" s="555"/>
    </row>
    <row r="58" spans="1:17" ht="11.25" hidden="1" customHeight="1" x14ac:dyDescent="0.2">
      <c r="A58" s="630"/>
      <c r="B58" s="626"/>
      <c r="C58" s="631"/>
      <c r="D58" s="623"/>
      <c r="E58" s="624"/>
      <c r="F58" s="624"/>
      <c r="G58" s="622"/>
      <c r="H58" s="624"/>
      <c r="I58" s="625"/>
      <c r="J58" s="622"/>
      <c r="K58" s="626"/>
      <c r="L58" s="627"/>
      <c r="M58" s="296"/>
      <c r="N58" s="724"/>
      <c r="O58" s="556"/>
      <c r="P58" s="295"/>
      <c r="Q58" s="555"/>
    </row>
    <row r="59" spans="1:17" x14ac:dyDescent="0.2">
      <c r="A59" s="728" t="s">
        <v>1002</v>
      </c>
      <c r="B59" s="729"/>
      <c r="C59" s="730"/>
      <c r="D59" s="730"/>
      <c r="E59" s="730"/>
      <c r="F59" s="730"/>
      <c r="G59" s="730"/>
      <c r="H59" s="730"/>
      <c r="I59" s="730"/>
      <c r="J59" s="730"/>
      <c r="K59" s="730"/>
      <c r="L59" s="731"/>
      <c r="M59" s="732">
        <f>SUM(M51:M58)</f>
        <v>0</v>
      </c>
      <c r="N59" s="733">
        <f>SUM(N7:N58)</f>
        <v>178305944</v>
      </c>
      <c r="O59" s="304">
        <f t="shared" ref="O59:Q59" si="0">SUM(O7:O58)</f>
        <v>217751825.9632867</v>
      </c>
      <c r="P59" s="304">
        <f t="shared" si="0"/>
        <v>143462010.80420658</v>
      </c>
      <c r="Q59" s="304">
        <f t="shared" si="0"/>
        <v>126391958.95704554</v>
      </c>
    </row>
    <row r="60" spans="1:17" x14ac:dyDescent="0.2">
      <c r="A60" s="136" t="s">
        <v>398</v>
      </c>
    </row>
    <row r="61" spans="1:17" x14ac:dyDescent="0.2">
      <c r="A61" s="136" t="s">
        <v>399</v>
      </c>
    </row>
    <row r="62" spans="1:17" x14ac:dyDescent="0.2">
      <c r="A62" s="136" t="s">
        <v>222</v>
      </c>
    </row>
    <row r="63" spans="1:17" ht="13.8" x14ac:dyDescent="0.3">
      <c r="A63" s="57"/>
    </row>
    <row r="64" spans="1:17" ht="13.8" x14ac:dyDescent="0.3">
      <c r="A64" s="57"/>
    </row>
    <row r="65" spans="1:15" ht="13.8" x14ac:dyDescent="0.3">
      <c r="A65" s="57"/>
    </row>
    <row r="66" spans="1:15" ht="13.8" x14ac:dyDescent="0.3">
      <c r="A66" s="57"/>
    </row>
    <row r="67" spans="1:15" ht="13.8" x14ac:dyDescent="0.3">
      <c r="A67" s="57"/>
    </row>
    <row r="68" spans="1:15" ht="13.8" x14ac:dyDescent="0.3">
      <c r="A68" s="57"/>
    </row>
    <row r="69" spans="1:15" ht="13.8" x14ac:dyDescent="0.3">
      <c r="A69" s="57"/>
    </row>
    <row r="70" spans="1:15" ht="13.8" x14ac:dyDescent="0.3">
      <c r="A70" s="57"/>
    </row>
    <row r="71" spans="1:15" ht="13.8" x14ac:dyDescent="0.3">
      <c r="A71" s="57"/>
    </row>
    <row r="72" spans="1:15" ht="13.8" x14ac:dyDescent="0.3">
      <c r="A72" s="57"/>
    </row>
    <row r="73" spans="1:15" ht="13.8" x14ac:dyDescent="0.3">
      <c r="A73" s="57"/>
    </row>
    <row r="74" spans="1:15" ht="13.8" x14ac:dyDescent="0.3">
      <c r="A74" s="57"/>
    </row>
    <row r="75" spans="1:15" ht="12.75" customHeight="1" x14ac:dyDescent="0.2">
      <c r="B75" s="86"/>
      <c r="C75" s="86"/>
      <c r="D75" s="86"/>
      <c r="E75" s="86"/>
      <c r="F75" s="86"/>
      <c r="G75" s="86"/>
      <c r="H75" s="86"/>
      <c r="I75" s="86"/>
      <c r="J75" s="86"/>
      <c r="K75" s="86"/>
      <c r="L75" s="86"/>
      <c r="M75" s="86"/>
      <c r="N75" s="86"/>
      <c r="O75" s="86"/>
    </row>
    <row r="76" spans="1:15" ht="12.75" customHeight="1" x14ac:dyDescent="0.2">
      <c r="B76" s="86"/>
      <c r="C76" s="86"/>
      <c r="D76" s="86"/>
      <c r="E76" s="86"/>
      <c r="F76" s="86"/>
      <c r="G76" s="86"/>
      <c r="H76" s="86"/>
      <c r="I76" s="86"/>
      <c r="J76" s="86"/>
      <c r="K76" s="86"/>
      <c r="L76" s="86"/>
      <c r="M76" s="86"/>
      <c r="N76" s="86"/>
      <c r="O76" s="86"/>
    </row>
    <row r="77" spans="1:15" ht="12.75" customHeight="1" x14ac:dyDescent="0.2">
      <c r="B77" s="86"/>
      <c r="C77" s="86"/>
      <c r="D77" s="86"/>
      <c r="E77" s="86"/>
      <c r="F77" s="86"/>
      <c r="G77" s="86"/>
      <c r="H77" s="86"/>
      <c r="I77" s="86"/>
      <c r="J77" s="86"/>
      <c r="K77" s="86"/>
      <c r="L77" s="86"/>
      <c r="M77" s="86"/>
      <c r="N77" s="86"/>
      <c r="O77" s="86"/>
    </row>
    <row r="78" spans="1:15" ht="12.75" customHeight="1" x14ac:dyDescent="0.2">
      <c r="B78" s="86"/>
      <c r="C78" s="86"/>
      <c r="D78" s="86"/>
      <c r="E78" s="86"/>
      <c r="F78" s="86"/>
      <c r="G78" s="86"/>
      <c r="H78" s="86"/>
      <c r="I78" s="86"/>
      <c r="J78" s="86"/>
      <c r="K78" s="86"/>
      <c r="L78" s="86"/>
      <c r="M78" s="86"/>
      <c r="N78" s="86"/>
      <c r="O78" s="86"/>
    </row>
    <row r="79" spans="1:15" ht="11.25" customHeight="1" x14ac:dyDescent="0.2">
      <c r="B79" s="59"/>
    </row>
    <row r="80" spans="1:15" x14ac:dyDescent="0.2">
      <c r="B80" s="59"/>
    </row>
    <row r="81" spans="2:2" ht="11.25" customHeight="1" x14ac:dyDescent="0.2">
      <c r="B81" s="59"/>
    </row>
    <row r="82" spans="2:2" ht="11.25" customHeight="1" x14ac:dyDescent="0.2">
      <c r="B82" s="59"/>
    </row>
    <row r="83" spans="2:2" ht="11.25" customHeight="1" x14ac:dyDescent="0.2">
      <c r="B83" s="59"/>
    </row>
    <row r="84" spans="2:2" ht="11.25" customHeight="1" x14ac:dyDescent="0.2">
      <c r="B84" s="59"/>
    </row>
    <row r="85" spans="2:2" ht="11.25" customHeight="1" x14ac:dyDescent="0.2">
      <c r="B85" s="59"/>
    </row>
    <row r="86" spans="2:2" ht="11.25" customHeight="1" x14ac:dyDescent="0.2">
      <c r="B86" s="59"/>
    </row>
    <row r="87" spans="2:2" ht="11.25" customHeight="1" x14ac:dyDescent="0.2">
      <c r="B87" s="59"/>
    </row>
    <row r="88" spans="2:2" ht="11.25" customHeight="1" x14ac:dyDescent="0.2">
      <c r="B88" s="59"/>
    </row>
    <row r="89" spans="2:2" ht="11.25" customHeight="1" x14ac:dyDescent="0.2">
      <c r="B89" s="59"/>
    </row>
    <row r="90" spans="2:2" ht="11.25" customHeight="1" x14ac:dyDescent="0.2">
      <c r="B90" s="59"/>
    </row>
    <row r="91" spans="2:2" ht="11.25" customHeight="1" x14ac:dyDescent="0.2">
      <c r="B91" s="59"/>
    </row>
    <row r="92" spans="2:2" ht="11.25" customHeight="1" x14ac:dyDescent="0.2">
      <c r="B92" s="59"/>
    </row>
    <row r="93" spans="2:2" ht="11.25" customHeight="1" x14ac:dyDescent="0.2">
      <c r="B93" s="59"/>
    </row>
    <row r="94" spans="2:2" ht="11.25" customHeight="1" x14ac:dyDescent="0.2">
      <c r="B94" s="59"/>
    </row>
    <row r="95" spans="2:2" ht="11.25" customHeight="1" x14ac:dyDescent="0.2">
      <c r="B95" s="59"/>
    </row>
    <row r="96" spans="2:2" ht="11.25" customHeight="1" x14ac:dyDescent="0.2">
      <c r="B96" s="59"/>
    </row>
    <row r="97" spans="2:2" ht="11.25" customHeight="1" x14ac:dyDescent="0.2">
      <c r="B97" s="59"/>
    </row>
    <row r="98" spans="2:2" ht="11.25" customHeight="1" x14ac:dyDescent="0.2">
      <c r="B98" s="59"/>
    </row>
    <row r="99" spans="2:2" ht="11.25" customHeight="1" x14ac:dyDescent="0.2">
      <c r="B99" s="59"/>
    </row>
    <row r="100" spans="2:2" ht="11.25" customHeight="1" x14ac:dyDescent="0.2">
      <c r="B100" s="59"/>
    </row>
    <row r="101" spans="2:2" ht="11.25" customHeight="1" x14ac:dyDescent="0.2">
      <c r="B101" s="59"/>
    </row>
    <row r="102" spans="2:2" ht="11.25" customHeight="1" x14ac:dyDescent="0.2">
      <c r="B102" s="59"/>
    </row>
    <row r="103" spans="2:2" ht="11.25" customHeight="1" x14ac:dyDescent="0.2">
      <c r="B103" s="59"/>
    </row>
    <row r="104" spans="2:2" x14ac:dyDescent="0.2">
      <c r="B104" s="59"/>
    </row>
    <row r="105" spans="2:2" x14ac:dyDescent="0.2">
      <c r="B105" s="59"/>
    </row>
    <row r="106" spans="2:2" ht="11.25" customHeight="1" x14ac:dyDescent="0.2">
      <c r="B106" s="59"/>
    </row>
    <row r="107" spans="2:2" ht="22.5" customHeight="1" x14ac:dyDescent="0.2">
      <c r="B107" s="59"/>
    </row>
    <row r="108" spans="2:2" x14ac:dyDescent="0.2">
      <c r="B108" s="59"/>
    </row>
    <row r="109" spans="2:2" x14ac:dyDescent="0.2">
      <c r="B109" s="59"/>
    </row>
    <row r="110" spans="2:2" ht="11.25" customHeight="1" x14ac:dyDescent="0.2">
      <c r="B110" s="59"/>
    </row>
    <row r="111" spans="2:2" ht="11.25" customHeight="1" x14ac:dyDescent="0.2">
      <c r="B111" s="59"/>
    </row>
    <row r="112" spans="2:2" ht="11.25" customHeight="1" x14ac:dyDescent="0.2">
      <c r="B112" s="59"/>
    </row>
    <row r="113" spans="2:2" ht="11.25" customHeight="1" x14ac:dyDescent="0.2">
      <c r="B113" s="59"/>
    </row>
    <row r="114" spans="2:2" ht="11.25" customHeight="1" x14ac:dyDescent="0.2">
      <c r="B114" s="59"/>
    </row>
    <row r="115" spans="2:2" ht="11.25" customHeight="1" x14ac:dyDescent="0.2">
      <c r="B115" s="59"/>
    </row>
    <row r="116" spans="2:2" ht="11.25" customHeight="1" x14ac:dyDescent="0.2">
      <c r="B116" s="59"/>
    </row>
    <row r="117" spans="2:2" ht="11.25" customHeight="1" x14ac:dyDescent="0.2">
      <c r="B117" s="59"/>
    </row>
    <row r="118" spans="2:2" ht="11.25" customHeight="1" x14ac:dyDescent="0.2">
      <c r="B118" s="59"/>
    </row>
    <row r="119" spans="2:2" ht="11.25" customHeight="1" x14ac:dyDescent="0.2">
      <c r="B119" s="59"/>
    </row>
    <row r="120" spans="2:2" ht="11.25" customHeight="1" x14ac:dyDescent="0.2">
      <c r="B120" s="59"/>
    </row>
    <row r="121" spans="2:2" ht="11.25" customHeight="1" x14ac:dyDescent="0.2">
      <c r="B121" s="59"/>
    </row>
    <row r="122" spans="2:2" ht="11.25" customHeight="1" x14ac:dyDescent="0.2">
      <c r="B122" s="59"/>
    </row>
    <row r="123" spans="2:2" ht="11.25" customHeight="1" x14ac:dyDescent="0.2">
      <c r="B123" s="59"/>
    </row>
    <row r="124" spans="2:2" ht="11.25" customHeight="1" x14ac:dyDescent="0.2">
      <c r="B124" s="59"/>
    </row>
    <row r="125" spans="2:2" ht="11.25" customHeight="1" x14ac:dyDescent="0.2">
      <c r="B125" s="59"/>
    </row>
    <row r="126" spans="2:2" ht="11.25" customHeight="1" x14ac:dyDescent="0.2">
      <c r="B126" s="59"/>
    </row>
    <row r="127" spans="2:2" ht="11.25" customHeight="1" x14ac:dyDescent="0.2">
      <c r="B127" s="59"/>
    </row>
    <row r="128" spans="2:2" ht="11.25" customHeight="1" x14ac:dyDescent="0.2">
      <c r="B128" s="59"/>
    </row>
    <row r="129" spans="2:2" ht="11.25" customHeight="1" x14ac:dyDescent="0.2">
      <c r="B129" s="59"/>
    </row>
    <row r="130" spans="2:2" ht="11.25" customHeight="1" x14ac:dyDescent="0.2">
      <c r="B130" s="59"/>
    </row>
    <row r="131" spans="2:2" ht="11.25" customHeight="1" x14ac:dyDescent="0.2">
      <c r="B131" s="59"/>
    </row>
    <row r="132" spans="2:2" ht="11.25" customHeight="1" x14ac:dyDescent="0.2">
      <c r="B132" s="59"/>
    </row>
    <row r="133" spans="2:2" ht="11.25" customHeight="1" x14ac:dyDescent="0.2">
      <c r="B133" s="59"/>
    </row>
    <row r="134" spans="2:2" ht="11.25" customHeight="1" x14ac:dyDescent="0.2">
      <c r="B134" s="59"/>
    </row>
    <row r="135" spans="2:2" ht="11.25" customHeight="1" x14ac:dyDescent="0.2">
      <c r="B135" s="59"/>
    </row>
    <row r="136" spans="2:2" ht="11.25" customHeight="1" x14ac:dyDescent="0.2">
      <c r="B136" s="59"/>
    </row>
    <row r="137" spans="2:2" ht="11.25" customHeight="1" x14ac:dyDescent="0.2">
      <c r="B137" s="59"/>
    </row>
    <row r="138" spans="2:2" ht="11.25" customHeight="1" x14ac:dyDescent="0.2">
      <c r="B138" s="59"/>
    </row>
    <row r="139" spans="2:2" ht="11.25" customHeight="1" x14ac:dyDescent="0.2">
      <c r="B139" s="59"/>
    </row>
    <row r="140" spans="2:2" ht="11.25" customHeight="1" x14ac:dyDescent="0.2">
      <c r="B140" s="59"/>
    </row>
    <row r="141" spans="2:2" ht="11.25" customHeight="1" x14ac:dyDescent="0.2">
      <c r="B141" s="59"/>
    </row>
    <row r="142" spans="2:2" ht="11.25" customHeight="1" x14ac:dyDescent="0.2">
      <c r="B142" s="59"/>
    </row>
    <row r="143" spans="2:2" ht="11.25" customHeight="1" x14ac:dyDescent="0.2">
      <c r="B143" s="59"/>
    </row>
    <row r="144" spans="2:2" ht="11.25" customHeight="1" x14ac:dyDescent="0.2">
      <c r="B144" s="59"/>
    </row>
    <row r="145" spans="2:2" ht="11.25" customHeight="1" x14ac:dyDescent="0.2">
      <c r="B145" s="59"/>
    </row>
    <row r="146" spans="2:2" ht="11.25" customHeight="1" x14ac:dyDescent="0.2">
      <c r="B146" s="59"/>
    </row>
    <row r="147" spans="2:2" x14ac:dyDescent="0.2">
      <c r="B147" s="59"/>
    </row>
    <row r="148" spans="2:2" x14ac:dyDescent="0.2">
      <c r="B148" s="59"/>
    </row>
    <row r="149" spans="2:2" x14ac:dyDescent="0.2">
      <c r="B149" s="59"/>
    </row>
    <row r="150" spans="2:2" x14ac:dyDescent="0.2">
      <c r="B150" s="59"/>
    </row>
    <row r="151" spans="2:2" x14ac:dyDescent="0.2">
      <c r="B151" s="59"/>
    </row>
    <row r="152" spans="2:2" x14ac:dyDescent="0.2">
      <c r="B152" s="59"/>
    </row>
    <row r="153" spans="2:2" x14ac:dyDescent="0.2">
      <c r="B153" s="59"/>
    </row>
    <row r="154" spans="2:2" x14ac:dyDescent="0.2">
      <c r="B154" s="59"/>
    </row>
    <row r="155" spans="2:2" x14ac:dyDescent="0.2">
      <c r="B155" s="59"/>
    </row>
    <row r="156" spans="2:2" x14ac:dyDescent="0.2">
      <c r="B156" s="59"/>
    </row>
    <row r="157" spans="2:2" x14ac:dyDescent="0.2">
      <c r="B157" s="59"/>
    </row>
    <row r="158" spans="2:2" x14ac:dyDescent="0.2">
      <c r="B158" s="59"/>
    </row>
    <row r="159" spans="2:2" x14ac:dyDescent="0.2">
      <c r="B159" s="59"/>
    </row>
    <row r="160" spans="2:2" x14ac:dyDescent="0.2">
      <c r="B160" s="59"/>
    </row>
    <row r="161" spans="2:2" x14ac:dyDescent="0.2">
      <c r="B161" s="59"/>
    </row>
    <row r="162" spans="2:2" x14ac:dyDescent="0.2">
      <c r="B162" s="59"/>
    </row>
    <row r="163" spans="2:2" x14ac:dyDescent="0.2">
      <c r="B163" s="59"/>
    </row>
    <row r="164" spans="2:2" x14ac:dyDescent="0.2">
      <c r="B164" s="59"/>
    </row>
    <row r="165" spans="2:2" x14ac:dyDescent="0.2">
      <c r="B165" s="59"/>
    </row>
    <row r="166" spans="2:2" x14ac:dyDescent="0.2">
      <c r="B166" s="59"/>
    </row>
    <row r="167" spans="2:2" x14ac:dyDescent="0.2">
      <c r="B167" s="59"/>
    </row>
    <row r="168" spans="2:2" x14ac:dyDescent="0.2">
      <c r="B168" s="59"/>
    </row>
    <row r="169" spans="2:2" x14ac:dyDescent="0.2">
      <c r="B169" s="59"/>
    </row>
  </sheetData>
  <mergeCells count="2">
    <mergeCell ref="M2:N2"/>
    <mergeCell ref="O2:Q2"/>
  </mergeCells>
  <phoneticPr fontId="2" type="noConversion"/>
  <dataValidations count="5">
    <dataValidation type="list" allowBlank="1" showInputMessage="1" showErrorMessage="1" promptTitle="Select MTSF Service Outcome" prompt="Select MTSF from list" sqref="SW7:SW58 ACS7:ACS58 AMO7:AMO58 AWK7:AWK58 BGG7:BGG58 BQC7:BQC58 BZY7:BZY58 CJU7:CJU58 CTQ7:CTQ58 DDM7:DDM58 DNI7:DNI58 DXE7:DXE58 EHA7:EHA58 EQW7:EQW58 FAS7:FAS58 FKO7:FKO58 FUK7:FUK58 GEG7:GEG58 GOC7:GOC58 GXY7:GXY58 HHU7:HHU58 HRQ7:HRQ58 IBM7:IBM58 ILI7:ILI58 IVE7:IVE58 JFA7:JFA58 JOW7:JOW58 JYS7:JYS58 KIO7:KIO58 KSK7:KSK58 LCG7:LCG58 LMC7:LMC58 LVY7:LVY58 MFU7:MFU58 MPQ7:MPQ58 MZM7:MZM58 NJI7:NJI58 NTE7:NTE58 ODA7:ODA58 OMW7:OMW58 OWS7:OWS58 PGO7:PGO58 PQK7:PQK58 QAG7:QAG58 QKC7:QKC58 QTY7:QTY58 RDU7:RDU58 RNQ7:RNQ58 RXM7:RXM58 SHI7:SHI58 SRE7:SRE58 TBA7:TBA58 TKW7:TKW58 TUS7:TUS58 UEO7:UEO58 UOK7:UOK58 UYG7:UYG58 VIC7:VIC58 VRY7:VRY58 WBU7:WBU58 WLQ7:WLQ58 WVM7:WVM58 E7:E58 JA7:JA58" xr:uid="{00000000-0002-0000-1600-000000000000}">
      <formula1>MTSF</formula1>
    </dataValidation>
    <dataValidation type="list" allowBlank="1" showInputMessage="1" showErrorMessage="1" promptTitle="Select IUDF" prompt="Select IUDF from list" sqref="SX7:SX58 ACT7:ACT58 AMP7:AMP58 AWL7:AWL58 BGH7:BGH58 BQD7:BQD58 BZZ7:BZZ58 CJV7:CJV58 CTR7:CTR58 DDN7:DDN58 DNJ7:DNJ58 DXF7:DXF58 EHB7:EHB58 EQX7:EQX58 FAT7:FAT58 FKP7:FKP58 FUL7:FUL58 GEH7:GEH58 GOD7:GOD58 GXZ7:GXZ58 HHV7:HHV58 HRR7:HRR58 IBN7:IBN58 ILJ7:ILJ58 IVF7:IVF58 JFB7:JFB58 JOX7:JOX58 JYT7:JYT58 KIP7:KIP58 KSL7:KSL58 LCH7:LCH58 LMD7:LMD58 LVZ7:LVZ58 MFV7:MFV58 MPR7:MPR58 MZN7:MZN58 NJJ7:NJJ58 NTF7:NTF58 ODB7:ODB58 OMX7:OMX58 OWT7:OWT58 PGP7:PGP58 PQL7:PQL58 QAH7:QAH58 QKD7:QKD58 QTZ7:QTZ58 RDV7:RDV58 RNR7:RNR58 RXN7:RXN58 SHJ7:SHJ58 SRF7:SRF58 TBB7:TBB58 TKX7:TKX58 TUT7:TUT58 UEP7:UEP58 UOL7:UOL58 UYH7:UYH58 VID7:VID58 VRZ7:VRZ58 WBV7:WBV58 WLR7:WLR58 WVN7:WVN58 F7:F58 JB7:JB58" xr:uid="{00000000-0002-0000-1600-000001000000}">
      <formula1>IUDF</formula1>
    </dataValidation>
    <dataValidation type="list" allowBlank="1" showInputMessage="1" showErrorMessage="1" sqref="SV7:SV58 ACR7:ACR58 AMN7:AMN58 AWJ7:AWJ58 BGF7:BGF58 BQB7:BQB58 BZX7:BZX58 CJT7:CJT58 CTP7:CTP58 DDL7:DDL58 DNH7:DNH58 DXD7:DXD58 EGZ7:EGZ58 EQV7:EQV58 FAR7:FAR58 FKN7:FKN58 FUJ7:FUJ58 GEF7:GEF58 GOB7:GOB58 GXX7:GXX58 HHT7:HHT58 HRP7:HRP58 IBL7:IBL58 ILH7:ILH58 IVD7:IVD58 JEZ7:JEZ58 JOV7:JOV58 JYR7:JYR58 KIN7:KIN58 KSJ7:KSJ58 LCF7:LCF58 LMB7:LMB58 LVX7:LVX58 MFT7:MFT58 MPP7:MPP58 MZL7:MZL58 NJH7:NJH58 NTD7:NTD58 OCZ7:OCZ58 OMV7:OMV58 OWR7:OWR58 PGN7:PGN58 PQJ7:PQJ58 QAF7:QAF58 QKB7:QKB58 QTX7:QTX58 RDT7:RDT58 RNP7:RNP58 RXL7:RXL58 SHH7:SHH58 SRD7:SRD58 TAZ7:TAZ58 TKV7:TKV58 TUR7:TUR58 UEN7:UEN58 UOJ7:UOJ58 UYF7:UYF58 VIB7:VIB58 VRX7:VRX58 WBT7:WBT58 WLP7:WLP58 WVL7:WVL58 D7:D58 IZ7:IZ58" xr:uid="{00000000-0002-0000-1600-000002000000}">
      <formula1>"New,Renewal,Upgrading"</formula1>
    </dataValidation>
    <dataValidation type="list" allowBlank="1" showInputMessage="1" showErrorMessage="1" promptTitle="Select Asset Sub-Class" prompt="Select asset sub class from list" sqref="TA7:TA58 ACW7:ACW58 AMS7:AMS58 AWO7:AWO58 BGK7:BGK58 BQG7:BQG58 CAC7:CAC58 CJY7:CJY58 CTU7:CTU58 DDQ7:DDQ58 DNM7:DNM58 DXI7:DXI58 EHE7:EHE58 ERA7:ERA58 FAW7:FAW58 FKS7:FKS58 FUO7:FUO58 GEK7:GEK58 GOG7:GOG58 GYC7:GYC58 HHY7:HHY58 HRU7:HRU58 IBQ7:IBQ58 ILM7:ILM58 IVI7:IVI58 JFE7:JFE58 JPA7:JPA58 JYW7:JYW58 KIS7:KIS58 KSO7:KSO58 LCK7:LCK58 LMG7:LMG58 LWC7:LWC58 MFY7:MFY58 MPU7:MPU58 MZQ7:MZQ58 NJM7:NJM58 NTI7:NTI58 ODE7:ODE58 ONA7:ONA58 OWW7:OWW58 PGS7:PGS58 PQO7:PQO58 QAK7:QAK58 QKG7:QKG58 QUC7:QUC58 RDY7:RDY58 RNU7:RNU58 RXQ7:RXQ58 SHM7:SHM58 SRI7:SRI58 TBE7:TBE58 TLA7:TLA58 TUW7:TUW58 UES7:UES58 UOO7:UOO58 UYK7:UYK58 VIG7:VIG58 VSC7:VSC58 WBY7:WBY58 WLU7:WLU58 WVQ7:WVQ58 I7:I58 JE7:JE58" xr:uid="{00000000-0002-0000-1600-000003000000}">
      <formula1>asset_subclass1</formula1>
    </dataValidation>
    <dataValidation type="list" allowBlank="1" showInputMessage="1" showErrorMessage="1" promptTitle="Select Asset Class" prompt="Select asset class from list" sqref="SZ7:SZ58 ACV7:ACV58 AMR7:AMR58 AWN7:AWN58 BGJ7:BGJ58 BQF7:BQF58 CAB7:CAB58 CJX7:CJX58 CTT7:CTT58 DDP7:DDP58 DNL7:DNL58 DXH7:DXH58 EHD7:EHD58 EQZ7:EQZ58 FAV7:FAV58 FKR7:FKR58 FUN7:FUN58 GEJ7:GEJ58 GOF7:GOF58 GYB7:GYB58 HHX7:HHX58 HRT7:HRT58 IBP7:IBP58 ILL7:ILL58 IVH7:IVH58 JFD7:JFD58 JOZ7:JOZ58 JYV7:JYV58 KIR7:KIR58 KSN7:KSN58 LCJ7:LCJ58 LMF7:LMF58 LWB7:LWB58 MFX7:MFX58 MPT7:MPT58 MZP7:MZP58 NJL7:NJL58 NTH7:NTH58 ODD7:ODD58 OMZ7:OMZ58 OWV7:OWV58 PGR7:PGR58 PQN7:PQN58 QAJ7:QAJ58 QKF7:QKF58 QUB7:QUB58 RDX7:RDX58 RNT7:RNT58 RXP7:RXP58 SHL7:SHL58 SRH7:SRH58 TBD7:TBD58 TKZ7:TKZ58 TUV7:TUV58 UER7:UER58 UON7:UON58 UYJ7:UYJ58 VIF7:VIF58 VSB7:VSB58 WBX7:WBX58 WLT7:WLT58 WVP7:WVP58 H7:H58 JD7:JD58" xr:uid="{00000000-0002-0000-1600-000004000000}">
      <formula1>asset_class1</formula1>
    </dataValidation>
  </dataValidations>
  <printOptions horizontalCentered="1"/>
  <pageMargins left="0.35433070866141736" right="0.2" top="0.8" bottom="0.57999999999999996" header="0.51181102362204722" footer="0.4"/>
  <pageSetup paperSize="9"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0">
    <tabColor rgb="FFCCFFCC"/>
    <pageSetUpPr fitToPage="1"/>
  </sheetPr>
  <dimension ref="A1:L61"/>
  <sheetViews>
    <sheetView showGridLines="0" zoomScaleNormal="100" zoomScaleSheetLayoutView="110" workbookViewId="0">
      <pane xSplit="2" ySplit="4" topLeftCell="C5" activePane="bottomRight" state="frozen"/>
      <selection activeCell="A23" sqref="A23"/>
      <selection pane="topRight" activeCell="A23" sqref="A23"/>
      <selection pane="bottomLeft" activeCell="A23" sqref="A23"/>
      <selection pane="bottomRight" activeCell="H6" sqref="H6"/>
    </sheetView>
  </sheetViews>
  <sheetFormatPr defaultColWidth="9.109375" defaultRowHeight="10.199999999999999" x14ac:dyDescent="0.2"/>
  <cols>
    <col min="1" max="1" width="35.6640625" style="59" customWidth="1"/>
    <col min="2" max="2" width="3.44140625" style="58" customWidth="1"/>
    <col min="3" max="3" width="10.6640625" style="59" customWidth="1"/>
    <col min="4" max="4" width="25.6640625" style="59" customWidth="1"/>
    <col min="5" max="6" width="10.6640625" style="59" customWidth="1"/>
    <col min="7" max="7" width="9.88671875" style="59" customWidth="1"/>
    <col min="8" max="8" width="9.88671875" style="59" bestFit="1" customWidth="1"/>
    <col min="9" max="10" width="9.88671875" style="59" customWidth="1"/>
    <col min="11" max="11" width="9.44140625" style="59" customWidth="1"/>
    <col min="12" max="12" width="9.88671875" style="59" customWidth="1"/>
    <col min="13" max="15" width="9.44140625" style="59" customWidth="1"/>
    <col min="16" max="16" width="9.88671875" style="59" customWidth="1"/>
    <col min="17" max="19" width="9.44140625" style="59" customWidth="1"/>
    <col min="20" max="21" width="9.88671875" style="59" customWidth="1"/>
    <col min="22" max="16384" width="9.109375" style="59"/>
  </cols>
  <sheetData>
    <row r="1" spans="1:6" ht="13.8" x14ac:dyDescent="0.3">
      <c r="A1" s="57" t="str">
        <f>_MEB11</f>
        <v>Centlec (Soc) Ltd - Supporting Table SD11 External mechanisms</v>
      </c>
    </row>
    <row r="2" spans="1:6" ht="30.6" x14ac:dyDescent="0.2">
      <c r="A2" s="632" t="s">
        <v>246</v>
      </c>
      <c r="B2" s="698" t="str">
        <f>head27</f>
        <v>Ref</v>
      </c>
      <c r="C2" s="633" t="s">
        <v>782</v>
      </c>
      <c r="D2" s="634" t="s">
        <v>250</v>
      </c>
      <c r="E2" s="699" t="s">
        <v>248</v>
      </c>
      <c r="F2" s="702" t="s">
        <v>781</v>
      </c>
    </row>
    <row r="3" spans="1:6" ht="24" customHeight="1" x14ac:dyDescent="0.2">
      <c r="A3" s="635" t="s">
        <v>247</v>
      </c>
      <c r="B3" s="705"/>
      <c r="C3" s="636" t="s">
        <v>288</v>
      </c>
      <c r="D3" s="637"/>
      <c r="E3" s="700"/>
      <c r="F3" s="703"/>
    </row>
    <row r="4" spans="1:6" ht="13.5" customHeight="1" x14ac:dyDescent="0.2">
      <c r="A4" s="638" t="s">
        <v>183</v>
      </c>
      <c r="B4" s="639"/>
      <c r="C4" s="640"/>
      <c r="D4" s="640"/>
      <c r="E4" s="701"/>
      <c r="F4" s="704"/>
    </row>
    <row r="5" spans="1:6" ht="12.75" customHeight="1" x14ac:dyDescent="0.2">
      <c r="A5" s="641"/>
      <c r="B5" s="642"/>
      <c r="C5" s="643"/>
      <c r="D5" s="643"/>
      <c r="E5" s="643"/>
      <c r="F5" s="644"/>
    </row>
    <row r="6" spans="1:6" ht="12.75" customHeight="1" x14ac:dyDescent="0.2">
      <c r="A6" s="433"/>
      <c r="B6" s="645"/>
      <c r="C6" s="646"/>
      <c r="D6" s="646"/>
      <c r="E6" s="646"/>
      <c r="F6" s="238"/>
    </row>
    <row r="7" spans="1:6" ht="12.75" customHeight="1" x14ac:dyDescent="0.2">
      <c r="A7" s="433"/>
      <c r="B7" s="645"/>
      <c r="C7" s="646"/>
      <c r="D7" s="646"/>
      <c r="E7" s="646"/>
      <c r="F7" s="238"/>
    </row>
    <row r="8" spans="1:6" ht="12.75" customHeight="1" x14ac:dyDescent="0.2">
      <c r="A8" s="433"/>
      <c r="B8" s="645"/>
      <c r="C8" s="646"/>
      <c r="D8" s="646"/>
      <c r="E8" s="646"/>
      <c r="F8" s="238"/>
    </row>
    <row r="9" spans="1:6" ht="12.75" customHeight="1" x14ac:dyDescent="0.2">
      <c r="A9" s="433"/>
      <c r="B9" s="645"/>
      <c r="C9" s="646"/>
      <c r="D9" s="646"/>
      <c r="E9" s="646"/>
      <c r="F9" s="238"/>
    </row>
    <row r="10" spans="1:6" ht="12.75" customHeight="1" x14ac:dyDescent="0.2">
      <c r="A10" s="433"/>
      <c r="B10" s="645"/>
      <c r="C10" s="646"/>
      <c r="D10" s="646"/>
      <c r="E10" s="646"/>
      <c r="F10" s="238"/>
    </row>
    <row r="11" spans="1:6" ht="12.75" customHeight="1" x14ac:dyDescent="0.2">
      <c r="A11" s="433"/>
      <c r="B11" s="645"/>
      <c r="C11" s="646"/>
      <c r="D11" s="646"/>
      <c r="E11" s="646"/>
      <c r="F11" s="238"/>
    </row>
    <row r="12" spans="1:6" ht="12.75" customHeight="1" x14ac:dyDescent="0.2">
      <c r="A12" s="433"/>
      <c r="B12" s="645"/>
      <c r="C12" s="646"/>
      <c r="D12" s="646"/>
      <c r="E12" s="646"/>
      <c r="F12" s="238"/>
    </row>
    <row r="13" spans="1:6" ht="12.75" customHeight="1" x14ac:dyDescent="0.2">
      <c r="A13" s="433"/>
      <c r="B13" s="645"/>
      <c r="C13" s="646"/>
      <c r="D13" s="646"/>
      <c r="E13" s="646"/>
      <c r="F13" s="238"/>
    </row>
    <row r="14" spans="1:6" ht="12.75" customHeight="1" x14ac:dyDescent="0.2">
      <c r="A14" s="433"/>
      <c r="B14" s="645"/>
      <c r="C14" s="646"/>
      <c r="D14" s="646"/>
      <c r="E14" s="646"/>
      <c r="F14" s="238"/>
    </row>
    <row r="15" spans="1:6" ht="12.75" customHeight="1" x14ac:dyDescent="0.2">
      <c r="A15" s="433"/>
      <c r="B15" s="645"/>
      <c r="C15" s="646"/>
      <c r="D15" s="646"/>
      <c r="E15" s="646"/>
      <c r="F15" s="238"/>
    </row>
    <row r="16" spans="1:6" ht="12.75" customHeight="1" x14ac:dyDescent="0.2">
      <c r="A16" s="433"/>
      <c r="B16" s="645"/>
      <c r="C16" s="646"/>
      <c r="D16" s="646"/>
      <c r="E16" s="646"/>
      <c r="F16" s="238"/>
    </row>
    <row r="17" spans="1:12" ht="12.75" customHeight="1" x14ac:dyDescent="0.2">
      <c r="A17" s="433"/>
      <c r="B17" s="645"/>
      <c r="C17" s="646"/>
      <c r="D17" s="646"/>
      <c r="E17" s="646"/>
      <c r="F17" s="238"/>
    </row>
    <row r="18" spans="1:12" ht="12.75" customHeight="1" x14ac:dyDescent="0.2">
      <c r="A18" s="433"/>
      <c r="B18" s="645"/>
      <c r="C18" s="646"/>
      <c r="D18" s="646"/>
      <c r="E18" s="646"/>
      <c r="F18" s="238"/>
    </row>
    <row r="19" spans="1:12" ht="12.75" customHeight="1" x14ac:dyDescent="0.2">
      <c r="A19" s="433"/>
      <c r="B19" s="645"/>
      <c r="C19" s="646"/>
      <c r="D19" s="646"/>
      <c r="E19" s="646"/>
      <c r="F19" s="238"/>
    </row>
    <row r="20" spans="1:12" ht="12.75" customHeight="1" x14ac:dyDescent="0.2">
      <c r="A20" s="433"/>
      <c r="B20" s="645"/>
      <c r="C20" s="646"/>
      <c r="D20" s="646"/>
      <c r="E20" s="646"/>
      <c r="F20" s="238"/>
    </row>
    <row r="21" spans="1:12" ht="12.75" customHeight="1" x14ac:dyDescent="0.2">
      <c r="A21" s="433"/>
      <c r="B21" s="645"/>
      <c r="C21" s="646"/>
      <c r="D21" s="646"/>
      <c r="E21" s="646"/>
      <c r="F21" s="238"/>
    </row>
    <row r="22" spans="1:12" ht="12.75" customHeight="1" x14ac:dyDescent="0.2">
      <c r="A22" s="433"/>
      <c r="B22" s="645"/>
      <c r="C22" s="646"/>
      <c r="D22" s="646"/>
      <c r="E22" s="646"/>
      <c r="F22" s="238"/>
    </row>
    <row r="23" spans="1:12" ht="12.75" customHeight="1" x14ac:dyDescent="0.2">
      <c r="A23" s="433"/>
      <c r="B23" s="645"/>
      <c r="C23" s="646"/>
      <c r="D23" s="646"/>
      <c r="E23" s="646"/>
      <c r="F23" s="238"/>
    </row>
    <row r="24" spans="1:12" ht="12.75" customHeight="1" x14ac:dyDescent="0.2">
      <c r="A24" s="248"/>
      <c r="B24" s="647"/>
      <c r="C24" s="648"/>
      <c r="D24" s="648"/>
      <c r="E24" s="648"/>
      <c r="F24" s="304">
        <f>SUM(F5:F23)</f>
        <v>0</v>
      </c>
    </row>
    <row r="25" spans="1:12" ht="12.75" customHeight="1" x14ac:dyDescent="0.2">
      <c r="A25" s="189" t="str">
        <f>head27a</f>
        <v>References</v>
      </c>
      <c r="B25" s="305"/>
      <c r="C25" s="72"/>
      <c r="D25" s="72"/>
      <c r="E25" s="72"/>
      <c r="F25" s="72"/>
      <c r="J25" s="86"/>
      <c r="K25" s="86"/>
      <c r="L25" s="86"/>
    </row>
    <row r="26" spans="1:12" ht="12.75" customHeight="1" x14ac:dyDescent="0.2">
      <c r="A26" s="136" t="s">
        <v>249</v>
      </c>
      <c r="B26" s="305"/>
      <c r="C26" s="77"/>
      <c r="D26" s="286"/>
      <c r="E26" s="77"/>
      <c r="F26" s="77"/>
    </row>
    <row r="27" spans="1:12" ht="12.75" customHeight="1" x14ac:dyDescent="0.2">
      <c r="A27" s="136" t="s">
        <v>251</v>
      </c>
      <c r="B27" s="305"/>
      <c r="C27" s="72"/>
      <c r="D27" s="72"/>
      <c r="E27" s="72"/>
      <c r="F27" s="72"/>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F47445-41F8-4266-840A-13C4135CB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A3BFD6-87A5-461D-83DA-E0C89F93AD62}">
  <ds:schemaRefs>
    <ds:schemaRef ds:uri="http://schemas.microsoft.com/sharepoint/v3/contenttype/forms"/>
  </ds:schemaRefs>
</ds:datastoreItem>
</file>

<file path=customXml/itemProps3.xml><?xml version="1.0" encoding="utf-8"?>
<ds:datastoreItem xmlns:ds="http://schemas.openxmlformats.org/officeDocument/2006/customXml" ds:itemID="{BF25CBDA-A93E-436C-A366-450AF599B0B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143</vt:i4>
      </vt:variant>
    </vt:vector>
  </HeadingPairs>
  <TitlesOfParts>
    <vt:vector size="164"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_MEB1</vt:lpstr>
      <vt:lpstr>_MEB10</vt:lpstr>
      <vt:lpstr>_MEB11</vt:lpstr>
      <vt:lpstr>_MEB12</vt:lpstr>
      <vt:lpstr>_MEB13</vt:lpstr>
      <vt:lpstr>_MEB2</vt:lpstr>
      <vt:lpstr>_MEB3</vt:lpstr>
      <vt:lpstr>_MEB4</vt:lpstr>
      <vt:lpstr>_MEB5</vt:lpstr>
      <vt:lpstr>_MEB6</vt:lpstr>
      <vt:lpstr>_MEB7</vt:lpstr>
      <vt:lpstr>_MEB8</vt:lpstr>
      <vt:lpstr>_MEB9</vt:lpstr>
      <vt:lpstr>Asset_Class</vt:lpstr>
      <vt:lpstr>asset_class1</vt:lpstr>
      <vt:lpstr>Asset_sub_class</vt:lpstr>
      <vt:lpstr>asset_subclass1</vt:lpstr>
      <vt:lpstr>basedesc</vt:lpstr>
      <vt:lpstr>Cash1</vt:lpstr>
      <vt:lpstr>Cash2</vt:lpstr>
      <vt:lpstr>desc</vt:lpstr>
      <vt:lpstr>entity</vt:lpstr>
      <vt:lpstr>entityshort</vt:lpstr>
      <vt:lpstr>fdil</vt:lpstr>
      <vt:lpstr>Instructions!FinYear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MEB1A</vt:lpstr>
      <vt:lpstr>MEB5a</vt:lpstr>
      <vt:lpstr>MEB5b</vt:lpstr>
      <vt:lpstr>MEB9a</vt:lpstr>
      <vt:lpstr>MEB9b</vt:lpstr>
      <vt:lpstr>MEB9c</vt:lpstr>
      <vt:lpstr>MEB9d</vt:lpstr>
      <vt:lpstr>MEB9e</vt:lpstr>
      <vt:lpstr>MEBsum</vt:lpstr>
      <vt:lpstr>Instructions!MTREF</vt:lpstr>
      <vt:lpstr>MTREF</vt:lpstr>
      <vt:lpstr>MTSF</vt:lpstr>
      <vt:lpstr>muni</vt:lpstr>
      <vt:lpstr>'D1-Sum'!Print_Area</vt:lpstr>
      <vt:lpstr>'D2-FinPerf'!Print_Area</vt:lpstr>
      <vt:lpstr>'D4-FinPos'!Print_Area</vt:lpstr>
      <vt:lpstr>'D5-CFlow'!Print_Area</vt:lpstr>
      <vt:lpstr>'SD1'!Print_Area</vt:lpstr>
      <vt:lpstr>'SD10'!Print_Area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Sibongile Nkane</cp:lastModifiedBy>
  <cp:lastPrinted>2021-05-27T13:29:04Z</cp:lastPrinted>
  <dcterms:created xsi:type="dcterms:W3CDTF">2004-04-07T16:19:08Z</dcterms:created>
  <dcterms:modified xsi:type="dcterms:W3CDTF">2021-05-27T13:51:01Z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