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076" tabRatio="787" firstSheet="2" activeTab="2"/>
  </bookViews>
  <sheets>
    <sheet name="Unit tariffs" sheetId="1" state="hidden" r:id="rId1"/>
    <sheet name="Calc Sheet 20_21" sheetId="2" state="hidden" r:id="rId2"/>
    <sheet name="Summary Mangaung 2020_2021" sheetId="3" r:id="rId3"/>
    <sheet name="Summary Kopanong 2020_21" sheetId="4" state="hidden" r:id="rId4"/>
    <sheet name="Summary Mohokare 2020_21" sheetId="5" state="hidden" r:id="rId5"/>
    <sheet name="Summary Mantsopa 2020_21" sheetId="6" state="hidden" r:id="rId6"/>
  </sheets>
  <externalReferences>
    <externalReference r:id="rId9"/>
  </externalReferences>
  <definedNames>
    <definedName name="_xlnm._FilterDatabase" localSheetId="0" hidden="1">'Unit tariffs'!$A$18:$H$72</definedName>
    <definedName name="_xlfn.SINGLE" hidden="1">#NAME?</definedName>
    <definedName name="_xlnm.Print_Area" localSheetId="1">'Calc Sheet 20_21'!$A$1:$J$2120</definedName>
    <definedName name="_xlnm.Print_Area" localSheetId="3">'Summary Kopanong 2020_21'!$A$1:$P$198</definedName>
    <definedName name="_xlnm.Print_Area" localSheetId="2">'Summary Mangaung 2020_2021'!$A$1:$O$199</definedName>
    <definedName name="_xlnm.Print_Area" localSheetId="0">'Unit tariffs'!$B$1:$H$144</definedName>
    <definedName name="_xlnm.Print_Titles" localSheetId="0">'Unit tariffs'!$1:$3</definedName>
  </definedNames>
  <calcPr fullCalcOnLoad="1"/>
</workbook>
</file>

<file path=xl/comments1.xml><?xml version="1.0" encoding="utf-8"?>
<comments xmlns="http://schemas.openxmlformats.org/spreadsheetml/2006/main">
  <authors>
    <author>Thinus Kruger</author>
    <author>Xoliswa Mbali</author>
  </authors>
  <commentList>
    <comment ref="E5" authorId="0">
      <text>
        <r>
          <rPr>
            <b/>
            <sz val="8"/>
            <rFont val="Tahoma"/>
            <family val="2"/>
          </rPr>
          <t>Updating of the Tariffs:</t>
        </r>
        <r>
          <rPr>
            <sz val="8"/>
            <rFont val="Tahoma"/>
            <family val="2"/>
          </rPr>
          <t xml:space="preserve">
1.  Copy the current tariffs in the Calc sheet to the previous year column by using copy and Paste Special as Values.
2.  Update the Tender/Store prices on the Unit tariff sheet.
4.  Update the Labour and Transport tariffs.
5. Update the kVA contributions.</t>
        </r>
      </text>
    </comment>
    <comment ref="G46" authorId="1">
      <text>
        <r>
          <rPr>
            <b/>
            <sz val="9"/>
            <rFont val="Tahoma"/>
            <family val="2"/>
          </rPr>
          <t>Xoliswa Mbali:</t>
        </r>
        <r>
          <rPr>
            <sz val="9"/>
            <rFont val="Tahoma"/>
            <family val="2"/>
          </rPr>
          <t xml:space="preserve">
Not In stock (NIS)</t>
        </r>
      </text>
    </comment>
    <comment ref="B117" authorId="1">
      <text>
        <r>
          <rPr>
            <b/>
            <sz val="9"/>
            <rFont val="Tahoma"/>
            <family val="2"/>
          </rPr>
          <t>Xoliswa Mbali:</t>
        </r>
        <r>
          <rPr>
            <sz val="9"/>
            <rFont val="Tahoma"/>
            <family val="2"/>
          </rPr>
          <t xml:space="preserve">
Need to get the figures from Control Office for the test Truck</t>
        </r>
      </text>
    </comment>
    <comment ref="F127" authorId="1">
      <text>
        <r>
          <rPr>
            <b/>
            <sz val="9"/>
            <rFont val="Tahoma"/>
            <family val="0"/>
          </rPr>
          <t>Xoliswa Mbali:</t>
        </r>
        <r>
          <rPr>
            <sz val="9"/>
            <rFont val="Tahoma"/>
            <family val="0"/>
          </rPr>
          <t xml:space="preserve">
Escalated by Prime + 1%</t>
        </r>
      </text>
    </comment>
    <comment ref="S78" authorId="1">
      <text>
        <r>
          <rPr>
            <b/>
            <sz val="9"/>
            <rFont val="Tahoma"/>
            <family val="2"/>
          </rPr>
          <t>Xoliswa Mbali:</t>
        </r>
        <r>
          <rPr>
            <sz val="9"/>
            <rFont val="Tahoma"/>
            <family val="2"/>
          </rPr>
          <t xml:space="preserve">
Including rock
</t>
        </r>
      </text>
    </comment>
    <comment ref="S83" authorId="1">
      <text>
        <r>
          <rPr>
            <b/>
            <sz val="9"/>
            <rFont val="Tahoma"/>
            <family val="2"/>
          </rPr>
          <t>Xoliswa Mbali:</t>
        </r>
        <r>
          <rPr>
            <sz val="9"/>
            <rFont val="Tahoma"/>
            <family val="2"/>
          </rPr>
          <t xml:space="preserve">
Including Rock
</t>
        </r>
      </text>
    </comment>
  </commentList>
</comments>
</file>

<file path=xl/comments2.xml><?xml version="1.0" encoding="utf-8"?>
<comments xmlns="http://schemas.openxmlformats.org/spreadsheetml/2006/main">
  <authors>
    <author>tk</author>
    <author>Xoliswa Mbali</author>
  </authors>
  <commentList>
    <comment ref="I1868" authorId="0">
      <text>
        <r>
          <rPr>
            <b/>
            <sz val="8"/>
            <rFont val="Tahoma"/>
            <family val="2"/>
          </rPr>
          <t>tk:</t>
        </r>
        <r>
          <rPr>
            <sz val="8"/>
            <rFont val="Tahoma"/>
            <family val="2"/>
          </rPr>
          <t xml:space="preserve">
Add % increase as per Treasury guide</t>
        </r>
      </text>
    </comment>
    <comment ref="I1973" authorId="0">
      <text>
        <r>
          <rPr>
            <b/>
            <sz val="8"/>
            <rFont val="Tahoma"/>
            <family val="2"/>
          </rPr>
          <t>tk:</t>
        </r>
        <r>
          <rPr>
            <sz val="8"/>
            <rFont val="Tahoma"/>
            <family val="2"/>
          </rPr>
          <t xml:space="preserve">
Add % increase as per Treasury guide</t>
        </r>
      </text>
    </comment>
    <comment ref="I1974" authorId="0">
      <text>
        <r>
          <rPr>
            <b/>
            <sz val="8"/>
            <rFont val="Tahoma"/>
            <family val="2"/>
          </rPr>
          <t>tk:</t>
        </r>
        <r>
          <rPr>
            <sz val="8"/>
            <rFont val="Tahoma"/>
            <family val="2"/>
          </rPr>
          <t xml:space="preserve">
Add % increase as per Treasury guide</t>
        </r>
      </text>
    </comment>
    <comment ref="I1975" authorId="0">
      <text>
        <r>
          <rPr>
            <b/>
            <sz val="8"/>
            <rFont val="Tahoma"/>
            <family val="2"/>
          </rPr>
          <t>tk:</t>
        </r>
        <r>
          <rPr>
            <sz val="8"/>
            <rFont val="Tahoma"/>
            <family val="2"/>
          </rPr>
          <t xml:space="preserve">
Add % increase as per Treasury guide</t>
        </r>
      </text>
    </comment>
    <comment ref="I2042" authorId="0">
      <text>
        <r>
          <rPr>
            <b/>
            <sz val="8"/>
            <rFont val="Tahoma"/>
            <family val="2"/>
          </rPr>
          <t>tk:</t>
        </r>
        <r>
          <rPr>
            <sz val="8"/>
            <rFont val="Tahoma"/>
            <family val="2"/>
          </rPr>
          <t xml:space="preserve">
Add % increase as per Treasury guide</t>
        </r>
      </text>
    </comment>
    <comment ref="I2115" authorId="0">
      <text>
        <r>
          <rPr>
            <b/>
            <sz val="8"/>
            <rFont val="Tahoma"/>
            <family val="2"/>
          </rPr>
          <t>tk:</t>
        </r>
        <r>
          <rPr>
            <sz val="8"/>
            <rFont val="Tahoma"/>
            <family val="2"/>
          </rPr>
          <t xml:space="preserve">
Add % increase as per Treasury guide</t>
        </r>
      </text>
    </comment>
    <comment ref="B238" authorId="1">
      <text>
        <r>
          <rPr>
            <b/>
            <sz val="9"/>
            <rFont val="Tahoma"/>
            <family val="2"/>
          </rPr>
          <t>Xoliswa Mbali:</t>
        </r>
        <r>
          <rPr>
            <sz val="9"/>
            <rFont val="Tahoma"/>
            <family val="2"/>
          </rPr>
          <t xml:space="preserve">
Transport reduced to 6km totaling to 12km
</t>
        </r>
      </text>
    </comment>
    <comment ref="B234" authorId="1">
      <text>
        <r>
          <rPr>
            <b/>
            <sz val="9"/>
            <rFont val="Tahoma"/>
            <family val="2"/>
          </rPr>
          <t>Xoliswa Mbali:</t>
        </r>
        <r>
          <rPr>
            <sz val="9"/>
            <rFont val="Tahoma"/>
            <family val="2"/>
          </rPr>
          <t xml:space="preserve">
The general workers are not used for connections hence the R/h has been reduced
</t>
        </r>
      </text>
    </comment>
    <comment ref="B1623" authorId="1">
      <text>
        <r>
          <rPr>
            <b/>
            <sz val="9"/>
            <rFont val="Tahoma"/>
            <family val="0"/>
          </rPr>
          <t>Xoliswa Mbali:</t>
        </r>
        <r>
          <rPr>
            <sz val="9"/>
            <rFont val="Tahoma"/>
            <family val="0"/>
          </rPr>
          <t xml:space="preserve">
Removal &amp; Replacing of the meter
</t>
        </r>
      </text>
    </comment>
    <comment ref="B259" authorId="1">
      <text>
        <r>
          <rPr>
            <b/>
            <sz val="9"/>
            <rFont val="Tahoma"/>
            <family val="0"/>
          </rPr>
          <t>Xoliswa Mbali:</t>
        </r>
        <r>
          <rPr>
            <sz val="9"/>
            <rFont val="Tahoma"/>
            <family val="0"/>
          </rPr>
          <t xml:space="preserve">
Very rare to upgrade the Primary Backbone &amp; assist in job creating</t>
        </r>
      </text>
    </comment>
    <comment ref="B260" authorId="1">
      <text>
        <r>
          <rPr>
            <b/>
            <sz val="9"/>
            <rFont val="Tahoma"/>
            <family val="0"/>
          </rPr>
          <t>Xoliswa Mbali:</t>
        </r>
        <r>
          <rPr>
            <sz val="9"/>
            <rFont val="Tahoma"/>
            <family val="0"/>
          </rPr>
          <t xml:space="preserve">
Very rare to upgrade the Secondary Backbone &amp; assist in job creating</t>
        </r>
      </text>
    </comment>
    <comment ref="H1015" authorId="1">
      <text>
        <r>
          <rPr>
            <b/>
            <sz val="9"/>
            <rFont val="Tahoma"/>
            <family val="2"/>
          </rPr>
          <t>Xoliswa Mbali:</t>
        </r>
        <r>
          <rPr>
            <sz val="9"/>
            <rFont val="Tahoma"/>
            <family val="2"/>
          </rPr>
          <t xml:space="preserve">
Prices changed from contractors to internal resourses
</t>
        </r>
      </text>
    </comment>
  </commentList>
</comments>
</file>

<file path=xl/sharedStrings.xml><?xml version="1.0" encoding="utf-8"?>
<sst xmlns="http://schemas.openxmlformats.org/spreadsheetml/2006/main" count="2882" uniqueCount="638">
  <si>
    <t/>
  </si>
  <si>
    <t xml:space="preserve"> </t>
  </si>
  <si>
    <t>MATERIAL COSTS</t>
  </si>
  <si>
    <t>Prepaid meter (Normal BEC) 1phase</t>
  </si>
  <si>
    <t>16 mm Cu PVC conductor</t>
  </si>
  <si>
    <t>x 100 A circuit breaker</t>
  </si>
  <si>
    <t>x 5A circuit breaker</t>
  </si>
  <si>
    <t>Pole top box</t>
  </si>
  <si>
    <t>Insulated piercing clamp</t>
  </si>
  <si>
    <t>Two way domestic meter box</t>
  </si>
  <si>
    <t>Cement base for meter box</t>
  </si>
  <si>
    <t>m 16 mm x 4 Cu cable</t>
  </si>
  <si>
    <t>m 16 mm x 2 Cu cable</t>
  </si>
  <si>
    <t>Cable joint for 16mm x 4 core cable</t>
  </si>
  <si>
    <t>m 10 mm x 2 Cu cable</t>
  </si>
  <si>
    <t>10 mm Copper Airdac cable</t>
  </si>
  <si>
    <t>Strain clamp - Airdac</t>
  </si>
  <si>
    <t>Installation material</t>
  </si>
  <si>
    <t>m copper earth conductor No 6</t>
  </si>
  <si>
    <t>Baseplate - PP only</t>
  </si>
  <si>
    <t>Baseplate - PP &amp; RB</t>
  </si>
  <si>
    <t>Wooden pole 7m</t>
  </si>
  <si>
    <t>Suspension clamp for Airdac</t>
  </si>
  <si>
    <t>L-Bracket</t>
  </si>
  <si>
    <t>One way Stubby box</t>
  </si>
  <si>
    <t>Two way Stubby box</t>
  </si>
  <si>
    <t>LABOUR COSTS</t>
  </si>
  <si>
    <t>Tariff code</t>
  </si>
  <si>
    <t>per hour</t>
  </si>
  <si>
    <t>per metre</t>
  </si>
  <si>
    <t>per square metre</t>
  </si>
  <si>
    <t>TRANSPORT COSTS</t>
  </si>
  <si>
    <t>per km</t>
  </si>
  <si>
    <t>per hour work</t>
  </si>
  <si>
    <t>(Excl VAT)</t>
  </si>
  <si>
    <t xml:space="preserve">ELECTRICITY TARIFFS </t>
  </si>
  <si>
    <t>Rev Date:</t>
  </si>
  <si>
    <t>Unit</t>
  </si>
  <si>
    <t>per hour standing</t>
  </si>
  <si>
    <t>UNIT TARIFF FOR THE YEAR -----------&gt;</t>
  </si>
  <si>
    <t>(Current tariffs)</t>
  </si>
  <si>
    <t>MATERIAL</t>
  </si>
  <si>
    <t>LABOUR</t>
  </si>
  <si>
    <t>TRANSPORT</t>
  </si>
  <si>
    <t>Total</t>
  </si>
  <si>
    <t>Unit cost</t>
  </si>
  <si>
    <t>km-truck with platform</t>
  </si>
  <si>
    <t>hour-truck with platform</t>
  </si>
  <si>
    <t>km-panel van</t>
  </si>
  <si>
    <t>hour-panel van</t>
  </si>
  <si>
    <t>km-test vehicle</t>
  </si>
  <si>
    <t>hour-test vehicle</t>
  </si>
  <si>
    <t>hour-compressor</t>
  </si>
  <si>
    <t>stand-compressor</t>
  </si>
  <si>
    <t>hour-artisan assistant</t>
  </si>
  <si>
    <t>hour-meter assistant</t>
  </si>
  <si>
    <t>Connection Fee</t>
  </si>
  <si>
    <t>Energy rate</t>
  </si>
  <si>
    <t>Levy for electricity consumed</t>
  </si>
  <si>
    <t>LABOUR (for preparation of meter box)</t>
  </si>
  <si>
    <t>LABOUR (for the installation and removal of the connection)</t>
  </si>
  <si>
    <t>DIVERSE</t>
  </si>
  <si>
    <t>MATERIAL (None)</t>
  </si>
  <si>
    <t>TRANSPORT (None)</t>
  </si>
  <si>
    <t>Disconnection of supply because of being in arrears with payment of consumption</t>
  </si>
  <si>
    <t xml:space="preserve">     1Phase (per 24 hour period)</t>
  </si>
  <si>
    <t>Hiring of equipment</t>
  </si>
  <si>
    <t xml:space="preserve">     3Phase (per 24 hour period)</t>
  </si>
  <si>
    <t>hour-accountant</t>
  </si>
  <si>
    <t>hour-accountant official</t>
  </si>
  <si>
    <t>ADMINISTRATION COSTS</t>
  </si>
  <si>
    <t>Photostats</t>
  </si>
  <si>
    <t>Photo's</t>
  </si>
  <si>
    <t>Telephone costs</t>
  </si>
  <si>
    <t>PROPOSED</t>
  </si>
  <si>
    <t>REVENUE</t>
  </si>
  <si>
    <t>SERVICE</t>
  </si>
  <si>
    <t>TARIFF</t>
  </si>
  <si>
    <t>VOTE</t>
  </si>
  <si>
    <t>NUMBER</t>
  </si>
  <si>
    <t>(Excl.vat)</t>
  </si>
  <si>
    <t xml:space="preserve">  </t>
  </si>
  <si>
    <t>These power supply points will be given only where</t>
  </si>
  <si>
    <t>infrastructure already exists.  In all other instances cost estimates</t>
  </si>
  <si>
    <t>will be quoted on request</t>
  </si>
  <si>
    <t>%</t>
  </si>
  <si>
    <t>INCREASE</t>
  </si>
  <si>
    <t>Tender No.</t>
  </si>
  <si>
    <t>NQ</t>
  </si>
  <si>
    <t>(Unforeseen)</t>
  </si>
  <si>
    <t>3m Pole for rural box</t>
  </si>
  <si>
    <t xml:space="preserve">hour-eng asst </t>
  </si>
  <si>
    <t xml:space="preserve">hour-artisan </t>
  </si>
  <si>
    <t>SPB1 Pole box</t>
  </si>
  <si>
    <t>NETWORK CONTRIBUTIONS FOR INSTALLATIONS &amp; CONNECTIONS</t>
  </si>
  <si>
    <t>per kVA</t>
  </si>
  <si>
    <t>Pole mounted meter box - 2way</t>
  </si>
  <si>
    <t>Maximum</t>
  </si>
  <si>
    <t xml:space="preserve">1.1  Single phase overhead connection with Split Pre-payment meter taken from overhead network   - No Ready board   </t>
  </si>
  <si>
    <t>x 80 A circuit breaker (5kA) - Orange</t>
  </si>
  <si>
    <t>Connection fee determined through cost estimate</t>
  </si>
  <si>
    <t xml:space="preserve">      Overhead transmission system &amp; substations</t>
  </si>
  <si>
    <t>The cost of any of the connection alternatives may be subsidized by way of a levy on energy tariffs</t>
  </si>
  <si>
    <t xml:space="preserve">provided that a pre-payment meter is opted for and the connection will be the first made on the premises </t>
  </si>
  <si>
    <t>******  COST ESTIMATE SHALL BE PROVIDED, ON REQUEST, FOR SERVICES NOT LISTED ******</t>
  </si>
  <si>
    <t>OTHER SERVICE CHARGES</t>
  </si>
  <si>
    <t>ALL SERVICES ABOVE R10'000.00 CAN BE PAID OFF BY PAYING THE AMOUNT FOR THE</t>
  </si>
  <si>
    <t>PAYING OFF OF THE RECOVERABLE COSTS.</t>
  </si>
  <si>
    <t>VAT</t>
  </si>
  <si>
    <t>1. NEW SINGLE PHASE CONNECTIONS: URBAN</t>
  </si>
  <si>
    <t>** The above will not apply to any levies charged for tampering or outstanding accounts.</t>
  </si>
  <si>
    <t>Pipe: PVC 150mm x 3m (Cable protection)</t>
  </si>
  <si>
    <t>25 mm bend</t>
  </si>
  <si>
    <t>75 mm Bolt and nut : (M10)</t>
  </si>
  <si>
    <t>ESKOM - HOMEPOWER 4</t>
  </si>
  <si>
    <t>Service Charge</t>
  </si>
  <si>
    <t>Network Charge</t>
  </si>
  <si>
    <t>BACKBONE</t>
  </si>
  <si>
    <t>(ADMD - kVA)</t>
  </si>
  <si>
    <t>Primary Backbone - Urban</t>
  </si>
  <si>
    <t>Secondary Backbone - MV Urban</t>
  </si>
  <si>
    <t>Secondary Backbone - LV Urban</t>
  </si>
  <si>
    <t>LV Backbone -Urban</t>
  </si>
  <si>
    <t>Primary Backbone - Peri Urban</t>
  </si>
  <si>
    <t>Secondary Backbone - MV Peri Urban</t>
  </si>
  <si>
    <t>Secondary Backbone - LV Peri Urban</t>
  </si>
  <si>
    <t>Four way domestic meter box</t>
  </si>
  <si>
    <t>0.15kW x 12 hours x 30 days x tariff</t>
  </si>
  <si>
    <t xml:space="preserve">CENTLEC </t>
  </si>
  <si>
    <t>Finance</t>
  </si>
  <si>
    <t>NON-RECOVERABLE COSTS AND OPENING AN ACCOUNT AT THE FINANCE DIRECTORATE FOR THE</t>
  </si>
  <si>
    <t>9. SPECIAL SERVICE LEVIES</t>
  </si>
  <si>
    <t>9.1.1 Electricity meter accuracy test at request by the consumer - Removal of meter</t>
  </si>
  <si>
    <t>9.1.2 Request for accuracy test of electricity meter - Testing of meter (1 or 3 phase)</t>
  </si>
  <si>
    <t>9.1.3 Request for accuracy test of Bulk electricity meter - Testing of meter</t>
  </si>
  <si>
    <t>9.7 Replacement of 1phase pre-payment meter due to tampering - blocking of vending</t>
  </si>
  <si>
    <t>9.8 Replacement of 3phase pre-payment meter due to tampering - blocking of vending</t>
  </si>
  <si>
    <t>9.10 Charges when tampering with metering equipment - Bulk consumer (TB)</t>
  </si>
  <si>
    <t>TOTAL</t>
  </si>
  <si>
    <t>(Inc VAT)</t>
  </si>
  <si>
    <t xml:space="preserve">and that a grant is received from National Funds or funding is received from Council. </t>
  </si>
  <si>
    <t xml:space="preserve">       Meter to be removed by supplier for testing. Testing of the meter under item 9.1.2 or 9.1.3</t>
  </si>
  <si>
    <t xml:space="preserve">      Meter to be removed under item 9.1.1</t>
  </si>
  <si>
    <t>Cable clamp (Clampex) - K26</t>
  </si>
  <si>
    <t>25 mm PVC pipe - 4m lenghts</t>
  </si>
  <si>
    <t>Pigtail bolt - M16</t>
  </si>
  <si>
    <t>Corporate</t>
  </si>
  <si>
    <t>ELECTRICITY SERVICES COSTS:</t>
  </si>
  <si>
    <t>CENTLEC : ELECTRICITY SERVICES COSTS</t>
  </si>
  <si>
    <t>CD13-11A2</t>
  </si>
  <si>
    <t>CD13-11A4</t>
  </si>
  <si>
    <t>CD13-11A8</t>
  </si>
  <si>
    <t>CD21-4H</t>
  </si>
  <si>
    <t>CD13-1.1</t>
  </si>
  <si>
    <t>CD13-1.5</t>
  </si>
  <si>
    <t>CD13-1.6</t>
  </si>
  <si>
    <t>CD13-1.2</t>
  </si>
  <si>
    <t>CD13-2B</t>
  </si>
  <si>
    <t>CD13 - 2E</t>
  </si>
  <si>
    <t>CD13-4A</t>
  </si>
  <si>
    <t>CD13-4B</t>
  </si>
  <si>
    <t>CD13-6B</t>
  </si>
  <si>
    <t>CD13-6M</t>
  </si>
  <si>
    <t>CD13-6N</t>
  </si>
  <si>
    <t>CD13-12B</t>
  </si>
  <si>
    <t>CD13-3</t>
  </si>
  <si>
    <t>CD21-31A(i)</t>
  </si>
  <si>
    <t>CD21-8A(i)</t>
  </si>
  <si>
    <t>CD21-3A</t>
  </si>
  <si>
    <t>CD21-8B(i)a</t>
  </si>
  <si>
    <t>CD21-31A(ii)</t>
  </si>
  <si>
    <t>CD21-8B(i)b</t>
  </si>
  <si>
    <t>CD21-7B(x)</t>
  </si>
  <si>
    <t>CD 45</t>
  </si>
  <si>
    <t>CD21-17A</t>
  </si>
  <si>
    <t>CD21-17B</t>
  </si>
  <si>
    <t>CD21-7c(ii)</t>
  </si>
  <si>
    <t>CD45</t>
  </si>
  <si>
    <t>CD20-2A</t>
  </si>
  <si>
    <t>CD20-2D</t>
  </si>
  <si>
    <t>CD20-2F</t>
  </si>
  <si>
    <t>CD20-8B</t>
  </si>
  <si>
    <t>CD20-9A</t>
  </si>
  <si>
    <t>Cable termination 16mm x 4 core PVC</t>
  </si>
  <si>
    <t>CD20-29B</t>
  </si>
  <si>
    <t>CD20-29D</t>
  </si>
  <si>
    <t>CD20-30C</t>
  </si>
  <si>
    <t>CD20-15B</t>
  </si>
  <si>
    <t>Gland (Pratley No1)</t>
  </si>
  <si>
    <t>Gland (Pratley No2)</t>
  </si>
  <si>
    <t>CD?</t>
  </si>
  <si>
    <t>CD20-15C</t>
  </si>
  <si>
    <t>(proposed)</t>
  </si>
  <si>
    <t>NETWORK CONTRIBUTIONS FOR INSTALLATIONS  &amp; CONNECTIONS</t>
  </si>
  <si>
    <t>URBAN - LV</t>
  </si>
  <si>
    <t>URBAN - MV</t>
  </si>
  <si>
    <t>PERI-URBAN - LV</t>
  </si>
  <si>
    <t>PERI-URBAN - MV</t>
  </si>
  <si>
    <t>8.1.11 Shifting of meter to meter box on stand boundary - Domestic connection - Urban</t>
  </si>
  <si>
    <t>8.1.12 Shifting of connection - Pre-payment with ready board (per single connection) - Overhead only</t>
  </si>
  <si>
    <t>5KVA</t>
  </si>
  <si>
    <t>R/KVA</t>
  </si>
  <si>
    <t>Installation cost - Refer 1.4</t>
  </si>
  <si>
    <t>Peri-Urban network contribution</t>
  </si>
  <si>
    <t>Urban network contribution</t>
  </si>
  <si>
    <t>Actual estimated cost</t>
  </si>
  <si>
    <t xml:space="preserve">4.5  Subdivision -  Peri-Urban area: </t>
  </si>
  <si>
    <t>CENTLEC - HOMELIGHT 3</t>
  </si>
  <si>
    <t>Job description</t>
  </si>
  <si>
    <t>Group</t>
  </si>
  <si>
    <t>Benefits</t>
  </si>
  <si>
    <t>Cost per hour</t>
  </si>
  <si>
    <t>General worker</t>
  </si>
  <si>
    <t>^016</t>
  </si>
  <si>
    <t>Snr Eng Asst</t>
  </si>
  <si>
    <t>Team leader</t>
  </si>
  <si>
    <t>^013/011</t>
  </si>
  <si>
    <t>^010</t>
  </si>
  <si>
    <t>Artisan / metering assistant</t>
  </si>
  <si>
    <t>Covered by Gov Grant</t>
  </si>
  <si>
    <t>Network Contribution LV - Urban (Mangaung)</t>
  </si>
  <si>
    <t>Network Contribution LV - Urban (Regional)</t>
  </si>
  <si>
    <t>Network Contribution MV - Urban (Mangaung)</t>
  </si>
  <si>
    <t>Network Contribution MV - Urban (Regional)</t>
  </si>
  <si>
    <t>Network Contribution LV - Peri-Urban (Mangaung)</t>
  </si>
  <si>
    <t>Network Contribution LV - Peri-Urban (Regional)</t>
  </si>
  <si>
    <t>Network Contribution MV - Peri-Urban (Mangaung)</t>
  </si>
  <si>
    <t>Network Contribution MV - Peri-Urban (Regional)</t>
  </si>
  <si>
    <t>Prepaid meter (Split) 1 phase 59A Unique Mbani</t>
  </si>
  <si>
    <t xml:space="preserve">Prepaid meter (Split) 3 phase - </t>
  </si>
  <si>
    <t>Modum for TOU meter</t>
  </si>
  <si>
    <t>s</t>
  </si>
  <si>
    <t>[Mangaung]</t>
  </si>
  <si>
    <t>[Regional]</t>
  </si>
  <si>
    <t xml:space="preserve">2.2 Three phase connection (80A) in meter box,  Time of use (TOU) meter                                               </t>
  </si>
  <si>
    <t xml:space="preserve"> [Mangaung]</t>
  </si>
  <si>
    <t>3.2 Single phase Peri-Urban domestic connection - Prepayment meter. - Supplied by 25kVA single phase Trfr (60A) from 11kV overhead line   (where an 11kV line exists)</t>
  </si>
  <si>
    <t>2. NEW THREE PHASE DOMESTIC CONNECTIONS: URBAN</t>
  </si>
  <si>
    <t>3. NEW SINGLE PHASE DOMESTIC CONNECTIONS: PERI-URBAN</t>
  </si>
  <si>
    <t xml:space="preserve">2.1 Three phase domestic connection (80A) in meter box,  Time of use (TOU) meter    </t>
  </si>
  <si>
    <t>Urban area</t>
  </si>
  <si>
    <t>Urban Area</t>
  </si>
  <si>
    <t>Peri Urban Area</t>
  </si>
  <si>
    <t xml:space="preserve">  [Mangaung - peri urban area]</t>
  </si>
  <si>
    <t>[Regional - peri urban area]</t>
  </si>
  <si>
    <t>[Urban]</t>
  </si>
  <si>
    <t>[Mangaung - Urban area]</t>
  </si>
  <si>
    <t>b. Reinstatement of supply (60Amp 3phase meter)</t>
  </si>
  <si>
    <t>a. Investigation, gathering of evidence and possible court appearance</t>
  </si>
  <si>
    <t>b. Reinstatement of supply (Bulk meter)</t>
  </si>
  <si>
    <t>DAMAGE TO CENTLEC CABLES, OVER HEAD LINES AND OTHER EQUIPMENT</t>
  </si>
  <si>
    <t>9.13  Excavations within public areas leading to damage to electricity cables, including attempts of theft</t>
  </si>
  <si>
    <t xml:space="preserve"> Estimated cost of material, Labour, Transport          plus 10%</t>
  </si>
  <si>
    <t>9.14  In the case of damage to a low voltage cable or line installation, or any part of the installation</t>
  </si>
  <si>
    <t>R20 000.00 per cable plus additional cost incurred of material, labour and transport plus 10%</t>
  </si>
  <si>
    <t>R40 000.00 per cable plus additional cost incurred of material, labour and transport plus 10%</t>
  </si>
  <si>
    <t>R80 000.00 per cable plus additional cost incurred of material, labour and transport plus 10%</t>
  </si>
  <si>
    <t>Note : In cases where the excavation occurred without authorization, or where the provisions of the wayleave policy were not followed, Centlec / Council reserves the right to institute further steps</t>
  </si>
  <si>
    <t>9.20. Delivery of notice of intended disconnection where a customer has failed to pay his/her account on the due date</t>
  </si>
  <si>
    <r>
      <t xml:space="preserve">9.15  Cost for damaging any 11kV cable </t>
    </r>
  </si>
  <si>
    <t>(as was approved)</t>
  </si>
  <si>
    <t>Only applicable to Dept of Energy funded  electrification areas -</t>
  </si>
  <si>
    <t>Actual estimated cost plus network contribution for 5kVA</t>
  </si>
  <si>
    <t>(new meter scheme)</t>
  </si>
  <si>
    <t>Credit Control Fees will be levied as per debt collectors charges</t>
  </si>
  <si>
    <t>Disconnection and Reconnection Fees</t>
  </si>
  <si>
    <t>Residential</t>
  </si>
  <si>
    <t>Business</t>
  </si>
  <si>
    <t>Bulk</t>
  </si>
  <si>
    <t xml:space="preserve">Procurements Documents </t>
  </si>
  <si>
    <t>Tenders - R200 000 - R10mil)</t>
  </si>
  <si>
    <t>Tenders - (more than R10mil)</t>
  </si>
  <si>
    <t>NB* ALL DEPOSITS WILL BE ADJUSTED AUTOMATICALLY SHOULD CONSUMPTION CHARGES BE FOUND TO BE MORE THAN THE DEPOSIT HELD TO COVER THE RISK</t>
  </si>
  <si>
    <t>NB* BULK DEPOSITS ARE VARIABLE DUE TO RECOMMENDATIONS FROM ENGINEERING DEPARTMENT</t>
  </si>
  <si>
    <t>DEPOSIT FOR ENERGY ACCOUNT - Energy account deposit according to connection size.</t>
  </si>
  <si>
    <t>Tariff per application</t>
  </si>
  <si>
    <t>Still to be revised</t>
  </si>
  <si>
    <t>Initial deposit for energy accounts</t>
  </si>
  <si>
    <t>NB All deposits will be adjusted automatically should consumption charges be found to be more than the deposit held to cover the risk</t>
  </si>
  <si>
    <t>NB Bulk deposits are veriable due to recommendations from engineering departmenet</t>
  </si>
  <si>
    <t>2016/2017</t>
  </si>
  <si>
    <t>CD 4/2014</t>
  </si>
  <si>
    <t>excavate 0.6m wide 0.6m deep</t>
  </si>
  <si>
    <t>excavate 0.6m wide and 1m deep</t>
  </si>
  <si>
    <t>backfil</t>
  </si>
  <si>
    <t>sleeves</t>
  </si>
  <si>
    <t>Tape</t>
  </si>
  <si>
    <t>draw cable</t>
  </si>
  <si>
    <t>/meter</t>
  </si>
  <si>
    <t>m</t>
  </si>
  <si>
    <t>rock cross 12m</t>
  </si>
  <si>
    <t>Tar &amp; Tile</t>
  </si>
  <si>
    <t>Clean up of site</t>
  </si>
  <si>
    <t>Subtotal</t>
  </si>
  <si>
    <t>Sub total</t>
  </si>
  <si>
    <t>Total cost for 100m</t>
  </si>
  <si>
    <t>Urban</t>
  </si>
  <si>
    <t xml:space="preserve"> Tariff IV: FLAT RATE BUSINESS TARIFF - COST PER UNIT</t>
  </si>
  <si>
    <t>Peri-Urban</t>
  </si>
  <si>
    <t>CD ??</t>
  </si>
  <si>
    <t>Proposed</t>
  </si>
  <si>
    <t>Escalated % per annum</t>
  </si>
  <si>
    <t>Calculated Basis</t>
  </si>
  <si>
    <t>Basic Notch</t>
  </si>
  <si>
    <t>Total Cost</t>
  </si>
  <si>
    <t>Accounting clerk /Apprentice</t>
  </si>
  <si>
    <t>P.S Benefits = Basic X 45%</t>
  </si>
  <si>
    <t>Benefits ( Bonus,Home Allowance,Pensions,Medical Aid</t>
  </si>
  <si>
    <t>40h x 52 weeks / 12 mnths = 173.3 h per mnth</t>
  </si>
  <si>
    <r>
      <t xml:space="preserve">Cost per hour( </t>
    </r>
    <r>
      <rPr>
        <sz val="18"/>
        <color indexed="10"/>
        <rFont val="Arial Narrow"/>
        <family val="2"/>
      </rPr>
      <t>Total cost</t>
    </r>
    <r>
      <rPr>
        <sz val="10"/>
        <color indexed="10"/>
        <rFont val="Arial Narrow"/>
        <family val="2"/>
      </rPr>
      <t>/ 12 months/</t>
    </r>
    <r>
      <rPr>
        <sz val="16"/>
        <color indexed="10"/>
        <rFont val="Arial Narrow"/>
        <family val="2"/>
      </rPr>
      <t>173.3</t>
    </r>
    <r>
      <rPr>
        <sz val="10"/>
        <color indexed="10"/>
        <rFont val="Arial Narrow"/>
        <family val="2"/>
      </rPr>
      <t xml:space="preserve"> hours per month)</t>
    </r>
  </si>
  <si>
    <t>CD13-</t>
  </si>
  <si>
    <t>to a max of</t>
  </si>
  <si>
    <t xml:space="preserve">to a max of </t>
  </si>
  <si>
    <t>(new price of split PP meter used @ R6321)</t>
  </si>
  <si>
    <t>METER: TIME OF USE 100 AMP</t>
  </si>
  <si>
    <t>Stores levy</t>
  </si>
  <si>
    <t>BACKBONE COST</t>
  </si>
  <si>
    <t xml:space="preserve">        damaged or persistent tampering (PPD 3phase)</t>
  </si>
  <si>
    <t>MATERIAL (No cost charged for material that can be re-used)</t>
  </si>
  <si>
    <t>EXISTING</t>
  </si>
  <si>
    <t>TARIFFS</t>
  </si>
  <si>
    <t>9.21 Clearance Certificate Tariff</t>
  </si>
  <si>
    <t>9.22 WAYLEAVES - for construcion and excavation work.</t>
  </si>
  <si>
    <t>9.23 Notice Fees</t>
  </si>
  <si>
    <t>9.24 Residential - Disconnection and Reconnection Fees - Office hours</t>
  </si>
  <si>
    <t>9.25 Residential - Disconnection and Reconnection Fees - After Hours rate (N+33%)</t>
  </si>
  <si>
    <t>9.26 Business - Disconnection and Reconnection Fees - Office hours</t>
  </si>
  <si>
    <t>9.27 Business - Disconnection and Reconnection Fees - After Hours rate (N+33%)</t>
  </si>
  <si>
    <t>9.28 Bulk connections - Disconnection and Reconnection Fees - Office hours</t>
  </si>
  <si>
    <t>9.29 Bulk connections - Disconnection and Reconnection Fees - After Hours rate (N+33%)</t>
  </si>
  <si>
    <t>Area</t>
  </si>
  <si>
    <t xml:space="preserve"> applicable</t>
  </si>
  <si>
    <t xml:space="preserve">ELECTRICAL SERVICE TARIFFS </t>
  </si>
  <si>
    <t>OTHER SERVICE</t>
  </si>
  <si>
    <t xml:space="preserve">7.2 Temporary connection for a special events - These temporary connections would only be permitted for MMM approved special short term events and it would be removed afterwards - Maximum duration is 12 months. </t>
  </si>
  <si>
    <t>DIVERSE  (no charge)</t>
  </si>
  <si>
    <t>DIVERSE (No charge)</t>
  </si>
  <si>
    <t>TRANSPORT (No Charge)</t>
  </si>
  <si>
    <t>LABOUR (for the installation and removal of the connection) (No charge)</t>
  </si>
  <si>
    <t>LABOUR (for preparation of meter box) (No Charge)</t>
  </si>
  <si>
    <t>Pole: 7M wooden</t>
  </si>
  <si>
    <t>Staywire set</t>
  </si>
  <si>
    <t>Was estimated</t>
  </si>
  <si>
    <t>Mangaung</t>
  </si>
  <si>
    <t>Regional</t>
  </si>
  <si>
    <t>R100 000.00 per cable plus additional cost incurred of material, labour and transport plus 10%</t>
  </si>
  <si>
    <t>R22 000.00 per cable plus additional cost incurred of material, labour and transport plus 10%</t>
  </si>
  <si>
    <t>R10 900 plus the estimated cost of material, Labour, Transport plus 10%</t>
  </si>
  <si>
    <r>
      <t xml:space="preserve">9.17  Cost for damaging any 33kV PILC/XLPE cable </t>
    </r>
  </si>
  <si>
    <r>
      <t xml:space="preserve">9.18  Cost for damaging any 132kV PILC/XLPE cable </t>
    </r>
  </si>
  <si>
    <t>Max + CPI</t>
  </si>
  <si>
    <t>Quotations - Standard service tariffs - 10% of the estimated cost to a maximum of --</t>
  </si>
  <si>
    <t>CPI</t>
  </si>
  <si>
    <t>Ave CPI+2%</t>
  </si>
  <si>
    <t>Quotations - Bulk connections and other services  - 10% of the estimated cost to a maximum of --</t>
  </si>
  <si>
    <t>Per Stores prices Jan 17+ CPI</t>
  </si>
  <si>
    <t>Escalated by</t>
  </si>
  <si>
    <t>Administration Levy (Indirect Cost)</t>
  </si>
  <si>
    <t>Description</t>
  </si>
  <si>
    <t>2015/2016 Percentages</t>
  </si>
  <si>
    <t>2016/2017 Original Budget (Rand)</t>
  </si>
  <si>
    <t>2016/2017 Percentages</t>
  </si>
  <si>
    <t>Total operating expenditure for Engineering Wires</t>
  </si>
  <si>
    <t>Direct costs</t>
  </si>
  <si>
    <t>Indirect costs</t>
  </si>
  <si>
    <t>Conclusion</t>
  </si>
  <si>
    <t>Note: The difference in the percentage of indirect costs to direct costs between the two financial periods (27% for 2015/2016 and 57% for 2016/2017) is because 2015/2016 percenatge is based on actual results for the financial year while the 2016/2017 percentage is based on the original budget which is an estimate and  generally tends to be revised downwards.</t>
  </si>
  <si>
    <r>
      <t xml:space="preserve">As an estimate, when setting service tariffs, about </t>
    </r>
    <r>
      <rPr>
        <b/>
        <sz val="11"/>
        <color indexed="10"/>
        <rFont val="Calibri"/>
        <family val="2"/>
      </rPr>
      <t>57%</t>
    </r>
    <r>
      <rPr>
        <sz val="10"/>
        <rFont val="Arial"/>
        <family val="2"/>
      </rPr>
      <t xml:space="preserve"> (33,832,324 / 60,044,334) of direct costs should be added to recoup indirect costs</t>
    </r>
  </si>
  <si>
    <t>?????</t>
  </si>
  <si>
    <t>TOU kWh meter - 80- 120Amp 220/240V</t>
  </si>
  <si>
    <t>9.2.4 Reinstatement of supply following disconnection of service by CENTLEC  - 3 Phase pre-payment meter damaged or persistent tampering (PPD 3phase)</t>
  </si>
  <si>
    <t>9.5 Use of measuring instruments to record current and voltage fluctuations at the request of the consumer     1Phase (per 24 hour period)</t>
  </si>
  <si>
    <t>9.6 Use of measuring instruments to record current and voltage fluctuations at the request of the consumer  3Phase (per 24 hour period)</t>
  </si>
  <si>
    <t>Gobodo</t>
  </si>
  <si>
    <t>Reg No</t>
  </si>
  <si>
    <t>Driver Name</t>
  </si>
  <si>
    <t>Cost Centre Name</t>
  </si>
  <si>
    <t>Trans Date</t>
  </si>
  <si>
    <t>Service Point Name</t>
  </si>
  <si>
    <t>Cost Item</t>
  </si>
  <si>
    <t>ODO Reading</t>
  </si>
  <si>
    <t>Unit Qty</t>
  </si>
  <si>
    <t>Amount</t>
  </si>
  <si>
    <t>USE</t>
  </si>
  <si>
    <t>Tran Time</t>
  </si>
  <si>
    <t>km</t>
  </si>
  <si>
    <t>Rand</t>
  </si>
  <si>
    <t>Ave Rand/Km</t>
  </si>
  <si>
    <t>'CCF979FS</t>
  </si>
  <si>
    <t>POOL</t>
  </si>
  <si>
    <t>CONNECTION</t>
  </si>
  <si>
    <t>'20161031</t>
  </si>
  <si>
    <t>TSHELA FILLING STATION CC</t>
  </si>
  <si>
    <t>FUEL</t>
  </si>
  <si>
    <t>BUS</t>
  </si>
  <si>
    <t>'831510</t>
  </si>
  <si>
    <t>'DMH245FS</t>
  </si>
  <si>
    <t>SPARE</t>
  </si>
  <si>
    <t>'20161101</t>
  </si>
  <si>
    <t>2 FILL UP</t>
  </si>
  <si>
    <t>'1158430</t>
  </si>
  <si>
    <t>'FPB018FS</t>
  </si>
  <si>
    <t>J MATSIELI/A JEREMIA</t>
  </si>
  <si>
    <t>SAFARI MOTORS WESTDENE</t>
  </si>
  <si>
    <t>'1529400</t>
  </si>
  <si>
    <t>'DBB518FS</t>
  </si>
  <si>
    <t>GRUNDLIGH</t>
  </si>
  <si>
    <t>'20161102</t>
  </si>
  <si>
    <t>'906000</t>
  </si>
  <si>
    <t>The table shows how the  fuel consumption of a sample of connection vehicles varies from R0.147/km to R11.83/km. As a result of this wide variation, reliance cannot be placed on the data from the fleet management unit, hence running costs per the Automobile Association (AA) will be used to determine the transporting costs incurred during service connections. The table below shows the figures from AA:</t>
  </si>
  <si>
    <t>Fixed</t>
  </si>
  <si>
    <t>Maintenance</t>
  </si>
  <si>
    <t>Running</t>
  </si>
  <si>
    <t>Fuel</t>
  </si>
  <si>
    <t>ITEM</t>
  </si>
  <si>
    <t>Price</t>
  </si>
  <si>
    <t>Cost</t>
  </si>
  <si>
    <t>TRANSPORT RATES</t>
  </si>
  <si>
    <t>3-5Ton truck + hydraulic eq. (R/km)</t>
  </si>
  <si>
    <t>Standing time</t>
  </si>
  <si>
    <t>6-9Ton truck + hydraulic eq. (R/km)</t>
  </si>
  <si>
    <t>Standing time (R/hr)</t>
  </si>
  <si>
    <t>&gt; 9Ton truck + hydraulic eq. (R/km)</t>
  </si>
  <si>
    <t>LDV Vehicles. (R/km)</t>
  </si>
  <si>
    <t>From the table, variable running costs per km is R28.57(16.77+11.80)</t>
  </si>
  <si>
    <t>Standing time per hour is R147.5 (82.50+65.00)</t>
  </si>
  <si>
    <t>9.2.1.2 Fine for tampring: Normal 1Ph meter for multiple residential use (cottages, room rental or backrooms)</t>
  </si>
  <si>
    <t>9.2.1.1 Fine for tampring: Normal 1Ph meter for single residential use</t>
  </si>
  <si>
    <t>9.2.2.1 Fine for tampring: Normal 3Ph meter for single residential use</t>
  </si>
  <si>
    <t>9.2.2.2 Fine for tampring: Normal 3Ph meter for multiple residential use (cottages, room rental or backrooms)</t>
  </si>
  <si>
    <t>9.2.3.1 Fine for tampring: Normal 1Ph meter for single residential use</t>
  </si>
  <si>
    <t>9.2.3.2 Fine for tampring: Normal 1Ph meter for multiple residential use (cottages, room rental or backrooms)</t>
  </si>
  <si>
    <t>9.9.1 Charges when tampering with metering equipment - Small (commercial supply 60A - 1phase) consumer (TC)</t>
  </si>
  <si>
    <t>9.9.2 Charges when tampering with metering equipment - Small (commercial supply 3x60A - 3phase) consumer (TC)</t>
  </si>
  <si>
    <t xml:space="preserve">9.9.1.1 Fine for tampering: Normal 1Ph meter for business (including formal student housing and guest houses) </t>
  </si>
  <si>
    <t xml:space="preserve">9.9.2.1 Fine for tampering: Normal 3Ph meter for business (including formal student housing and guest houses) (TC) </t>
  </si>
  <si>
    <t>9.12 Levy for all refunds will be 26,6% of the quoted value</t>
  </si>
  <si>
    <t>9.10.1 Fine for tampering: Bulk Consumers &lt;= 300kVA (TB)</t>
  </si>
  <si>
    <t>9.10.2 Fine for tampering: Bulk Consumers &gt;300kVA(TB)</t>
  </si>
  <si>
    <t>9.2.4.1 Fine for tampering: Normal 3Ph meter for single residential use</t>
  </si>
  <si>
    <t>9.2.4.2 Fine for tampering: Normal 3Ph meter for multiple residential use (cottages, room rental or backrooms)</t>
  </si>
  <si>
    <t xml:space="preserve">9.11 Replacement of the keypad units </t>
  </si>
  <si>
    <t>b. Reinstatement of supply (60Amp 1phase meter)</t>
  </si>
  <si>
    <t>Estimate connection size</t>
  </si>
  <si>
    <t>kVA</t>
  </si>
  <si>
    <t>Res IBT  &lt;80A</t>
  </si>
  <si>
    <t>&lt;</t>
  </si>
  <si>
    <t>Total kVA Charge</t>
  </si>
  <si>
    <t>(R/kVA)</t>
  </si>
  <si>
    <t>Total Energy Charge</t>
  </si>
  <si>
    <t>(average c/kWh)</t>
  </si>
  <si>
    <t>One Month Estimated Account</t>
  </si>
  <si>
    <t>Avarage Demand use (ADMD)</t>
  </si>
  <si>
    <t>Calculated Monthly Consumption</t>
  </si>
  <si>
    <t>Fine = Calculated monthly consumption x</t>
  </si>
  <si>
    <t>Avarage Demand use (70% LF)</t>
  </si>
  <si>
    <t>Flat Business Tariff IV &lt;80A</t>
  </si>
  <si>
    <t>(c/kWh)</t>
  </si>
  <si>
    <t>Elecflex III - LV from miniature substations</t>
  </si>
  <si>
    <r>
      <t xml:space="preserve">9.3 Reinstatement of supply by  Finance Directorate </t>
    </r>
    <r>
      <rPr>
        <sz val="10"/>
        <color indexed="10"/>
        <rFont val="Arial"/>
        <family val="2"/>
      </rPr>
      <t>(no motor cycles)</t>
    </r>
  </si>
  <si>
    <t>2020/2021</t>
  </si>
  <si>
    <t>Energy Tariffs</t>
  </si>
  <si>
    <t>Residential IBT</t>
  </si>
  <si>
    <t>Annual increase</t>
  </si>
  <si>
    <t>Rounded off to</t>
  </si>
  <si>
    <t>KVA</t>
  </si>
  <si>
    <t>Energy</t>
  </si>
  <si>
    <t>Service charge</t>
  </si>
  <si>
    <t>Units</t>
  </si>
  <si>
    <t>Tariff</t>
  </si>
  <si>
    <t>VAT @</t>
  </si>
  <si>
    <t>R10 900
plus the estimated cost of material, Labour, Transport plus 10%</t>
  </si>
  <si>
    <t>Key Pad for PP meter</t>
  </si>
  <si>
    <t>???</t>
  </si>
  <si>
    <t>As received from HR 25 Jan 2019</t>
  </si>
  <si>
    <t>÷</t>
  </si>
  <si>
    <t>Proposed Tariffs</t>
  </si>
  <si>
    <t>N/A</t>
  </si>
  <si>
    <r>
      <t xml:space="preserve">CENTLEC : ELECTRICITY SERVICES COSTS FOR </t>
    </r>
    <r>
      <rPr>
        <b/>
        <sz val="12"/>
        <color indexed="10"/>
        <rFont val="Arial"/>
        <family val="2"/>
      </rPr>
      <t>MANTSOPA MUNIC</t>
    </r>
  </si>
  <si>
    <r>
      <t xml:space="preserve">CENTLEC : ELECTRICITY SERVICES COSTS FOR </t>
    </r>
    <r>
      <rPr>
        <b/>
        <sz val="12"/>
        <color indexed="10"/>
        <rFont val="Arial"/>
        <family val="2"/>
      </rPr>
      <t>MOHOKARE MUNIC</t>
    </r>
  </si>
  <si>
    <r>
      <t xml:space="preserve">CENTLEC : ELECTRICITY SERVICES COSTS FOR </t>
    </r>
    <r>
      <rPr>
        <b/>
        <sz val="12"/>
        <color indexed="10"/>
        <rFont val="Arial"/>
        <family val="2"/>
      </rPr>
      <t>MANGAUNG METRO</t>
    </r>
  </si>
  <si>
    <t>2021/2022</t>
  </si>
  <si>
    <t>NIS</t>
  </si>
  <si>
    <t>Bandit strap per metre  - 19mm (price per rol of 30m)</t>
  </si>
  <si>
    <t>Bandit buckle - 19mm (per pkt of 100)</t>
  </si>
  <si>
    <t>Highest price- Store + CPI or prev price</t>
  </si>
  <si>
    <t>CPI+2%</t>
  </si>
  <si>
    <t xml:space="preserve">1.2  Single phase overhead connection with Split Pre-payment meter taken from overhead network   - With Ready board   </t>
  </si>
  <si>
    <t>Actual estimated cost plus network contribution for 7.5kVA</t>
  </si>
  <si>
    <t>4. NEW THREE PHASE DOMESTIC CONNECTIONS: PERI-URBAN</t>
  </si>
  <si>
    <t>add with under ground network (Flisp)</t>
  </si>
  <si>
    <t>1.4  New connection (Permanent) for Church/ Creche with NPO certificate &amp; Proof of Title deeds paper registered with Church/Creche:  Single phase Split Prepaid  meter</t>
  </si>
  <si>
    <t>1.5  Single phase domestic connection in meter box placed on stand boundary taken from underground cable network (connection to an erf, where the development costs has been paid) -</t>
  </si>
  <si>
    <t xml:space="preserve">    1.5.2 Connection in meter box, Single phase Split pre-payment meter</t>
  </si>
  <si>
    <t xml:space="preserve">1.7  Subdivision  (Domestic) -  Urban area: </t>
  </si>
  <si>
    <t xml:space="preserve">    1.7.1 Subdivision Urban Area:  A new Single Phase Split pre-payment meter for domestic connection </t>
  </si>
  <si>
    <t>9.1.4 Hiring of Genset</t>
  </si>
  <si>
    <t>Actual estimated cost plus network contribution for 1.5kVA</t>
  </si>
  <si>
    <t>X Mbali</t>
  </si>
  <si>
    <t>https://tradingeconomics.com/south-africa/inflation-cpi</t>
  </si>
  <si>
    <r>
      <t xml:space="preserve">CENTLEC : ELECTRICITY SERVICES COSTS FOR </t>
    </r>
    <r>
      <rPr>
        <b/>
        <sz val="12"/>
        <color indexed="10"/>
        <rFont val="Arial"/>
        <family val="2"/>
      </rPr>
      <t>KOPANONG MUNIC</t>
    </r>
  </si>
  <si>
    <t>Store price on Mar 2021</t>
  </si>
  <si>
    <t>Ripple relay - 2x40Amp (Not in stock)</t>
  </si>
  <si>
    <t>Ready board only</t>
  </si>
  <si>
    <t>Current transformers for LV metering (Not sure)</t>
  </si>
  <si>
    <t>82.29</t>
  </si>
  <si>
    <t>256.80</t>
  </si>
  <si>
    <t>61800630/61800614/62300359/50900367/51600324/81800614/82300388</t>
  </si>
  <si>
    <t>Staywire set (51600324 NIS)</t>
  </si>
  <si>
    <r>
      <t>As an estimate, when setting service tariffs, about 10</t>
    </r>
    <r>
      <rPr>
        <b/>
        <sz val="11"/>
        <color indexed="10"/>
        <rFont val="Calibri"/>
        <family val="2"/>
      </rPr>
      <t>%</t>
    </r>
    <r>
      <rPr>
        <sz val="10"/>
        <rFont val="Arial"/>
        <family val="2"/>
      </rPr>
      <t xml:space="preserve"> (24,614,467 / 92,316,214) of direct costs should be added to recoup indirect costs</t>
    </r>
  </si>
  <si>
    <t xml:space="preserve">Actual estimated cost plus network contribution depending on number of meters required </t>
  </si>
  <si>
    <t>2020/2021 Actual Results (Rand)</t>
  </si>
  <si>
    <t>Actual estimated cost plus network contribution ADMD (to be detrmined by number of meters applied for) crediting the network contribution already paid for.</t>
  </si>
  <si>
    <t xml:space="preserve">METER: COMB KWH/KVA </t>
  </si>
  <si>
    <t xml:space="preserve"> Rural household meter box</t>
  </si>
  <si>
    <t>Accountant/ Chief Eng Asst</t>
  </si>
  <si>
    <t>^005</t>
  </si>
  <si>
    <t>CD45 - 2020/2021</t>
  </si>
  <si>
    <t>9.5 Fine for tampring RMD 1 Ph: Normal 1Ph meter for single residential use</t>
  </si>
  <si>
    <t>9.6 Fine for tampring RMD 1Ph: Normal 1Ph meter for multiple residential use (cottages, room rental or backrooms)</t>
  </si>
  <si>
    <t xml:space="preserve">9.7 Reinstatement of supply following disconnection of Std 3 phase service -  Where meter was damaged or persistant tampering occurred (RMD 3 Ph) - Replaced with 100A Time of Use meter (TOU) </t>
  </si>
  <si>
    <t>9.7.1 Fine for tampring RMD 3ph: Normal 3Ph meter for single residential use</t>
  </si>
  <si>
    <t>9.7.2 Fine for tampring RMD 3Ph: Normal 3Ph meter for multiple residential use (cottages, room rental or backrooms)</t>
  </si>
  <si>
    <t>9.8. Illigal Shifting of Meter</t>
  </si>
  <si>
    <t>9.9 Reinstatement of supply following disconnection of service by CENTLEC - 1Phase pre-payment meter damaged or persistent tampering (PPD)</t>
  </si>
  <si>
    <t>9.9.1 Fine for tampring PPD: Normal 1Ph Prepaid meter for single residential use</t>
  </si>
  <si>
    <t>9.9.2 Fine for tampring PPD: Normal 1Ph Prepaid meter for multiple residential use (cottages, room rental or backrooms)</t>
  </si>
  <si>
    <t>9.10 Reinstatement of supply following disconnection of service by CENTLEC  - 3 Phase pre-payment meter</t>
  </si>
  <si>
    <t>9.10.1 Fine for tampring PPD: Normal 3Ph Prepaid meter for single residential use</t>
  </si>
  <si>
    <t>9.10.2 Fine for tampring PPD: Normal 3Ph Prepaid meter for multiple residential use (cottages, room rental or backrooms)</t>
  </si>
  <si>
    <t>9.11 Reinstatement of supply by  Centlec (SOC) Ltd</t>
  </si>
  <si>
    <t>9.12 Reinstatement of supply by CENTLEC - Where supplied from overhead transmission systems or a substation</t>
  </si>
  <si>
    <t>9.13 Use of measuring instruments to record current and voltage fluctuations at the request of the consumer</t>
  </si>
  <si>
    <t>9.14 Use of measuring instruments to record current and voltage fluctuations at the request of the consumer</t>
  </si>
  <si>
    <t>9.15 Replacement of 1phase pre-payment meter due to tampering - blocking of vending</t>
  </si>
  <si>
    <t>9.16 Replacement of 3phase pre-payment meter due to tampering - blocking of vending</t>
  </si>
  <si>
    <t>9.16.1 Charges when tampering with metering equipment - Small (commercial supply 60A - 1phase) consumer (TC)</t>
  </si>
  <si>
    <t>9.16.1.1 Fine for tampering TC: Normal 1Ph meter for business (including formal student housing and guest houses)</t>
  </si>
  <si>
    <t>9.16.2 Charges when tampering with metering equipment - Small (commercial supply 60A - 3phase) consumer (TC)</t>
  </si>
  <si>
    <t>9.16.2.1 Fine for tampering: Normal 3Ph meter for business (including formal student housing and guest houses) (TC)</t>
  </si>
  <si>
    <t>9.17 Charges when tampering with metering equipment - Bulk consumer (TB)</t>
  </si>
  <si>
    <t>9.18 Fine for tampering: Bulk Consumers &lt;= 300kVA (TB)</t>
  </si>
  <si>
    <t>9.18.1 Fine for tampering: Bulk Consumers &gt;300kVA(TB)</t>
  </si>
  <si>
    <t>10. Rotating disk meter replaced - 1phase (RMR) with Prepayment meter</t>
  </si>
  <si>
    <t>11.  Excavations within public areas leading to damage to electricity cables, including attempts of theft</t>
  </si>
  <si>
    <t>12.  In the case of damage to a low voltage cable or line installation, or any part of the installation</t>
  </si>
  <si>
    <r>
      <t xml:space="preserve">13.  Cost for damaging any 11kV cable </t>
    </r>
  </si>
  <si>
    <r>
      <t xml:space="preserve">14.  Cost for damaging any 33kV PILC/XLPE cable </t>
    </r>
  </si>
  <si>
    <r>
      <t xml:space="preserve">15.  Cost for damaging any 132kV PILC/XLPE cable </t>
    </r>
  </si>
  <si>
    <t>16. Delivery of notice of intended disconnection where a customer has failed to pay his/her account on the due date</t>
  </si>
  <si>
    <t>17. Clearance Certificate Tariff</t>
  </si>
  <si>
    <t>18. WAYLEAVES - for construcion and excavation work.</t>
  </si>
  <si>
    <t>19.Notice Fees</t>
  </si>
  <si>
    <t>20.1 Residential - Disconnection and Reconnection Fees - Office hours</t>
  </si>
  <si>
    <t>20.2 Residential - Disconnection and Reconnection Fees - After Hours rate (N+33%)</t>
  </si>
  <si>
    <t>20.3 Business - Disconnection and Reconnection Fees - Office hours</t>
  </si>
  <si>
    <t>20.4 Business - Disconnection and Reconnection Fees - After Hours rate (N+33%)</t>
  </si>
  <si>
    <t>20.5 Bulk connections - Disconnection and Reconnection Fees - Office hours</t>
  </si>
  <si>
    <t>20.5 Bulk connections - Disconnection and Reconnection Fees - After Hours rate (N+33%)</t>
  </si>
  <si>
    <t>10.1%</t>
  </si>
  <si>
    <t xml:space="preserve">Actual estimated cost plus ADMD network contribution to be dertmined by number of meters needed </t>
  </si>
  <si>
    <t xml:space="preserve">1.3  Single phase underground/ovehead connection with Split Pre-payment meter taken from underground/overhead network (Flisp Housing)  - With Ready board   </t>
  </si>
  <si>
    <t xml:space="preserve">    1.5.1 Connection in meter box, Single Phase Time of Use kWh meter</t>
  </si>
  <si>
    <t>1.6 Single phase Pre-payment meters for areas that are fully subsidised. (Grants from different departments, e.g USDG, etc)</t>
  </si>
  <si>
    <t>1.8 Additional Meters:  New 1ph  Split pre-paid meter connection- limited up to 500kVA, LV per Erf. Cost estimates will be compiled based on the quantiry of meters required and Network contribution will be levied as per ruling R/kVA.</t>
  </si>
  <si>
    <t>Three phase connection in meter box placed on stand boundary taken from underground cable network.</t>
  </si>
  <si>
    <t>Three phase domestic connection in meter box placed on stand boundary taken from underground cable network.</t>
  </si>
  <si>
    <t xml:space="preserve">2.3 Three phase domestic connection in meter box, Split pre-payment meter </t>
  </si>
  <si>
    <t>2.4 Three phase domestic connection in meter box, Split pre-payment meter.</t>
  </si>
  <si>
    <t>3.1 Single phase Peri-Urban domestic connection with TOU kWh meter.  Supplied by 25kVA single phase transformer (60A) from 11kV overhead line   (where an 11kV line exists and is within the first 350m)</t>
  </si>
  <si>
    <t xml:space="preserve">4.1 New Three phase 80A/ph 25kVA domestic connection  in meter box with Time of use (TOU) meter in Mangaung - Peri urban                                              </t>
  </si>
  <si>
    <t xml:space="preserve">4.2 New Three phase 80A/ph domestic connection in meter box with Time of use (TOU) meter in Regional.                                                                                      </t>
  </si>
  <si>
    <t xml:space="preserve">Three phase domestic connection in meterbox, where an 11kV line exists or has to be extended up to 350m.                                           </t>
  </si>
  <si>
    <t xml:space="preserve">4.3  New Three phase Peri-Urban domestic connection - Pre-payment meter (80A per phase)                                                    </t>
  </si>
  <si>
    <t xml:space="preserve">4.4 Three phase Peri-Urban domestic connection - Pre- payment meter (80A per phase)                                                    </t>
  </si>
  <si>
    <t xml:space="preserve">    4.5.1  Subdivision Pri Urban Area:  New Single Phase Split pre-payment meter connection in existing 11kV overhead line or  where 11kV overhead line needs to be exteded up to 350m.</t>
  </si>
  <si>
    <t xml:space="preserve">    4.5.2 Subdivision Peri Urban Area:  New Three Split pre-payment meter connection on the stand boundary, where 11kV overhead line needs to be exteded up to 350m at ADMD = 7,5KVA</t>
  </si>
  <si>
    <t>5.  ILLUMINATING SIGNS</t>
  </si>
  <si>
    <t>Example</t>
  </si>
  <si>
    <t xml:space="preserve">The initial installation costs will be estimated in accordance to the current material &amp; labour costs. The consumption will be based on approved energy tarrif (winter &amp; summer) which will be calculated according to the total consumption.  </t>
  </si>
  <si>
    <t xml:space="preserve">6. TEMPORARY CONNECTIONS - MAXIMUM PERIOD OF 12 MONTHS </t>
  </si>
  <si>
    <r>
      <t xml:space="preserve">6.1 Temporary builders underground connection - </t>
    </r>
    <r>
      <rPr>
        <sz val="10"/>
        <rFont val="Times New Roman"/>
        <family val="1"/>
      </rPr>
      <t>Three phase 80 Ampère Prepaid meter only.  Please note: These connections would only be permitted  for a maximum period of 12 months after which it will be removed by CENTLEC. (Where a trench is not longer than 12m)</t>
    </r>
  </si>
  <si>
    <t>6.2.1 Temporary connection for a special event - Single phase 80Ampère P/P with over head Airdac - Church Crusades, Social, Cultural and community events, temporary creches, police stations, etc.</t>
  </si>
  <si>
    <t>6.2.2 Temporary connection for a special event - Three phase 80Ampère P/P- Church Crusades, Social, Cultural and community events, temporary creches, police stations, Car wash ect (where a trench is not longer than 12m)</t>
  </si>
  <si>
    <r>
      <t xml:space="preserve">6.2 Temporary connection for a special events - </t>
    </r>
    <r>
      <rPr>
        <sz val="10"/>
        <rFont val="Times New Roman"/>
        <family val="1"/>
      </rPr>
      <t xml:space="preserve">These temporary connections would only be permitted for MMM approved special short term events and it would be removed afterwards - </t>
    </r>
    <r>
      <rPr>
        <b/>
        <sz val="10"/>
        <rFont val="Times New Roman"/>
        <family val="1"/>
      </rPr>
      <t>Maximum duration is 3 months</t>
    </r>
    <r>
      <rPr>
        <sz val="10"/>
        <rFont val="Times New Roman"/>
        <family val="1"/>
      </rPr>
      <t xml:space="preserve">. </t>
    </r>
  </si>
  <si>
    <r>
      <t xml:space="preserve">6.2.3 Temporary connection for a special event - Three phase 80Ampère P/P- Car wash etc </t>
    </r>
    <r>
      <rPr>
        <b/>
        <sz val="10"/>
        <rFont val="Times New Roman"/>
        <family val="1"/>
      </rPr>
      <t>(Subsidised sites)</t>
    </r>
  </si>
  <si>
    <t xml:space="preserve">MATERIAL </t>
  </si>
  <si>
    <t>7. ALTERATIONS TO ELECTRICITY SERVICES</t>
  </si>
  <si>
    <t>7.1.1 Conversion of a single register meter to Single phase Pre-payment where meterbox exist on erf boundary - ( No charge for Prepayment  meter)</t>
  </si>
  <si>
    <t>7.1.2 Conversion of Three phase (TOU/kWH) connection to Prepayment meter - Existing meterbox on erf boundary</t>
  </si>
  <si>
    <t xml:space="preserve">7.1.3 Upgrade of single phase Urban connection to three phase - Time of Use Meter(TOU)            </t>
  </si>
  <si>
    <t xml:space="preserve">7.1.4 Upgrade of single phase Urban connection to three phase - Split pre-payment meter             </t>
  </si>
  <si>
    <t xml:space="preserve">8.1.5 Upgrading of single phase Urban connection to three phase - Time of Use Meter(TOU)            </t>
  </si>
  <si>
    <t xml:space="preserve">7.1.6 Upgrade of single phase Urban connection to three phase - Split pre-payment meter            </t>
  </si>
  <si>
    <t xml:space="preserve">7.1.7 Upgrade of single phase Peri-Urban connection to three phase -Time of Use Meter(TOU)  </t>
  </si>
  <si>
    <t xml:space="preserve">7.1.8 Upgrade of single phase Peri-Urban connection to three phase -Split pre-payment meter    </t>
  </si>
  <si>
    <t xml:space="preserve">7.1.9 Upgrade of single phase Peri-Urban connection to three phase -Time of Use Meter(TOU)  </t>
  </si>
  <si>
    <t xml:space="preserve">7.1.10 Conversion of single phase Peri-Urban connection to three phase - Split pre-payment meter      </t>
  </si>
  <si>
    <t xml:space="preserve">hour-Eng asst </t>
  </si>
  <si>
    <t>hour-First Eng Assistant</t>
  </si>
  <si>
    <t>hour-Snr Eng Assistant</t>
  </si>
  <si>
    <t>hour-Chief Eng Assistant</t>
  </si>
  <si>
    <t>hour-Electrician</t>
  </si>
  <si>
    <t>hour-Team Leader</t>
  </si>
  <si>
    <t>hour-General Worker</t>
  </si>
  <si>
    <t>^015</t>
  </si>
  <si>
    <t>LABOUR TARIFFS 1 July 2020 - 30 June 2021</t>
  </si>
  <si>
    <t>Trade Worker Gr I//II//II//IV</t>
  </si>
  <si>
    <t>^015//09/3</t>
  </si>
  <si>
    <t>Jnr // Electrician//Snr//Asst Sup</t>
  </si>
  <si>
    <t>^09/07</t>
  </si>
  <si>
    <t>^007</t>
  </si>
  <si>
    <t>Hours</t>
  </si>
  <si>
    <t>Personnel</t>
  </si>
  <si>
    <t xml:space="preserve">FUEL </t>
  </si>
  <si>
    <t>@2000L (Diesel @R16,375</t>
  </si>
  <si>
    <t>Trench by Internal Resources</t>
  </si>
  <si>
    <t>Cost per meter</t>
  </si>
  <si>
    <t>m trench 0.6 m deep (Contractor)</t>
  </si>
  <si>
    <t>m trench 1m deep (Contractor)</t>
  </si>
  <si>
    <t>m Paving &amp; Tar repair (contractor)</t>
  </si>
  <si>
    <t>m trench 0.6 m deep, Dig &amp; Backfill (Internal)</t>
  </si>
  <si>
    <t>per meter</t>
  </si>
  <si>
    <t>Internal</t>
  </si>
  <si>
    <t>Detaild</t>
  </si>
  <si>
    <t>m Additional rock per sqm (Internal)</t>
  </si>
  <si>
    <t>Escavation</t>
  </si>
  <si>
    <t>Rock p/sqm</t>
  </si>
  <si>
    <t xml:space="preserve">  [Regional - peri urban area]</t>
  </si>
  <si>
    <t xml:space="preserve">  [Regional - Urban area]</t>
  </si>
  <si>
    <t>2022/2023</t>
  </si>
  <si>
    <t>2023/2024</t>
  </si>
  <si>
    <t>2024/2025</t>
  </si>
  <si>
    <t>Actual estimated cost plus network contribution for 4.5kVA</t>
  </si>
  <si>
    <t>3.2 Single phase Peri-Urban domestic connection with TOU kWh meter.  Supplied by 25kVA single phase transformer (60A) from 11kV overhead line   (where an 11kV line exists and is within the first 350m)</t>
  </si>
  <si>
    <t>3.3 Single phase Peri-Urban domestic connection - Prepayment meter. - Supplied by 25kVA single phase Trfr (60A) from 11kV overhead line   (where an 11kV line exists)</t>
  </si>
  <si>
    <t>3.4 Single phase Peri-Urban domestic connection - Prepayment meter. - Supplied by 25kVA single phase Trfr (60A) from 11kV overhead line   (where an 11kV line exists)</t>
  </si>
  <si>
    <t>3.5  Additional  Meters Peri-Urban Area:  New 1ph  Split pre-paid meter connection- limited up to 200kVA, LV per Erf. Cost estimates will be compiled based on the quantiry of meters required and Network contribution will be levied as per ruling R/kVA.</t>
  </si>
</sst>
</file>

<file path=xl/styles.xml><?xml version="1.0" encoding="utf-8"?>
<styleSheet xmlns="http://schemas.openxmlformats.org/spreadsheetml/2006/main">
  <numFmts count="2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 #,##0.00_);_(* \(#,##0.00\);_(* &quot;-&quot;??_);_(@_)"/>
    <numFmt numFmtId="165" formatCode="&quot;R&quot;\ #,##0.00;&quot;R&quot;\ \-#,##0.00"/>
    <numFmt numFmtId="166" formatCode="&quot;R&quot;\ #,##0.00;[Red]&quot;R&quot;\ \-#,##0.00"/>
    <numFmt numFmtId="167" formatCode="_ &quot;R&quot;\ * #,##0.00_ ;_ &quot;R&quot;\ * \-#,##0.00_ ;_ &quot;R&quot;\ * &quot;-&quot;??_ ;_ @_ "/>
    <numFmt numFmtId="168" formatCode="_ * #,##0.00_ ;_ * \-#,##0.00_ ;_ * &quot;-&quot;??_ ;_ @_ "/>
    <numFmt numFmtId="169" formatCode="&quot;R&quot;\ #,##0.00"/>
    <numFmt numFmtId="170" formatCode="0.0%"/>
    <numFmt numFmtId="171" formatCode="&quot;R&quot;\ #,##0.000"/>
    <numFmt numFmtId="172" formatCode="_ * #,##0_ ;_ * \-#,##0_ ;_ * &quot;-&quot;??_ ;_ @_ "/>
    <numFmt numFmtId="173" formatCode="&quot;R&quot;\ #,##0"/>
    <numFmt numFmtId="174" formatCode="&quot;R&quot;\ #,##0.000;&quot;R&quot;\ \-#,##0.000"/>
    <numFmt numFmtId="175" formatCode="_ [$R-1C09]\ * #,##0.00_ ;_ [$R-1C09]\ * \-#,##0.00_ ;_ [$R-1C09]\ * &quot;-&quot;??_ ;_ @_ "/>
  </numFmts>
  <fonts count="113">
    <font>
      <sz val="10"/>
      <name val="Arial"/>
      <family val="0"/>
    </font>
    <font>
      <sz val="11"/>
      <color indexed="8"/>
      <name val="Calibri"/>
      <family val="2"/>
    </font>
    <font>
      <b/>
      <sz val="10"/>
      <name val="Arial"/>
      <family val="2"/>
    </font>
    <font>
      <sz val="8"/>
      <name val="Tahoma"/>
      <family val="2"/>
    </font>
    <font>
      <b/>
      <sz val="8"/>
      <name val="Tahoma"/>
      <family val="2"/>
    </font>
    <font>
      <b/>
      <sz val="10"/>
      <name val="Times New Roman"/>
      <family val="1"/>
    </font>
    <font>
      <sz val="12"/>
      <name val="Times New Roman"/>
      <family val="1"/>
    </font>
    <font>
      <sz val="10"/>
      <name val="Times New Roman"/>
      <family val="1"/>
    </font>
    <font>
      <b/>
      <i/>
      <sz val="10"/>
      <name val="Times New Roman"/>
      <family val="1"/>
    </font>
    <font>
      <b/>
      <sz val="10"/>
      <color indexed="12"/>
      <name val="Times New Roman"/>
      <family val="1"/>
    </font>
    <font>
      <i/>
      <sz val="10"/>
      <name val="Times New Roman"/>
      <family val="1"/>
    </font>
    <font>
      <b/>
      <sz val="12"/>
      <name val="Times New Roman"/>
      <family val="1"/>
    </font>
    <font>
      <b/>
      <sz val="10"/>
      <color indexed="10"/>
      <name val="Times New Roman"/>
      <family val="1"/>
    </font>
    <font>
      <sz val="8"/>
      <name val="Arial"/>
      <family val="2"/>
    </font>
    <font>
      <b/>
      <sz val="10"/>
      <color indexed="12"/>
      <name val="Arial"/>
      <family val="2"/>
    </font>
    <font>
      <sz val="10"/>
      <color indexed="14"/>
      <name val="Times New Roman"/>
      <family val="1"/>
    </font>
    <font>
      <b/>
      <sz val="11"/>
      <name val="Times New Roman"/>
      <family val="1"/>
    </font>
    <font>
      <u val="single"/>
      <sz val="10"/>
      <name val="Arial"/>
      <family val="2"/>
    </font>
    <font>
      <b/>
      <sz val="10"/>
      <name val="Arial Narrow"/>
      <family val="2"/>
    </font>
    <font>
      <sz val="10"/>
      <name val="Arial Narrow"/>
      <family val="2"/>
    </font>
    <font>
      <sz val="18"/>
      <color indexed="10"/>
      <name val="Arial Narrow"/>
      <family val="2"/>
    </font>
    <font>
      <sz val="10"/>
      <color indexed="10"/>
      <name val="Arial Narrow"/>
      <family val="2"/>
    </font>
    <font>
      <sz val="16"/>
      <color indexed="10"/>
      <name val="Arial Narrow"/>
      <family val="2"/>
    </font>
    <font>
      <b/>
      <sz val="12"/>
      <name val="Arial"/>
      <family val="2"/>
    </font>
    <font>
      <sz val="10"/>
      <color indexed="14"/>
      <name val="Arial"/>
      <family val="2"/>
    </font>
    <font>
      <b/>
      <sz val="11"/>
      <name val="Arial"/>
      <family val="2"/>
    </font>
    <font>
      <sz val="11"/>
      <color indexed="17"/>
      <name val="Calibri"/>
      <family val="2"/>
    </font>
    <font>
      <sz val="10"/>
      <color indexed="10"/>
      <name val="Times New Roman"/>
      <family val="1"/>
    </font>
    <font>
      <sz val="10"/>
      <color indexed="60"/>
      <name val="Times New Roman"/>
      <family val="1"/>
    </font>
    <font>
      <b/>
      <sz val="10"/>
      <color indexed="8"/>
      <name val="Times New Roman"/>
      <family val="1"/>
    </font>
    <font>
      <sz val="10"/>
      <color indexed="10"/>
      <name val="Arial"/>
      <family val="2"/>
    </font>
    <font>
      <sz val="10"/>
      <color indexed="8"/>
      <name val="Arial Narrow"/>
      <family val="2"/>
    </font>
    <font>
      <b/>
      <sz val="11"/>
      <color indexed="8"/>
      <name val="Arial Narrow"/>
      <family val="2"/>
    </font>
    <font>
      <sz val="10"/>
      <color indexed="8"/>
      <name val="Times New Roman"/>
      <family val="1"/>
    </font>
    <font>
      <b/>
      <sz val="10"/>
      <color indexed="10"/>
      <name val="Arial Narrow"/>
      <family val="2"/>
    </font>
    <font>
      <sz val="11"/>
      <color indexed="8"/>
      <name val="Arial Narrow"/>
      <family val="2"/>
    </font>
    <font>
      <b/>
      <sz val="11"/>
      <color indexed="10"/>
      <name val="Arial Narrow"/>
      <family val="2"/>
    </font>
    <font>
      <sz val="10"/>
      <color indexed="8"/>
      <name val="Arial"/>
      <family val="2"/>
    </font>
    <font>
      <b/>
      <sz val="10"/>
      <color indexed="8"/>
      <name val="Arial"/>
      <family val="2"/>
    </font>
    <font>
      <b/>
      <sz val="11"/>
      <color indexed="8"/>
      <name val="Calibri"/>
      <family val="2"/>
    </font>
    <font>
      <b/>
      <sz val="11"/>
      <color indexed="10"/>
      <name val="Calibri"/>
      <family val="2"/>
    </font>
    <font>
      <sz val="10"/>
      <color indexed="62"/>
      <name val="Arial"/>
      <family val="2"/>
    </font>
    <font>
      <b/>
      <sz val="6"/>
      <color indexed="8"/>
      <name val="Arial"/>
      <family val="2"/>
    </font>
    <font>
      <sz val="6"/>
      <color indexed="8"/>
      <name val="Arial"/>
      <family val="2"/>
    </font>
    <font>
      <b/>
      <sz val="6"/>
      <name val="Arial"/>
      <family val="2"/>
    </font>
    <font>
      <sz val="6"/>
      <name val="Arial"/>
      <family val="2"/>
    </font>
    <font>
      <b/>
      <sz val="10"/>
      <color indexed="14"/>
      <name val="Arial"/>
      <family val="2"/>
    </font>
    <font>
      <b/>
      <sz val="10"/>
      <color indexed="10"/>
      <name val="Arial"/>
      <family val="2"/>
    </font>
    <font>
      <sz val="10"/>
      <name val="Calibri"/>
      <family val="2"/>
    </font>
    <font>
      <b/>
      <sz val="12"/>
      <color indexed="10"/>
      <name val="Arial"/>
      <family val="2"/>
    </font>
    <font>
      <sz val="9"/>
      <name val="Tahoma"/>
      <family val="2"/>
    </font>
    <font>
      <b/>
      <sz val="9"/>
      <name val="Tahoma"/>
      <family val="2"/>
    </font>
    <font>
      <u val="single"/>
      <sz val="10"/>
      <color indexed="12"/>
      <name val="Arial"/>
      <family val="2"/>
    </font>
    <font>
      <b/>
      <i/>
      <sz val="10"/>
      <color indexed="10"/>
      <name val="Times New Roman"/>
      <family val="1"/>
    </font>
    <font>
      <i/>
      <sz val="10"/>
      <color indexed="10"/>
      <name val="Times New Roman"/>
      <family val="1"/>
    </font>
    <font>
      <sz val="9"/>
      <color indexed="8"/>
      <name val="Tahoma"/>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Times New Roman"/>
      <family val="1"/>
    </font>
    <font>
      <b/>
      <sz val="10"/>
      <color rgb="FFFF0000"/>
      <name val="Times New Roman"/>
      <family val="1"/>
    </font>
    <font>
      <b/>
      <sz val="10"/>
      <color theme="1"/>
      <name val="Times New Roman"/>
      <family val="1"/>
    </font>
    <font>
      <sz val="10"/>
      <color rgb="FFFF0000"/>
      <name val="Arial"/>
      <family val="2"/>
    </font>
    <font>
      <sz val="10"/>
      <color theme="1"/>
      <name val="Arial Narrow"/>
      <family val="2"/>
    </font>
    <font>
      <b/>
      <sz val="11"/>
      <color rgb="FF000000"/>
      <name val="Arial Narrow"/>
      <family val="2"/>
    </font>
    <font>
      <sz val="10"/>
      <color rgb="FFFF0000"/>
      <name val="Arial Narrow"/>
      <family val="2"/>
    </font>
    <font>
      <sz val="10"/>
      <color theme="1"/>
      <name val="Times New Roman"/>
      <family val="1"/>
    </font>
    <font>
      <sz val="10"/>
      <color theme="1"/>
      <name val="Arial"/>
      <family val="2"/>
    </font>
    <font>
      <b/>
      <sz val="10"/>
      <color theme="1"/>
      <name val="Arial"/>
      <family val="2"/>
    </font>
    <font>
      <sz val="10"/>
      <color rgb="FFC00000"/>
      <name val="Times New Roman"/>
      <family val="1"/>
    </font>
    <font>
      <sz val="10"/>
      <color theme="3" tint="-0.24997000396251678"/>
      <name val="Arial"/>
      <family val="2"/>
    </font>
    <font>
      <b/>
      <sz val="6"/>
      <color rgb="FF000000"/>
      <name val="Arial"/>
      <family val="2"/>
    </font>
    <font>
      <sz val="6"/>
      <color rgb="FF000000"/>
      <name val="Arial"/>
      <family val="2"/>
    </font>
    <font>
      <b/>
      <sz val="10"/>
      <color rgb="FFFF0000"/>
      <name val="Arial"/>
      <family val="2"/>
    </font>
    <font>
      <b/>
      <i/>
      <sz val="10"/>
      <color rgb="FFFF0000"/>
      <name val="Times New Roman"/>
      <family val="1"/>
    </font>
    <font>
      <i/>
      <sz val="10"/>
      <color rgb="FFFF0000"/>
      <name val="Times New Roman"/>
      <family val="1"/>
    </font>
    <font>
      <b/>
      <sz val="11"/>
      <color rgb="FFFF0000"/>
      <name val="Arial Narrow"/>
      <family val="2"/>
    </font>
    <font>
      <sz val="9"/>
      <color theme="1"/>
      <name val="Tahoma"/>
      <family val="2"/>
    </font>
    <font>
      <b/>
      <sz val="10"/>
      <color rgb="FFFF0000"/>
      <name val="Arial Narrow"/>
      <family val="2"/>
    </font>
    <font>
      <sz val="11"/>
      <color rgb="FF000000"/>
      <name val="Arial Narrow"/>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rgb="FFEAECC4"/>
        <bgColor indexed="64"/>
      </patternFill>
    </fill>
    <fill>
      <patternFill patternType="solid">
        <fgColor rgb="FFC0C0C0"/>
        <bgColor indexed="64"/>
      </patternFill>
    </fill>
    <fill>
      <patternFill patternType="solid">
        <fgColor theme="3" tint="0.39998000860214233"/>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top style="double"/>
      <bottom/>
    </border>
    <border>
      <left/>
      <right/>
      <top style="thin"/>
      <bottom style="double"/>
    </border>
    <border>
      <left/>
      <right/>
      <top style="double"/>
      <bottom style="thin"/>
    </border>
    <border>
      <left style="thin"/>
      <right/>
      <top style="thin"/>
      <bottom style="thin"/>
    </border>
    <border>
      <left/>
      <right style="thin"/>
      <top style="thin"/>
      <bottom style="thin"/>
    </border>
    <border>
      <left/>
      <right/>
      <top/>
      <bottom style="thin"/>
    </border>
    <border>
      <left/>
      <right style="thin"/>
      <top/>
      <bottom style="thin"/>
    </border>
    <border>
      <left/>
      <right/>
      <top style="thin"/>
      <bottom style="thin"/>
    </border>
    <border>
      <left style="thin"/>
      <right style="thin"/>
      <top style="thin"/>
      <bottom style="thin"/>
    </border>
    <border>
      <left style="thin"/>
      <right style="double"/>
      <top style="thin"/>
      <bottom style="thin"/>
    </border>
    <border>
      <left style="thin"/>
      <right/>
      <top style="thin"/>
      <bottom/>
    </border>
    <border>
      <left/>
      <right/>
      <top style="thin"/>
      <bottom/>
    </border>
    <border>
      <left/>
      <right style="thin"/>
      <top style="thin"/>
      <bottom/>
    </border>
    <border>
      <left style="thin"/>
      <right/>
      <top/>
      <bottom style="thin"/>
    </border>
    <border>
      <left style="thin"/>
      <right style="thin"/>
      <top style="thin"/>
      <bottom/>
    </border>
    <border>
      <left/>
      <right style="double"/>
      <top style="double"/>
      <bottom/>
    </border>
    <border>
      <left/>
      <right style="double"/>
      <top style="thin"/>
      <bottom style="thin"/>
    </border>
    <border>
      <left style="thin"/>
      <right style="double"/>
      <top/>
      <bottom style="thin"/>
    </border>
    <border>
      <left/>
      <right style="double"/>
      <top style="thin"/>
      <bottom style="double"/>
    </border>
    <border>
      <left/>
      <right style="double"/>
      <top style="double"/>
      <bottom style="thin"/>
    </border>
    <border>
      <left/>
      <right style="double"/>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thin"/>
      <top/>
      <bottom/>
    </border>
    <border>
      <left style="medium"/>
      <right style="medium"/>
      <top style="medium"/>
      <bottom style="medium"/>
    </border>
    <border>
      <left/>
      <right/>
      <top/>
      <bottom style="double"/>
    </border>
    <border>
      <left style="medium"/>
      <right/>
      <top/>
      <bottom style="medium"/>
    </border>
    <border>
      <left/>
      <right/>
      <top/>
      <bottom style="medium"/>
    </border>
    <border>
      <left/>
      <right style="medium"/>
      <top/>
      <bottom style="medium"/>
    </border>
    <border>
      <left/>
      <right style="double"/>
      <top/>
      <bottom/>
    </border>
    <border>
      <left/>
      <right/>
      <top style="thin"/>
      <bottom style="medium"/>
    </border>
    <border>
      <left/>
      <right/>
      <top style="medium"/>
      <bottom style="medium"/>
    </border>
    <border>
      <left/>
      <right/>
      <top style="medium"/>
      <bottom style="double"/>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style="double"/>
    </border>
    <border>
      <left style="thin"/>
      <right style="thin"/>
      <top style="thin"/>
      <bottom style="double"/>
    </border>
    <border>
      <left style="thin"/>
      <right style="medium"/>
      <top/>
      <bottom style="thin"/>
    </border>
    <border>
      <left style="thin"/>
      <right style="medium"/>
      <top style="thin"/>
      <bottom style="double"/>
    </border>
    <border>
      <left style="medium"/>
      <right style="thin"/>
      <top style="thin"/>
      <bottom/>
    </border>
    <border>
      <left style="thin"/>
      <right style="medium"/>
      <top style="thin"/>
      <bottom/>
    </border>
    <border>
      <left style="medium"/>
      <right/>
      <top style="medium"/>
      <bottom style="medium"/>
    </border>
    <border>
      <left style="medium"/>
      <right style="thin"/>
      <top/>
      <bottom/>
    </border>
    <border>
      <left style="thin"/>
      <right style="thin"/>
      <top/>
      <bottom/>
    </border>
    <border>
      <left style="medium"/>
      <right style="thin"/>
      <top/>
      <bottom style="double"/>
    </border>
    <border>
      <left style="thin"/>
      <right style="thin"/>
      <top/>
      <bottom style="double"/>
    </border>
    <border>
      <left style="thin"/>
      <right style="medium"/>
      <top/>
      <bottom/>
    </border>
    <border>
      <left style="medium"/>
      <right/>
      <top style="double"/>
      <bottom/>
    </border>
    <border>
      <left/>
      <right style="medium"/>
      <top style="double"/>
      <bottom/>
    </border>
    <border>
      <left style="medium"/>
      <right/>
      <top/>
      <bottom style="double"/>
    </border>
    <border>
      <left/>
      <right style="medium"/>
      <top/>
      <bottom style="double"/>
    </border>
    <border>
      <left style="medium"/>
      <right/>
      <top/>
      <bottom style="thin"/>
    </border>
    <border>
      <left style="medium"/>
      <right/>
      <top style="thin"/>
      <bottom style="thin"/>
    </border>
    <border>
      <left style="medium"/>
      <right/>
      <top style="thin"/>
      <bottom style="double"/>
    </border>
    <border>
      <left style="medium"/>
      <right/>
      <top style="double"/>
      <bottom style="thin"/>
    </border>
    <border>
      <left style="thin"/>
      <right/>
      <top style="thin"/>
      <bottom style="medium"/>
    </border>
    <border>
      <left style="thin"/>
      <right style="double"/>
      <top style="thin"/>
      <bottom style="medium"/>
    </border>
    <border>
      <left/>
      <right style="medium"/>
      <top style="medium"/>
      <bottom style="medium"/>
    </border>
    <border>
      <left style="medium"/>
      <right style="medium"/>
      <top/>
      <bottom style="medium"/>
    </border>
    <border>
      <left style="medium"/>
      <right style="medium"/>
      <top style="medium"/>
      <bottom/>
    </border>
    <border>
      <left style="medium"/>
      <right style="medium"/>
      <top/>
      <bottom style="double"/>
    </border>
    <border>
      <left/>
      <right/>
      <top style="double"/>
      <bottom style="double"/>
    </border>
    <border>
      <left/>
      <right style="medium"/>
      <top style="thin"/>
      <bottom style="medium"/>
    </border>
    <border>
      <left/>
      <right style="thin"/>
      <top style="medium"/>
      <bottom style="thin"/>
    </border>
    <border>
      <left/>
      <right style="medium"/>
      <top style="thin"/>
      <bottom style="thin"/>
    </border>
    <border>
      <left style="medium"/>
      <right style="medium"/>
      <top style="thin"/>
      <bottom style="thin"/>
    </border>
    <border>
      <left style="medium"/>
      <right style="medium"/>
      <top style="thin"/>
      <bottom style="medium"/>
    </border>
    <border>
      <left style="thin"/>
      <right/>
      <top/>
      <bottom/>
    </border>
    <border>
      <left/>
      <right style="medium"/>
      <top style="thin"/>
      <bottom/>
    </border>
    <border>
      <left/>
      <right style="medium"/>
      <top/>
      <bottom style="thin"/>
    </border>
    <border>
      <left style="medium"/>
      <right/>
      <top style="thin"/>
      <bottom/>
    </border>
    <border>
      <left style="thin"/>
      <right/>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167"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72" fillId="0" borderId="0">
      <alignment/>
      <protection/>
    </xf>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65">
    <xf numFmtId="0" fontId="0" fillId="0" borderId="0" xfId="0"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5" fillId="0" borderId="10" xfId="0" applyFont="1" applyBorder="1" applyAlignment="1">
      <alignment/>
    </xf>
    <xf numFmtId="0" fontId="7" fillId="0" borderId="11" xfId="0" applyFont="1" applyBorder="1" applyAlignment="1">
      <alignment/>
    </xf>
    <xf numFmtId="0" fontId="7" fillId="0" borderId="0" xfId="0" applyFont="1" applyBorder="1" applyAlignment="1">
      <alignment/>
    </xf>
    <xf numFmtId="169" fontId="10" fillId="0" borderId="12" xfId="0" applyNumberFormat="1" applyFont="1" applyBorder="1" applyAlignment="1">
      <alignment/>
    </xf>
    <xf numFmtId="169" fontId="10" fillId="0" borderId="13" xfId="0" applyNumberFormat="1" applyFont="1" applyBorder="1" applyAlignment="1">
      <alignment/>
    </xf>
    <xf numFmtId="0" fontId="5" fillId="33" borderId="14" xfId="0" applyFont="1" applyFill="1" applyBorder="1" applyAlignment="1">
      <alignment/>
    </xf>
    <xf numFmtId="0" fontId="5" fillId="33" borderId="15" xfId="0" applyFont="1" applyFill="1" applyBorder="1" applyAlignment="1">
      <alignment horizontal="left"/>
    </xf>
    <xf numFmtId="0" fontId="5" fillId="0" borderId="14" xfId="0" applyFont="1" applyBorder="1" applyAlignment="1">
      <alignment/>
    </xf>
    <xf numFmtId="0" fontId="5" fillId="0" borderId="16" xfId="0" applyFont="1" applyBorder="1" applyAlignment="1">
      <alignment/>
    </xf>
    <xf numFmtId="0" fontId="7" fillId="0" borderId="16" xfId="0" applyFont="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8" fillId="33" borderId="10" xfId="0" applyFont="1" applyFill="1" applyBorder="1" applyAlignment="1">
      <alignment horizontal="center"/>
    </xf>
    <xf numFmtId="0" fontId="7" fillId="0" borderId="18" xfId="0" applyFont="1" applyBorder="1" applyAlignment="1">
      <alignment/>
    </xf>
    <xf numFmtId="0" fontId="7" fillId="0" borderId="15" xfId="0" applyFont="1" applyBorder="1" applyAlignment="1">
      <alignment/>
    </xf>
    <xf numFmtId="0" fontId="8" fillId="0" borderId="19" xfId="0" applyFont="1" applyBorder="1" applyAlignment="1">
      <alignment horizontal="center"/>
    </xf>
    <xf numFmtId="0" fontId="5" fillId="0" borderId="19" xfId="0" applyFont="1" applyBorder="1" applyAlignment="1">
      <alignment horizontal="center"/>
    </xf>
    <xf numFmtId="0" fontId="7" fillId="0" borderId="19" xfId="0" applyFont="1" applyBorder="1" applyAlignment="1">
      <alignment/>
    </xf>
    <xf numFmtId="0" fontId="8" fillId="0" borderId="16" xfId="0" applyFont="1" applyBorder="1" applyAlignment="1">
      <alignment/>
    </xf>
    <xf numFmtId="0" fontId="5" fillId="0" borderId="19" xfId="0" applyFont="1" applyBorder="1" applyAlignment="1">
      <alignment/>
    </xf>
    <xf numFmtId="169" fontId="10" fillId="0" borderId="19" xfId="0" applyNumberFormat="1" applyFont="1" applyBorder="1" applyAlignment="1">
      <alignment/>
    </xf>
    <xf numFmtId="169" fontId="7" fillId="0" borderId="20" xfId="0" applyNumberFormat="1" applyFont="1" applyBorder="1" applyAlignment="1">
      <alignment/>
    </xf>
    <xf numFmtId="0" fontId="10" fillId="0" borderId="18" xfId="0" applyFont="1" applyBorder="1" applyAlignment="1">
      <alignment/>
    </xf>
    <xf numFmtId="0" fontId="8" fillId="0" borderId="19" xfId="0" applyFont="1" applyBorder="1" applyAlignment="1">
      <alignment/>
    </xf>
    <xf numFmtId="0" fontId="10" fillId="0" borderId="19" xfId="0" applyFont="1" applyBorder="1" applyAlignment="1">
      <alignment/>
    </xf>
    <xf numFmtId="0" fontId="7" fillId="0" borderId="12" xfId="0" applyFont="1" applyBorder="1" applyAlignment="1">
      <alignment/>
    </xf>
    <xf numFmtId="0" fontId="7" fillId="0" borderId="13" xfId="0" applyFont="1" applyBorder="1" applyAlignment="1">
      <alignment/>
    </xf>
    <xf numFmtId="0" fontId="11" fillId="0" borderId="14" xfId="0" applyFont="1" applyBorder="1" applyAlignment="1">
      <alignment horizontal="center"/>
    </xf>
    <xf numFmtId="0" fontId="11" fillId="0" borderId="18" xfId="0" applyFont="1" applyBorder="1" applyAlignment="1">
      <alignment horizontal="center"/>
    </xf>
    <xf numFmtId="0" fontId="7" fillId="0" borderId="14" xfId="0" applyFont="1" applyBorder="1" applyAlignment="1">
      <alignment/>
    </xf>
    <xf numFmtId="0" fontId="7" fillId="0" borderId="21" xfId="0" applyFont="1" applyBorder="1" applyAlignment="1">
      <alignment/>
    </xf>
    <xf numFmtId="0" fontId="5" fillId="0" borderId="22" xfId="0" applyFont="1" applyBorder="1" applyAlignment="1">
      <alignment/>
    </xf>
    <xf numFmtId="0" fontId="5" fillId="0" borderId="23" xfId="0" applyFont="1" applyBorder="1" applyAlignment="1">
      <alignment/>
    </xf>
    <xf numFmtId="0" fontId="7" fillId="0" borderId="17" xfId="0" applyFont="1" applyBorder="1" applyAlignment="1">
      <alignment/>
    </xf>
    <xf numFmtId="0" fontId="7" fillId="0" borderId="24" xfId="0" applyFont="1" applyBorder="1" applyAlignment="1">
      <alignment/>
    </xf>
    <xf numFmtId="0" fontId="7" fillId="0" borderId="19" xfId="0" applyFont="1" applyBorder="1" applyAlignment="1">
      <alignment horizontal="center"/>
    </xf>
    <xf numFmtId="0" fontId="5" fillId="0" borderId="10" xfId="0" applyFont="1" applyBorder="1" applyAlignment="1">
      <alignment horizontal="center"/>
    </xf>
    <xf numFmtId="0" fontId="8" fillId="0" borderId="19" xfId="0" applyFont="1" applyBorder="1" applyAlignment="1">
      <alignment horizontal="right"/>
    </xf>
    <xf numFmtId="0" fontId="10" fillId="0" borderId="16" xfId="0" applyFont="1" applyBorder="1" applyAlignment="1">
      <alignment/>
    </xf>
    <xf numFmtId="0" fontId="7" fillId="0" borderId="25" xfId="0" applyFont="1" applyBorder="1" applyAlignment="1">
      <alignment/>
    </xf>
    <xf numFmtId="0" fontId="7" fillId="0" borderId="25" xfId="0" applyFont="1" applyBorder="1" applyAlignment="1">
      <alignment horizontal="center"/>
    </xf>
    <xf numFmtId="0" fontId="0" fillId="0" borderId="0" xfId="0" applyBorder="1" applyAlignment="1">
      <alignment/>
    </xf>
    <xf numFmtId="0" fontId="2" fillId="0" borderId="0" xfId="0" applyFont="1" applyBorder="1" applyAlignment="1">
      <alignment/>
    </xf>
    <xf numFmtId="0" fontId="0" fillId="0" borderId="19" xfId="0" applyBorder="1" applyAlignment="1">
      <alignment/>
    </xf>
    <xf numFmtId="0" fontId="0" fillId="0" borderId="20" xfId="0" applyBorder="1" applyAlignment="1">
      <alignment/>
    </xf>
    <xf numFmtId="169" fontId="0" fillId="0" borderId="19" xfId="0" applyNumberFormat="1" applyBorder="1" applyAlignment="1">
      <alignment/>
    </xf>
    <xf numFmtId="15" fontId="0" fillId="0" borderId="19" xfId="0" applyNumberFormat="1" applyBorder="1" applyAlignment="1">
      <alignment/>
    </xf>
    <xf numFmtId="169" fontId="0" fillId="0" borderId="15" xfId="0" applyNumberFormat="1" applyBorder="1" applyAlignment="1">
      <alignment/>
    </xf>
    <xf numFmtId="0" fontId="0" fillId="0" borderId="15" xfId="0" applyBorder="1" applyAlignment="1">
      <alignment/>
    </xf>
    <xf numFmtId="15" fontId="14" fillId="33" borderId="19" xfId="0" applyNumberFormat="1" applyFont="1" applyFill="1" applyBorder="1" applyAlignment="1">
      <alignment/>
    </xf>
    <xf numFmtId="169" fontId="0" fillId="33" borderId="15" xfId="0" applyNumberFormat="1" applyFill="1" applyBorder="1" applyAlignment="1">
      <alignment/>
    </xf>
    <xf numFmtId="0" fontId="2" fillId="0" borderId="19" xfId="0" applyFont="1" applyBorder="1" applyAlignment="1">
      <alignment horizontal="center"/>
    </xf>
    <xf numFmtId="169" fontId="0" fillId="0" borderId="19" xfId="0" applyNumberFormat="1" applyFont="1" applyBorder="1" applyAlignment="1">
      <alignment horizontal="center"/>
    </xf>
    <xf numFmtId="15" fontId="2" fillId="0" borderId="19" xfId="0" applyNumberFormat="1" applyFont="1" applyBorder="1" applyAlignment="1">
      <alignment horizontal="center"/>
    </xf>
    <xf numFmtId="9" fontId="0" fillId="0" borderId="0" xfId="0" applyNumberFormat="1" applyFill="1" applyBorder="1" applyAlignment="1">
      <alignment/>
    </xf>
    <xf numFmtId="0" fontId="7" fillId="0" borderId="20" xfId="0" applyFont="1" applyBorder="1" applyAlignment="1">
      <alignment/>
    </xf>
    <xf numFmtId="0" fontId="5" fillId="0" borderId="20" xfId="0" applyFont="1" applyBorder="1" applyAlignment="1">
      <alignment/>
    </xf>
    <xf numFmtId="0" fontId="7" fillId="0" borderId="20" xfId="0" applyFont="1" applyBorder="1" applyAlignment="1" quotePrefix="1">
      <alignment/>
    </xf>
    <xf numFmtId="0" fontId="9" fillId="0" borderId="20" xfId="0" applyFont="1" applyBorder="1" applyAlignment="1">
      <alignment horizontal="center"/>
    </xf>
    <xf numFmtId="169" fontId="0" fillId="0" borderId="20" xfId="0" applyNumberFormat="1" applyBorder="1" applyAlignment="1">
      <alignment/>
    </xf>
    <xf numFmtId="15" fontId="9" fillId="0" borderId="18" xfId="0" applyNumberFormat="1" applyFont="1" applyBorder="1" applyAlignment="1">
      <alignment/>
    </xf>
    <xf numFmtId="167" fontId="7" fillId="0" borderId="14" xfId="45" applyFont="1" applyBorder="1" applyAlignment="1">
      <alignment/>
    </xf>
    <xf numFmtId="2" fontId="0" fillId="0" borderId="0" xfId="0" applyNumberFormat="1" applyAlignment="1">
      <alignment/>
    </xf>
    <xf numFmtId="0" fontId="7" fillId="0" borderId="26" xfId="0" applyFont="1" applyBorder="1" applyAlignment="1">
      <alignment/>
    </xf>
    <xf numFmtId="0" fontId="11" fillId="0" borderId="27" xfId="0" applyFont="1" applyBorder="1" applyAlignment="1">
      <alignment horizontal="center"/>
    </xf>
    <xf numFmtId="0" fontId="9" fillId="33" borderId="28" xfId="0" applyFont="1" applyFill="1" applyBorder="1" applyAlignment="1">
      <alignment horizontal="center"/>
    </xf>
    <xf numFmtId="169" fontId="7" fillId="0" borderId="27" xfId="0" applyNumberFormat="1" applyFont="1" applyBorder="1" applyAlignment="1">
      <alignment/>
    </xf>
    <xf numFmtId="0" fontId="9" fillId="33" borderId="28" xfId="0" applyFont="1" applyFill="1" applyBorder="1" applyAlignment="1" quotePrefix="1">
      <alignment horizontal="center"/>
    </xf>
    <xf numFmtId="169" fontId="7" fillId="0" borderId="29" xfId="0" applyNumberFormat="1" applyFont="1" applyBorder="1" applyAlignment="1">
      <alignment/>
    </xf>
    <xf numFmtId="169" fontId="7" fillId="0" borderId="30" xfId="0" applyNumberFormat="1" applyFont="1" applyBorder="1" applyAlignment="1">
      <alignment/>
    </xf>
    <xf numFmtId="0" fontId="7" fillId="0" borderId="27" xfId="0" applyFont="1" applyBorder="1" applyAlignment="1">
      <alignment/>
    </xf>
    <xf numFmtId="0" fontId="7" fillId="0" borderId="31" xfId="0" applyFont="1" applyBorder="1" applyAlignment="1">
      <alignment/>
    </xf>
    <xf numFmtId="170" fontId="9" fillId="34" borderId="20" xfId="0" applyNumberFormat="1" applyFont="1" applyFill="1" applyBorder="1" applyAlignment="1">
      <alignment horizontal="center"/>
    </xf>
    <xf numFmtId="0" fontId="0" fillId="0" borderId="0" xfId="0" applyFont="1" applyBorder="1" applyAlignment="1">
      <alignment/>
    </xf>
    <xf numFmtId="0" fontId="7" fillId="34" borderId="0" xfId="0" applyFont="1" applyFill="1" applyBorder="1" applyAlignment="1">
      <alignment/>
    </xf>
    <xf numFmtId="0" fontId="0" fillId="0" borderId="14" xfId="0" applyFont="1" applyBorder="1" applyAlignment="1">
      <alignment/>
    </xf>
    <xf numFmtId="169" fontId="7" fillId="34" borderId="0" xfId="0" applyNumberFormat="1" applyFont="1" applyFill="1" applyBorder="1" applyAlignment="1">
      <alignment/>
    </xf>
    <xf numFmtId="169" fontId="8" fillId="34" borderId="0" xfId="0" applyNumberFormat="1" applyFont="1" applyFill="1" applyBorder="1" applyAlignment="1">
      <alignment/>
    </xf>
    <xf numFmtId="0" fontId="7" fillId="34" borderId="19" xfId="0" applyFont="1" applyFill="1" applyBorder="1" applyAlignment="1">
      <alignment/>
    </xf>
    <xf numFmtId="169" fontId="10" fillId="34" borderId="19" xfId="0" applyNumberFormat="1" applyFont="1" applyFill="1" applyBorder="1" applyAlignment="1">
      <alignment/>
    </xf>
    <xf numFmtId="0" fontId="5" fillId="33" borderId="28" xfId="0" applyFont="1" applyFill="1" applyBorder="1" applyAlignment="1">
      <alignment horizontal="center"/>
    </xf>
    <xf numFmtId="9" fontId="5" fillId="0" borderId="20" xfId="0" applyNumberFormat="1" applyFont="1" applyBorder="1" applyAlignment="1">
      <alignment horizontal="center"/>
    </xf>
    <xf numFmtId="169" fontId="7" fillId="34" borderId="0" xfId="59" applyNumberFormat="1" applyFont="1" applyFill="1" applyBorder="1">
      <alignment/>
      <protection/>
    </xf>
    <xf numFmtId="169" fontId="7" fillId="34" borderId="16" xfId="0" applyNumberFormat="1" applyFont="1" applyFill="1" applyBorder="1" applyAlignment="1">
      <alignment/>
    </xf>
    <xf numFmtId="169" fontId="10" fillId="34" borderId="0" xfId="0" applyNumberFormat="1" applyFont="1" applyFill="1" applyBorder="1" applyAlignment="1">
      <alignment/>
    </xf>
    <xf numFmtId="169" fontId="10" fillId="34" borderId="16" xfId="0" applyNumberFormat="1" applyFont="1" applyFill="1" applyBorder="1" applyAlignment="1">
      <alignment/>
    </xf>
    <xf numFmtId="169" fontId="5" fillId="34" borderId="0" xfId="0" applyNumberFormat="1" applyFont="1" applyFill="1" applyBorder="1" applyAlignment="1">
      <alignment/>
    </xf>
    <xf numFmtId="0" fontId="91" fillId="34" borderId="0" xfId="0" applyFont="1" applyFill="1" applyBorder="1" applyAlignment="1">
      <alignment/>
    </xf>
    <xf numFmtId="0" fontId="0" fillId="34" borderId="0" xfId="0" applyFill="1" applyAlignment="1">
      <alignment/>
    </xf>
    <xf numFmtId="0" fontId="6" fillId="34" borderId="0" xfId="0" applyFont="1" applyFill="1" applyAlignment="1">
      <alignment/>
    </xf>
    <xf numFmtId="0" fontId="7" fillId="34" borderId="32" xfId="0" applyFont="1" applyFill="1" applyBorder="1" applyAlignment="1">
      <alignment/>
    </xf>
    <xf numFmtId="0" fontId="7" fillId="34" borderId="33" xfId="0" applyFont="1" applyFill="1" applyBorder="1" applyAlignment="1">
      <alignment/>
    </xf>
    <xf numFmtId="0" fontId="7" fillId="34" borderId="34" xfId="0" applyFont="1" applyFill="1" applyBorder="1" applyAlignment="1">
      <alignment/>
    </xf>
    <xf numFmtId="0" fontId="7" fillId="34" borderId="35" xfId="0" applyFont="1" applyFill="1" applyBorder="1" applyAlignment="1">
      <alignment/>
    </xf>
    <xf numFmtId="0" fontId="5" fillId="34" borderId="14" xfId="0" applyFont="1" applyFill="1" applyBorder="1" applyAlignment="1">
      <alignment/>
    </xf>
    <xf numFmtId="0" fontId="7" fillId="34" borderId="18" xfId="0" applyFont="1" applyFill="1" applyBorder="1" applyAlignment="1">
      <alignment/>
    </xf>
    <xf numFmtId="0" fontId="7" fillId="34" borderId="15" xfId="0" applyFont="1" applyFill="1" applyBorder="1" applyAlignment="1">
      <alignment/>
    </xf>
    <xf numFmtId="0" fontId="7" fillId="34" borderId="36" xfId="0" applyFont="1" applyFill="1" applyBorder="1" applyAlignment="1">
      <alignment/>
    </xf>
    <xf numFmtId="0" fontId="5" fillId="34" borderId="21" xfId="0" applyFont="1" applyFill="1" applyBorder="1" applyAlignment="1">
      <alignment/>
    </xf>
    <xf numFmtId="0" fontId="7" fillId="34" borderId="22" xfId="0" applyFont="1" applyFill="1" applyBorder="1" applyAlignment="1">
      <alignment/>
    </xf>
    <xf numFmtId="0" fontId="7" fillId="34" borderId="23" xfId="0" applyFont="1" applyFill="1" applyBorder="1" applyAlignment="1">
      <alignment/>
    </xf>
    <xf numFmtId="0" fontId="5" fillId="34" borderId="24" xfId="0" applyFont="1" applyFill="1" applyBorder="1" applyAlignment="1" quotePrefix="1">
      <alignment/>
    </xf>
    <xf numFmtId="0" fontId="7" fillId="34" borderId="16" xfId="0" applyFont="1" applyFill="1" applyBorder="1" applyAlignment="1">
      <alignment/>
    </xf>
    <xf numFmtId="0" fontId="7" fillId="34" borderId="37" xfId="0" applyFont="1" applyFill="1" applyBorder="1" applyAlignment="1">
      <alignment/>
    </xf>
    <xf numFmtId="0" fontId="7" fillId="34" borderId="38" xfId="0" applyFont="1" applyFill="1" applyBorder="1" applyAlignment="1">
      <alignment horizontal="center"/>
    </xf>
    <xf numFmtId="0" fontId="5" fillId="34" borderId="0" xfId="0" applyFont="1" applyFill="1" applyBorder="1" applyAlignment="1">
      <alignment horizontal="center"/>
    </xf>
    <xf numFmtId="0" fontId="5" fillId="34" borderId="0" xfId="0" applyFont="1" applyFill="1" applyBorder="1" applyAlignment="1">
      <alignment/>
    </xf>
    <xf numFmtId="169" fontId="7" fillId="34" borderId="36" xfId="0" applyNumberFormat="1" applyFont="1" applyFill="1" applyBorder="1" applyAlignment="1">
      <alignment/>
    </xf>
    <xf numFmtId="9" fontId="7" fillId="34" borderId="0" xfId="0" applyNumberFormat="1" applyFont="1" applyFill="1" applyBorder="1" applyAlignment="1">
      <alignment/>
    </xf>
    <xf numFmtId="169" fontId="7" fillId="34" borderId="12" xfId="0" applyNumberFormat="1" applyFont="1" applyFill="1" applyBorder="1" applyAlignment="1">
      <alignment/>
    </xf>
    <xf numFmtId="169" fontId="7" fillId="34" borderId="39" xfId="0" applyNumberFormat="1" applyFont="1" applyFill="1" applyBorder="1" applyAlignment="1">
      <alignment/>
    </xf>
    <xf numFmtId="169" fontId="7" fillId="34" borderId="11" xfId="0" applyNumberFormat="1" applyFont="1" applyFill="1" applyBorder="1" applyAlignment="1">
      <alignment/>
    </xf>
    <xf numFmtId="169" fontId="5" fillId="34" borderId="36" xfId="0" applyNumberFormat="1" applyFont="1" applyFill="1" applyBorder="1" applyAlignment="1">
      <alignment/>
    </xf>
    <xf numFmtId="169" fontId="0" fillId="34" borderId="0" xfId="0" applyNumberFormat="1" applyFill="1" applyAlignment="1">
      <alignment/>
    </xf>
    <xf numFmtId="170" fontId="5" fillId="34" borderId="0" xfId="62" applyNumberFormat="1" applyFont="1" applyFill="1" applyBorder="1" applyAlignment="1">
      <alignment/>
    </xf>
    <xf numFmtId="170" fontId="5" fillId="34" borderId="36" xfId="62" applyNumberFormat="1" applyFont="1" applyFill="1" applyBorder="1" applyAlignment="1">
      <alignment/>
    </xf>
    <xf numFmtId="0" fontId="7" fillId="34" borderId="19" xfId="0" applyFont="1" applyFill="1" applyBorder="1" applyAlignment="1">
      <alignment wrapText="1"/>
    </xf>
    <xf numFmtId="0" fontId="0" fillId="34" borderId="0" xfId="0" applyFill="1" applyBorder="1" applyAlignment="1">
      <alignment/>
    </xf>
    <xf numFmtId="0" fontId="0" fillId="34" borderId="36" xfId="0" applyFill="1" applyBorder="1" applyAlignment="1">
      <alignment/>
    </xf>
    <xf numFmtId="169" fontId="7" fillId="34" borderId="19" xfId="0" applyNumberFormat="1" applyFont="1" applyFill="1" applyBorder="1" applyAlignment="1">
      <alignment/>
    </xf>
    <xf numFmtId="0" fontId="7" fillId="34" borderId="40" xfId="0" applyFont="1" applyFill="1" applyBorder="1" applyAlignment="1">
      <alignment/>
    </xf>
    <xf numFmtId="0" fontId="7" fillId="34" borderId="41" xfId="0" applyFont="1" applyFill="1" applyBorder="1" applyAlignment="1">
      <alignment/>
    </xf>
    <xf numFmtId="0" fontId="7" fillId="34" borderId="42" xfId="0" applyFont="1" applyFill="1" applyBorder="1" applyAlignment="1">
      <alignment/>
    </xf>
    <xf numFmtId="0" fontId="7" fillId="34" borderId="11" xfId="0" applyFont="1" applyFill="1" applyBorder="1" applyAlignment="1">
      <alignment/>
    </xf>
    <xf numFmtId="0" fontId="7" fillId="34" borderId="17" xfId="0" applyFont="1" applyFill="1" applyBorder="1" applyAlignment="1">
      <alignment/>
    </xf>
    <xf numFmtId="0" fontId="5" fillId="34" borderId="0" xfId="0" applyFont="1" applyFill="1" applyBorder="1" applyAlignment="1" quotePrefix="1">
      <alignment/>
    </xf>
    <xf numFmtId="0" fontId="7" fillId="34" borderId="39" xfId="0" applyFont="1" applyFill="1" applyBorder="1" applyAlignment="1">
      <alignment/>
    </xf>
    <xf numFmtId="0" fontId="5" fillId="34" borderId="0" xfId="0" applyFont="1" applyFill="1" applyBorder="1" applyAlignment="1">
      <alignment horizontal="center" wrapText="1"/>
    </xf>
    <xf numFmtId="0" fontId="92" fillId="34" borderId="0" xfId="0" applyFont="1" applyFill="1" applyBorder="1" applyAlignment="1" quotePrefix="1">
      <alignment/>
    </xf>
    <xf numFmtId="0" fontId="5" fillId="34" borderId="0" xfId="0" applyFont="1" applyFill="1" applyBorder="1" applyAlignment="1">
      <alignment horizontal="left" wrapText="1"/>
    </xf>
    <xf numFmtId="0" fontId="9" fillId="34" borderId="0" xfId="0" applyFont="1" applyFill="1" applyBorder="1" applyAlignment="1">
      <alignment/>
    </xf>
    <xf numFmtId="0" fontId="7" fillId="34" borderId="0" xfId="0" applyFont="1" applyFill="1" applyBorder="1" applyAlignment="1">
      <alignment horizontal="center"/>
    </xf>
    <xf numFmtId="169" fontId="10" fillId="34" borderId="39" xfId="0" applyNumberFormat="1" applyFont="1" applyFill="1" applyBorder="1" applyAlignment="1">
      <alignment/>
    </xf>
    <xf numFmtId="169" fontId="10" fillId="34" borderId="11" xfId="0" applyNumberFormat="1" applyFont="1" applyFill="1" applyBorder="1" applyAlignment="1">
      <alignment/>
    </xf>
    <xf numFmtId="0" fontId="6" fillId="34" borderId="0" xfId="0" applyFont="1" applyFill="1" applyBorder="1" applyAlignment="1">
      <alignment/>
    </xf>
    <xf numFmtId="170" fontId="5" fillId="34" borderId="39" xfId="62" applyNumberFormat="1" applyFont="1" applyFill="1" applyBorder="1" applyAlignment="1">
      <alignment/>
    </xf>
    <xf numFmtId="0" fontId="5" fillId="34" borderId="0" xfId="0" applyFont="1" applyFill="1" applyBorder="1" applyAlignment="1">
      <alignment horizontal="center" vertical="center" wrapText="1"/>
    </xf>
    <xf numFmtId="0" fontId="5" fillId="34" borderId="0" xfId="0" applyFont="1" applyFill="1" applyBorder="1" applyAlignment="1">
      <alignment horizontal="center" vertical="center"/>
    </xf>
    <xf numFmtId="169" fontId="15" fillId="34" borderId="0" xfId="0" applyNumberFormat="1" applyFont="1" applyFill="1" applyBorder="1" applyAlignment="1">
      <alignment/>
    </xf>
    <xf numFmtId="0" fontId="5" fillId="34" borderId="11" xfId="0" applyFont="1" applyFill="1" applyBorder="1" applyAlignment="1" quotePrefix="1">
      <alignment/>
    </xf>
    <xf numFmtId="0" fontId="8" fillId="34" borderId="0" xfId="0" applyFont="1" applyFill="1" applyBorder="1" applyAlignment="1">
      <alignment/>
    </xf>
    <xf numFmtId="0" fontId="10" fillId="34" borderId="0" xfId="0" applyFont="1" applyFill="1" applyBorder="1" applyAlignment="1">
      <alignment/>
    </xf>
    <xf numFmtId="169" fontId="7" fillId="34" borderId="22" xfId="0" applyNumberFormat="1" applyFont="1" applyFill="1" applyBorder="1" applyAlignment="1">
      <alignment/>
    </xf>
    <xf numFmtId="169" fontId="7" fillId="34" borderId="18" xfId="0" applyNumberFormat="1" applyFont="1" applyFill="1" applyBorder="1" applyAlignment="1">
      <alignment/>
    </xf>
    <xf numFmtId="0" fontId="93" fillId="34" borderId="0" xfId="0" applyFont="1" applyFill="1" applyBorder="1" applyAlignment="1">
      <alignment horizontal="center"/>
    </xf>
    <xf numFmtId="169" fontId="5" fillId="34" borderId="18" xfId="0" applyNumberFormat="1" applyFont="1" applyFill="1" applyBorder="1" applyAlignment="1">
      <alignment/>
    </xf>
    <xf numFmtId="169" fontId="5" fillId="34" borderId="12" xfId="0" applyNumberFormat="1" applyFont="1" applyFill="1" applyBorder="1" applyAlignment="1">
      <alignment/>
    </xf>
    <xf numFmtId="169" fontId="5" fillId="34" borderId="11" xfId="0" applyNumberFormat="1" applyFont="1" applyFill="1" applyBorder="1" applyAlignment="1">
      <alignment/>
    </xf>
    <xf numFmtId="170" fontId="5" fillId="34" borderId="0" xfId="62" applyNumberFormat="1" applyFont="1" applyFill="1" applyBorder="1" applyAlignment="1">
      <alignment horizontal="center"/>
    </xf>
    <xf numFmtId="169" fontId="10" fillId="34" borderId="12" xfId="0" applyNumberFormat="1" applyFont="1" applyFill="1" applyBorder="1" applyAlignment="1">
      <alignment/>
    </xf>
    <xf numFmtId="0" fontId="16" fillId="34" borderId="0" xfId="0" applyFont="1" applyFill="1" applyBorder="1" applyAlignment="1">
      <alignment wrapText="1"/>
    </xf>
    <xf numFmtId="169" fontId="10" fillId="34" borderId="22" xfId="0" applyNumberFormat="1" applyFont="1" applyFill="1" applyBorder="1" applyAlignment="1">
      <alignment/>
    </xf>
    <xf numFmtId="9" fontId="0" fillId="34" borderId="0" xfId="62" applyFont="1" applyFill="1" applyAlignment="1">
      <alignment/>
    </xf>
    <xf numFmtId="0" fontId="5" fillId="34" borderId="14" xfId="0" applyFont="1" applyFill="1" applyBorder="1" applyAlignment="1">
      <alignment vertical="center"/>
    </xf>
    <xf numFmtId="0" fontId="12" fillId="34" borderId="0" xfId="0" applyFont="1" applyFill="1" applyBorder="1" applyAlignment="1">
      <alignment/>
    </xf>
    <xf numFmtId="0" fontId="5" fillId="34" borderId="24" xfId="0" applyFont="1" applyFill="1" applyBorder="1" applyAlignment="1">
      <alignment/>
    </xf>
    <xf numFmtId="169" fontId="91" fillId="35" borderId="20" xfId="0" applyNumberFormat="1" applyFont="1" applyFill="1" applyBorder="1" applyAlignment="1">
      <alignment/>
    </xf>
    <xf numFmtId="0" fontId="94" fillId="0" borderId="0" xfId="0" applyFont="1" applyAlignment="1">
      <alignment/>
    </xf>
    <xf numFmtId="0" fontId="9" fillId="0" borderId="0" xfId="0" applyFont="1" applyBorder="1" applyAlignment="1">
      <alignment/>
    </xf>
    <xf numFmtId="0" fontId="7" fillId="0" borderId="43" xfId="0" applyFont="1" applyBorder="1" applyAlignment="1">
      <alignment/>
    </xf>
    <xf numFmtId="0" fontId="2" fillId="0" borderId="20" xfId="0" applyFont="1" applyBorder="1" applyAlignment="1">
      <alignment horizontal="center"/>
    </xf>
    <xf numFmtId="169" fontId="2" fillId="0" borderId="20" xfId="0" applyNumberFormat="1" applyFont="1" applyBorder="1" applyAlignment="1">
      <alignment horizontal="center"/>
    </xf>
    <xf numFmtId="170" fontId="92" fillId="36" borderId="20" xfId="0" applyNumberFormat="1" applyFont="1" applyFill="1" applyBorder="1" applyAlignment="1">
      <alignment horizontal="center"/>
    </xf>
    <xf numFmtId="169" fontId="91" fillId="34" borderId="20" xfId="0" applyNumberFormat="1" applyFont="1" applyFill="1" applyBorder="1" applyAlignment="1">
      <alignment/>
    </xf>
    <xf numFmtId="0" fontId="0" fillId="0" borderId="32" xfId="0" applyBorder="1" applyAlignment="1">
      <alignment/>
    </xf>
    <xf numFmtId="0" fontId="0" fillId="0" borderId="33" xfId="0" applyBorder="1" applyAlignment="1">
      <alignment/>
    </xf>
    <xf numFmtId="0" fontId="0" fillId="0" borderId="35" xfId="0" applyBorder="1" applyAlignment="1">
      <alignment/>
    </xf>
    <xf numFmtId="0" fontId="0" fillId="0" borderId="35" xfId="0" applyFont="1" applyBorder="1" applyAlignment="1">
      <alignment/>
    </xf>
    <xf numFmtId="0" fontId="0" fillId="0" borderId="40" xfId="0" applyBorder="1" applyAlignment="1">
      <alignment/>
    </xf>
    <xf numFmtId="167" fontId="0" fillId="0" borderId="33" xfId="45" applyFont="1" applyBorder="1" applyAlignment="1">
      <alignment/>
    </xf>
    <xf numFmtId="167" fontId="0" fillId="0" borderId="0" xfId="45" applyFont="1" applyBorder="1" applyAlignment="1">
      <alignment/>
    </xf>
    <xf numFmtId="167" fontId="0" fillId="0" borderId="0" xfId="45" applyFont="1" applyBorder="1" applyAlignment="1">
      <alignment/>
    </xf>
    <xf numFmtId="167" fontId="0" fillId="0" borderId="36" xfId="45" applyFont="1" applyBorder="1" applyAlignment="1">
      <alignment/>
    </xf>
    <xf numFmtId="167" fontId="0" fillId="0" borderId="36" xfId="45" applyFont="1" applyBorder="1" applyAlignment="1">
      <alignment/>
    </xf>
    <xf numFmtId="172" fontId="0" fillId="0" borderId="0" xfId="42" applyNumberFormat="1" applyFont="1" applyBorder="1" applyAlignment="1">
      <alignment/>
    </xf>
    <xf numFmtId="0" fontId="2" fillId="0" borderId="35" xfId="0" applyFont="1" applyBorder="1" applyAlignment="1">
      <alignment horizontal="right"/>
    </xf>
    <xf numFmtId="167" fontId="2" fillId="0" borderId="0" xfId="45" applyFont="1" applyBorder="1" applyAlignment="1">
      <alignment/>
    </xf>
    <xf numFmtId="167" fontId="2" fillId="0" borderId="36" xfId="45" applyFont="1" applyBorder="1" applyAlignment="1">
      <alignment/>
    </xf>
    <xf numFmtId="167" fontId="2" fillId="0" borderId="41" xfId="45" applyFont="1" applyBorder="1" applyAlignment="1">
      <alignment/>
    </xf>
    <xf numFmtId="167" fontId="2" fillId="0" borderId="42" xfId="45" applyFont="1" applyBorder="1" applyAlignment="1">
      <alignment/>
    </xf>
    <xf numFmtId="169" fontId="7" fillId="34" borderId="20" xfId="0" applyNumberFormat="1" applyFont="1" applyFill="1" applyBorder="1" applyAlignment="1">
      <alignment/>
    </xf>
    <xf numFmtId="0" fontId="95" fillId="0" borderId="32" xfId="0" applyFont="1" applyBorder="1" applyAlignment="1">
      <alignment vertical="center"/>
    </xf>
    <xf numFmtId="0" fontId="95" fillId="0" borderId="33" xfId="0" applyFont="1" applyBorder="1" applyAlignment="1">
      <alignment vertical="center"/>
    </xf>
    <xf numFmtId="0" fontId="18" fillId="34" borderId="19" xfId="0" applyFont="1" applyFill="1" applyBorder="1" applyAlignment="1">
      <alignment horizontal="center" vertical="center"/>
    </xf>
    <xf numFmtId="0" fontId="96" fillId="0" borderId="19" xfId="0" applyFont="1" applyBorder="1" applyAlignment="1">
      <alignment vertical="center"/>
    </xf>
    <xf numFmtId="0" fontId="19" fillId="34" borderId="19" xfId="0" applyFont="1" applyFill="1" applyBorder="1" applyAlignment="1">
      <alignment horizontal="center" vertical="center" wrapText="1"/>
    </xf>
    <xf numFmtId="0" fontId="96" fillId="34" borderId="19" xfId="0" applyFont="1" applyFill="1" applyBorder="1" applyAlignment="1">
      <alignment vertical="center"/>
    </xf>
    <xf numFmtId="0" fontId="95" fillId="0" borderId="19" xfId="0" applyFont="1" applyBorder="1" applyAlignment="1">
      <alignment vertical="center"/>
    </xf>
    <xf numFmtId="164" fontId="95" fillId="34" borderId="19" xfId="0" applyNumberFormat="1" applyFont="1" applyFill="1" applyBorder="1" applyAlignment="1">
      <alignment horizontal="right" vertical="center"/>
    </xf>
    <xf numFmtId="164" fontId="97" fillId="34" borderId="19" xfId="0" applyNumberFormat="1" applyFont="1" applyFill="1" applyBorder="1" applyAlignment="1">
      <alignment horizontal="right" vertical="center"/>
    </xf>
    <xf numFmtId="0" fontId="95" fillId="0" borderId="0" xfId="0" applyFont="1" applyFill="1" applyBorder="1" applyAlignment="1">
      <alignment vertical="center"/>
    </xf>
    <xf numFmtId="0" fontId="97" fillId="0" borderId="0" xfId="0" applyFont="1" applyFill="1" applyBorder="1" applyAlignment="1">
      <alignment vertical="center"/>
    </xf>
    <xf numFmtId="167" fontId="7" fillId="34" borderId="0" xfId="0" applyNumberFormat="1" applyFont="1" applyFill="1" applyBorder="1" applyAlignment="1">
      <alignment/>
    </xf>
    <xf numFmtId="3" fontId="0" fillId="0" borderId="0" xfId="0" applyNumberFormat="1" applyAlignment="1">
      <alignment/>
    </xf>
    <xf numFmtId="169" fontId="91" fillId="34" borderId="0" xfId="0" applyNumberFormat="1" applyFont="1" applyFill="1" applyBorder="1" applyAlignment="1">
      <alignment/>
    </xf>
    <xf numFmtId="169" fontId="98" fillId="34" borderId="0" xfId="0" applyNumberFormat="1" applyFont="1" applyFill="1" applyBorder="1" applyAlignment="1">
      <alignment/>
    </xf>
    <xf numFmtId="167" fontId="0" fillId="0" borderId="16" xfId="45" applyFont="1" applyBorder="1" applyAlignment="1">
      <alignment/>
    </xf>
    <xf numFmtId="167" fontId="0" fillId="0" borderId="44" xfId="45" applyFont="1" applyBorder="1" applyAlignment="1">
      <alignment/>
    </xf>
    <xf numFmtId="0" fontId="0" fillId="0" borderId="44" xfId="45" applyNumberFormat="1" applyFont="1" applyBorder="1" applyAlignment="1">
      <alignment/>
    </xf>
    <xf numFmtId="167" fontId="2" fillId="0" borderId="45" xfId="45" applyFont="1" applyBorder="1" applyAlignment="1">
      <alignment/>
    </xf>
    <xf numFmtId="167" fontId="0" fillId="0" borderId="46" xfId="45" applyFont="1" applyBorder="1" applyAlignment="1">
      <alignment/>
    </xf>
    <xf numFmtId="0" fontId="0" fillId="0" borderId="0" xfId="0" applyFont="1" applyBorder="1" applyAlignment="1">
      <alignment wrapText="1"/>
    </xf>
    <xf numFmtId="170" fontId="0" fillId="0" borderId="0" xfId="0" applyNumberFormat="1" applyFont="1" applyBorder="1" applyAlignment="1">
      <alignment/>
    </xf>
    <xf numFmtId="0" fontId="0" fillId="0" borderId="0" xfId="0" applyFont="1" applyBorder="1" applyAlignment="1">
      <alignment horizontal="center" vertical="center" wrapText="1"/>
    </xf>
    <xf numFmtId="169" fontId="91" fillId="34" borderId="39" xfId="0" applyNumberFormat="1" applyFont="1" applyFill="1" applyBorder="1" applyAlignment="1">
      <alignment/>
    </xf>
    <xf numFmtId="169" fontId="91" fillId="34" borderId="0" xfId="0" applyNumberFormat="1" applyFont="1" applyFill="1" applyBorder="1" applyAlignment="1">
      <alignment horizontal="right"/>
    </xf>
    <xf numFmtId="0" fontId="94" fillId="0" borderId="0" xfId="0" applyFont="1" applyBorder="1" applyAlignment="1">
      <alignment/>
    </xf>
    <xf numFmtId="0" fontId="0" fillId="34" borderId="0" xfId="0" applyFont="1" applyFill="1" applyBorder="1" applyAlignment="1">
      <alignment/>
    </xf>
    <xf numFmtId="0" fontId="0" fillId="6" borderId="0" xfId="0" applyFont="1" applyFill="1" applyBorder="1" applyAlignment="1">
      <alignment/>
    </xf>
    <xf numFmtId="169" fontId="0" fillId="6" borderId="19" xfId="0" applyNumberFormat="1" applyFont="1" applyFill="1" applyBorder="1" applyAlignment="1">
      <alignment/>
    </xf>
    <xf numFmtId="169" fontId="7" fillId="35" borderId="0" xfId="0" applyNumberFormat="1" applyFont="1" applyFill="1" applyBorder="1" applyAlignment="1">
      <alignment/>
    </xf>
    <xf numFmtId="169" fontId="98" fillId="34" borderId="16" xfId="0" applyNumberFormat="1" applyFont="1" applyFill="1" applyBorder="1" applyAlignment="1">
      <alignment/>
    </xf>
    <xf numFmtId="0" fontId="18" fillId="19" borderId="47" xfId="0" applyFont="1" applyFill="1" applyBorder="1" applyAlignment="1">
      <alignment horizontal="center" vertical="center"/>
    </xf>
    <xf numFmtId="0" fontId="96" fillId="0" borderId="48" xfId="0" applyFont="1" applyBorder="1" applyAlignment="1">
      <alignment vertical="center"/>
    </xf>
    <xf numFmtId="0" fontId="96" fillId="19" borderId="47" xfId="0" applyFont="1" applyFill="1" applyBorder="1" applyAlignment="1">
      <alignment vertical="center"/>
    </xf>
    <xf numFmtId="0" fontId="95" fillId="0" borderId="48" xfId="0" applyFont="1" applyBorder="1" applyAlignment="1">
      <alignment vertical="center"/>
    </xf>
    <xf numFmtId="0" fontId="95" fillId="0" borderId="49" xfId="0" applyFont="1" applyBorder="1" applyAlignment="1">
      <alignment vertical="center"/>
    </xf>
    <xf numFmtId="0" fontId="95" fillId="0" borderId="50" xfId="0" applyFont="1" applyBorder="1" applyAlignment="1">
      <alignment vertical="center"/>
    </xf>
    <xf numFmtId="164" fontId="97" fillId="34" borderId="50" xfId="0" applyNumberFormat="1" applyFont="1" applyFill="1" applyBorder="1" applyAlignment="1">
      <alignment horizontal="right" vertical="center"/>
    </xf>
    <xf numFmtId="167" fontId="91" fillId="35" borderId="20" xfId="0" applyNumberFormat="1" applyFont="1" applyFill="1" applyBorder="1" applyAlignment="1" quotePrefix="1">
      <alignment/>
    </xf>
    <xf numFmtId="171" fontId="98" fillId="34" borderId="20" xfId="0" applyNumberFormat="1" applyFont="1" applyFill="1" applyBorder="1" applyAlignment="1">
      <alignment/>
    </xf>
    <xf numFmtId="0" fontId="5" fillId="35" borderId="0" xfId="0" applyFont="1" applyFill="1" applyBorder="1" applyAlignment="1">
      <alignment/>
    </xf>
    <xf numFmtId="0" fontId="92" fillId="35" borderId="0" xfId="0" applyFont="1" applyFill="1" applyBorder="1" applyAlignment="1">
      <alignment/>
    </xf>
    <xf numFmtId="0" fontId="91" fillId="35" borderId="0" xfId="0" applyFont="1" applyFill="1" applyBorder="1" applyAlignment="1">
      <alignment/>
    </xf>
    <xf numFmtId="0" fontId="0" fillId="0" borderId="19" xfId="0" applyFont="1" applyBorder="1" applyAlignment="1">
      <alignment/>
    </xf>
    <xf numFmtId="0" fontId="0" fillId="34" borderId="19" xfId="0" applyFont="1" applyFill="1" applyBorder="1" applyAlignment="1">
      <alignment/>
    </xf>
    <xf numFmtId="0" fontId="0" fillId="6" borderId="19" xfId="0" applyFont="1" applyFill="1" applyBorder="1" applyAlignment="1">
      <alignment/>
    </xf>
    <xf numFmtId="170" fontId="0" fillId="0" borderId="19" xfId="0" applyNumberFormat="1" applyFont="1" applyBorder="1" applyAlignment="1">
      <alignment/>
    </xf>
    <xf numFmtId="0" fontId="0" fillId="7" borderId="19" xfId="0" applyFont="1" applyFill="1" applyBorder="1" applyAlignment="1">
      <alignment/>
    </xf>
    <xf numFmtId="0" fontId="0" fillId="0" borderId="19" xfId="0" applyFont="1" applyBorder="1" applyAlignment="1">
      <alignment wrapText="1"/>
    </xf>
    <xf numFmtId="0" fontId="0" fillId="0" borderId="19" xfId="0" applyFont="1" applyBorder="1" applyAlignment="1">
      <alignment horizontal="center" vertical="center" wrapText="1"/>
    </xf>
    <xf numFmtId="170" fontId="2" fillId="0" borderId="19" xfId="0" applyNumberFormat="1" applyFont="1" applyBorder="1" applyAlignment="1">
      <alignment/>
    </xf>
    <xf numFmtId="0" fontId="2" fillId="7" borderId="19" xfId="0" applyFont="1" applyFill="1" applyBorder="1" applyAlignment="1">
      <alignment horizontal="center"/>
    </xf>
    <xf numFmtId="0" fontId="2" fillId="0" borderId="19" xfId="0" applyFont="1" applyBorder="1" applyAlignment="1">
      <alignment horizontal="center" wrapText="1"/>
    </xf>
    <xf numFmtId="0" fontId="2" fillId="0" borderId="19" xfId="0" applyFont="1" applyBorder="1" applyAlignment="1">
      <alignment horizontal="center" vertical="center" wrapText="1"/>
    </xf>
    <xf numFmtId="0" fontId="2" fillId="0" borderId="19" xfId="0" applyFont="1" applyBorder="1" applyAlignment="1">
      <alignment wrapText="1"/>
    </xf>
    <xf numFmtId="170" fontId="0" fillId="0" borderId="19" xfId="62" applyNumberFormat="1" applyFont="1" applyBorder="1" applyAlignment="1">
      <alignment horizontal="center"/>
    </xf>
    <xf numFmtId="167" fontId="0" fillId="0" borderId="19" xfId="45" applyFont="1" applyBorder="1" applyAlignment="1">
      <alignment horizontal="center"/>
    </xf>
    <xf numFmtId="0" fontId="0" fillId="0" borderId="19" xfId="0" applyFont="1" applyBorder="1" applyAlignment="1">
      <alignment horizontal="center"/>
    </xf>
    <xf numFmtId="0" fontId="0" fillId="0" borderId="19" xfId="0" applyFont="1" applyBorder="1" applyAlignment="1" quotePrefix="1">
      <alignment wrapText="1"/>
    </xf>
    <xf numFmtId="0" fontId="0" fillId="0" borderId="19" xfId="0" applyFont="1" applyBorder="1" applyAlignment="1" quotePrefix="1">
      <alignment horizontal="center" vertical="center" wrapText="1"/>
    </xf>
    <xf numFmtId="0" fontId="0" fillId="34" borderId="19" xfId="0" applyFont="1" applyFill="1" applyBorder="1" applyAlignment="1">
      <alignment wrapText="1"/>
    </xf>
    <xf numFmtId="0" fontId="0" fillId="34" borderId="19" xfId="0" applyFont="1" applyFill="1" applyBorder="1" applyAlignment="1">
      <alignment horizontal="left" wrapText="1"/>
    </xf>
    <xf numFmtId="169" fontId="0" fillId="6" borderId="19" xfId="0" applyNumberFormat="1" applyFont="1" applyFill="1" applyBorder="1" applyAlignment="1">
      <alignment wrapText="1"/>
    </xf>
    <xf numFmtId="169" fontId="24" fillId="6" borderId="19" xfId="0" applyNumberFormat="1" applyFont="1" applyFill="1" applyBorder="1" applyAlignment="1">
      <alignment/>
    </xf>
    <xf numFmtId="170" fontId="24" fillId="0" borderId="19" xfId="0" applyNumberFormat="1" applyFont="1" applyBorder="1" applyAlignment="1">
      <alignment/>
    </xf>
    <xf numFmtId="0" fontId="24" fillId="0" borderId="19" xfId="0" applyFont="1" applyBorder="1" applyAlignment="1">
      <alignment/>
    </xf>
    <xf numFmtId="0" fontId="94" fillId="0" borderId="19" xfId="0" applyFont="1" applyBorder="1" applyAlignment="1">
      <alignment horizontal="center" wrapText="1"/>
    </xf>
    <xf numFmtId="169" fontId="99" fillId="6" borderId="19" xfId="0" applyNumberFormat="1" applyFont="1" applyFill="1" applyBorder="1" applyAlignment="1">
      <alignment/>
    </xf>
    <xf numFmtId="0" fontId="94" fillId="34" borderId="19" xfId="0" applyFont="1" applyFill="1" applyBorder="1" applyAlignment="1">
      <alignment horizontal="center"/>
    </xf>
    <xf numFmtId="170" fontId="0" fillId="0" borderId="19" xfId="0" applyNumberFormat="1" applyFont="1" applyBorder="1" applyAlignment="1">
      <alignment horizontal="center"/>
    </xf>
    <xf numFmtId="169" fontId="94" fillId="6" borderId="19" xfId="0" applyNumberFormat="1" applyFont="1" applyFill="1" applyBorder="1" applyAlignment="1">
      <alignment/>
    </xf>
    <xf numFmtId="170" fontId="0" fillId="34" borderId="19" xfId="62" applyNumberFormat="1" applyFont="1" applyFill="1" applyBorder="1" applyAlignment="1">
      <alignment horizontal="center"/>
    </xf>
    <xf numFmtId="167" fontId="0" fillId="34" borderId="19" xfId="45" applyFont="1" applyFill="1" applyBorder="1" applyAlignment="1">
      <alignment horizontal="center"/>
    </xf>
    <xf numFmtId="169" fontId="0" fillId="0" borderId="19" xfId="0" applyNumberFormat="1" applyFont="1" applyBorder="1" applyAlignment="1">
      <alignment/>
    </xf>
    <xf numFmtId="0" fontId="0" fillId="0" borderId="19" xfId="0" applyFont="1" applyBorder="1" applyAlignment="1">
      <alignment vertical="center"/>
    </xf>
    <xf numFmtId="0" fontId="0" fillId="6" borderId="19" xfId="0" applyFont="1" applyFill="1" applyBorder="1" applyAlignment="1">
      <alignment vertical="center" wrapText="1"/>
    </xf>
    <xf numFmtId="0" fontId="0" fillId="0" borderId="19" xfId="0" applyFont="1" applyBorder="1" applyAlignment="1">
      <alignment vertical="center" wrapText="1"/>
    </xf>
    <xf numFmtId="169" fontId="0" fillId="6" borderId="19" xfId="0" applyNumberFormat="1" applyFont="1" applyFill="1" applyBorder="1" applyAlignment="1">
      <alignment vertical="center" wrapText="1"/>
    </xf>
    <xf numFmtId="169" fontId="0" fillId="34" borderId="19" xfId="0" applyNumberFormat="1" applyFont="1" applyFill="1" applyBorder="1" applyAlignment="1">
      <alignment/>
    </xf>
    <xf numFmtId="169" fontId="0" fillId="34" borderId="19" xfId="45" applyNumberFormat="1" applyFont="1" applyFill="1" applyBorder="1" applyAlignment="1">
      <alignment horizontal="right" vertical="center"/>
    </xf>
    <xf numFmtId="0" fontId="0" fillId="34" borderId="19" xfId="0" applyFont="1" applyFill="1" applyBorder="1" applyAlignment="1">
      <alignment horizontal="center" vertical="center" wrapText="1"/>
    </xf>
    <xf numFmtId="169" fontId="0" fillId="34" borderId="19" xfId="0" applyNumberFormat="1" applyFont="1" applyFill="1" applyBorder="1" applyAlignment="1">
      <alignment vertical="center"/>
    </xf>
    <xf numFmtId="9" fontId="0" fillId="34" borderId="19" xfId="62" applyFont="1" applyFill="1" applyBorder="1" applyAlignment="1">
      <alignment horizontal="right" vertical="center"/>
    </xf>
    <xf numFmtId="0" fontId="2" fillId="34" borderId="19" xfId="0" applyFont="1" applyFill="1" applyBorder="1" applyAlignment="1">
      <alignment wrapText="1"/>
    </xf>
    <xf numFmtId="0" fontId="0" fillId="34" borderId="19" xfId="0" applyFont="1" applyFill="1" applyBorder="1" applyAlignment="1">
      <alignment horizontal="right"/>
    </xf>
    <xf numFmtId="169" fontId="0" fillId="7" borderId="19" xfId="0" applyNumberFormat="1" applyFont="1" applyFill="1" applyBorder="1" applyAlignment="1">
      <alignment vertical="center"/>
    </xf>
    <xf numFmtId="169" fontId="0" fillId="6" borderId="19" xfId="0" applyNumberFormat="1" applyFont="1" applyFill="1" applyBorder="1" applyAlignment="1">
      <alignment vertical="center"/>
    </xf>
    <xf numFmtId="170" fontId="0" fillId="34" borderId="19" xfId="62" applyNumberFormat="1" applyFont="1" applyFill="1" applyBorder="1" applyAlignment="1">
      <alignment vertical="center"/>
    </xf>
    <xf numFmtId="0" fontId="0" fillId="0" borderId="51" xfId="0" applyFont="1" applyBorder="1" applyAlignment="1">
      <alignment/>
    </xf>
    <xf numFmtId="0" fontId="23" fillId="0" borderId="52" xfId="0" applyFont="1" applyBorder="1" applyAlignment="1">
      <alignment wrapText="1"/>
    </xf>
    <xf numFmtId="0" fontId="23" fillId="0" borderId="52" xfId="0" applyFont="1" applyBorder="1" applyAlignment="1">
      <alignment horizontal="center" vertical="center" wrapText="1"/>
    </xf>
    <xf numFmtId="0" fontId="0" fillId="6" borderId="52" xfId="0" applyFont="1" applyFill="1" applyBorder="1" applyAlignment="1">
      <alignment/>
    </xf>
    <xf numFmtId="170" fontId="0" fillId="0" borderId="52" xfId="0" applyNumberFormat="1" applyFont="1" applyBorder="1" applyAlignment="1">
      <alignment/>
    </xf>
    <xf numFmtId="0" fontId="0" fillId="0" borderId="52" xfId="0" applyFont="1" applyBorder="1" applyAlignment="1">
      <alignment/>
    </xf>
    <xf numFmtId="0" fontId="0" fillId="7" borderId="52" xfId="0" applyFont="1" applyFill="1" applyBorder="1" applyAlignment="1">
      <alignment/>
    </xf>
    <xf numFmtId="0" fontId="0" fillId="0" borderId="53" xfId="0" applyFont="1" applyBorder="1" applyAlignment="1">
      <alignment/>
    </xf>
    <xf numFmtId="0" fontId="0" fillId="0" borderId="48" xfId="0" applyFont="1" applyBorder="1" applyAlignment="1">
      <alignment/>
    </xf>
    <xf numFmtId="0" fontId="0" fillId="0" borderId="47" xfId="0" applyFont="1" applyBorder="1" applyAlignment="1">
      <alignment/>
    </xf>
    <xf numFmtId="1" fontId="0" fillId="0" borderId="47" xfId="0" applyNumberFormat="1" applyFont="1" applyBorder="1" applyAlignment="1" quotePrefix="1">
      <alignment horizontal="center"/>
    </xf>
    <xf numFmtId="0" fontId="0" fillId="0" borderId="47" xfId="0" applyFont="1" applyBorder="1" applyAlignment="1">
      <alignment horizontal="center"/>
    </xf>
    <xf numFmtId="1" fontId="0" fillId="34" borderId="47" xfId="0" applyNumberFormat="1" applyFont="1" applyFill="1" applyBorder="1" applyAlignment="1" quotePrefix="1">
      <alignment horizontal="center"/>
    </xf>
    <xf numFmtId="0" fontId="24" fillId="0" borderId="47" xfId="0" applyFont="1" applyBorder="1" applyAlignment="1">
      <alignment/>
    </xf>
    <xf numFmtId="0" fontId="0" fillId="0" borderId="47" xfId="0" applyFont="1" applyBorder="1" applyAlignment="1" quotePrefix="1">
      <alignment horizontal="center"/>
    </xf>
    <xf numFmtId="0" fontId="2" fillId="0" borderId="48" xfId="0" applyFont="1" applyBorder="1" applyAlignment="1">
      <alignment/>
    </xf>
    <xf numFmtId="0" fontId="2" fillId="0" borderId="49" xfId="0" applyFont="1" applyBorder="1" applyAlignment="1">
      <alignment/>
    </xf>
    <xf numFmtId="0" fontId="0" fillId="0" borderId="50" xfId="0" applyFont="1" applyBorder="1" applyAlignment="1">
      <alignment wrapText="1"/>
    </xf>
    <xf numFmtId="0" fontId="0" fillId="0" borderId="50" xfId="0" applyFont="1" applyBorder="1" applyAlignment="1">
      <alignment horizontal="center" vertical="center" wrapText="1"/>
    </xf>
    <xf numFmtId="0" fontId="0" fillId="34" borderId="50" xfId="0" applyFont="1" applyFill="1" applyBorder="1" applyAlignment="1">
      <alignment/>
    </xf>
    <xf numFmtId="0" fontId="0" fillId="6" borderId="50" xfId="0" applyFont="1" applyFill="1" applyBorder="1" applyAlignment="1">
      <alignment/>
    </xf>
    <xf numFmtId="170" fontId="0" fillId="0" borderId="50" xfId="0" applyNumberFormat="1" applyFont="1" applyBorder="1" applyAlignment="1">
      <alignment/>
    </xf>
    <xf numFmtId="0" fontId="0" fillId="0" borderId="50" xfId="0" applyFont="1" applyBorder="1" applyAlignment="1">
      <alignment/>
    </xf>
    <xf numFmtId="0" fontId="0" fillId="7" borderId="50" xfId="0" applyFont="1" applyFill="1" applyBorder="1" applyAlignment="1">
      <alignment/>
    </xf>
    <xf numFmtId="0" fontId="0" fillId="0" borderId="54" xfId="0" applyFont="1" applyBorder="1" applyAlignment="1">
      <alignment/>
    </xf>
    <xf numFmtId="0" fontId="0" fillId="0" borderId="55" xfId="0" applyFont="1" applyBorder="1" applyAlignment="1">
      <alignment/>
    </xf>
    <xf numFmtId="0" fontId="2" fillId="0" borderId="10" xfId="0" applyFont="1" applyBorder="1" applyAlignment="1">
      <alignment wrapText="1"/>
    </xf>
    <xf numFmtId="0" fontId="2" fillId="0" borderId="10" xfId="0" applyFont="1" applyBorder="1" applyAlignment="1">
      <alignment horizontal="center" vertical="center" wrapText="1"/>
    </xf>
    <xf numFmtId="169" fontId="0" fillId="6" borderId="10" xfId="0" applyNumberFormat="1" applyFont="1" applyFill="1" applyBorder="1" applyAlignment="1">
      <alignment/>
    </xf>
    <xf numFmtId="170" fontId="0" fillId="0" borderId="10" xfId="0" applyNumberFormat="1" applyFont="1" applyBorder="1" applyAlignment="1">
      <alignment/>
    </xf>
    <xf numFmtId="0" fontId="0" fillId="0" borderId="10" xfId="0" applyFont="1" applyBorder="1" applyAlignment="1">
      <alignment/>
    </xf>
    <xf numFmtId="0" fontId="0" fillId="7" borderId="10" xfId="0" applyFont="1" applyFill="1" applyBorder="1" applyAlignment="1">
      <alignment/>
    </xf>
    <xf numFmtId="0" fontId="0" fillId="0" borderId="56" xfId="0" applyFont="1" applyBorder="1" applyAlignment="1">
      <alignment/>
    </xf>
    <xf numFmtId="0" fontId="2" fillId="0" borderId="57" xfId="0" applyFont="1" applyBorder="1" applyAlignment="1">
      <alignment wrapText="1"/>
    </xf>
    <xf numFmtId="0" fontId="2" fillId="0" borderId="57" xfId="0" applyFont="1" applyBorder="1" applyAlignment="1">
      <alignment horizontal="center" vertical="center" wrapText="1"/>
    </xf>
    <xf numFmtId="0" fontId="0" fillId="6" borderId="57" xfId="0" applyFont="1" applyFill="1" applyBorder="1" applyAlignment="1">
      <alignment/>
    </xf>
    <xf numFmtId="170" fontId="0" fillId="0" borderId="57" xfId="0" applyNumberFormat="1" applyFont="1" applyBorder="1" applyAlignment="1">
      <alignment/>
    </xf>
    <xf numFmtId="0" fontId="0" fillId="0" borderId="57" xfId="0" applyFont="1" applyBorder="1" applyAlignment="1">
      <alignment/>
    </xf>
    <xf numFmtId="0" fontId="0" fillId="7" borderId="57" xfId="0" applyFont="1" applyFill="1" applyBorder="1" applyAlignment="1">
      <alignment/>
    </xf>
    <xf numFmtId="0" fontId="17" fillId="0" borderId="55" xfId="0" applyFont="1" applyBorder="1" applyAlignment="1">
      <alignment/>
    </xf>
    <xf numFmtId="0" fontId="94" fillId="0" borderId="57" xfId="0" applyFont="1" applyBorder="1" applyAlignment="1">
      <alignment horizontal="center" wrapText="1"/>
    </xf>
    <xf numFmtId="0" fontId="0" fillId="0" borderId="57" xfId="0" applyFont="1" applyBorder="1" applyAlignment="1">
      <alignment horizontal="center" vertical="center" wrapText="1"/>
    </xf>
    <xf numFmtId="0" fontId="23" fillId="0" borderId="10" xfId="0" applyFont="1" applyBorder="1" applyAlignment="1">
      <alignment wrapText="1"/>
    </xf>
    <xf numFmtId="0" fontId="23" fillId="0" borderId="10" xfId="0" applyFont="1" applyBorder="1" applyAlignment="1">
      <alignment horizontal="center" vertical="center" wrapText="1"/>
    </xf>
    <xf numFmtId="0" fontId="0" fillId="6" borderId="10" xfId="0" applyFont="1" applyFill="1" applyBorder="1" applyAlignment="1">
      <alignment/>
    </xf>
    <xf numFmtId="169" fontId="0" fillId="6" borderId="57" xfId="0" applyNumberFormat="1" applyFont="1" applyFill="1" applyBorder="1" applyAlignment="1">
      <alignment/>
    </xf>
    <xf numFmtId="0" fontId="25" fillId="0" borderId="19" xfId="0" applyFont="1" applyBorder="1" applyAlignment="1">
      <alignment horizontal="left" wrapText="1"/>
    </xf>
    <xf numFmtId="0" fontId="2" fillId="7" borderId="10" xfId="0" applyFont="1" applyFill="1" applyBorder="1" applyAlignment="1">
      <alignment horizontal="center"/>
    </xf>
    <xf numFmtId="0" fontId="0" fillId="0" borderId="57" xfId="0" applyFont="1" applyBorder="1" applyAlignment="1">
      <alignment wrapText="1"/>
    </xf>
    <xf numFmtId="0" fontId="0" fillId="0" borderId="58" xfId="0" applyFont="1" applyBorder="1" applyAlignment="1">
      <alignment/>
    </xf>
    <xf numFmtId="0" fontId="0" fillId="0" borderId="59" xfId="0" applyFont="1" applyBorder="1" applyAlignment="1">
      <alignment/>
    </xf>
    <xf numFmtId="169" fontId="0" fillId="34" borderId="10" xfId="0" applyNumberFormat="1" applyFont="1" applyFill="1" applyBorder="1" applyAlignment="1">
      <alignment vertical="center"/>
    </xf>
    <xf numFmtId="169" fontId="0" fillId="7" borderId="10" xfId="0" applyNumberFormat="1" applyFont="1" applyFill="1" applyBorder="1" applyAlignment="1">
      <alignment vertical="center"/>
    </xf>
    <xf numFmtId="0" fontId="2" fillId="0" borderId="55" xfId="0" applyFont="1" applyBorder="1" applyAlignment="1">
      <alignment/>
    </xf>
    <xf numFmtId="0" fontId="0" fillId="0" borderId="10" xfId="0" applyFont="1" applyBorder="1" applyAlignment="1">
      <alignment wrapText="1"/>
    </xf>
    <xf numFmtId="169" fontId="0" fillId="6" borderId="10" xfId="0" applyNumberFormat="1" applyFont="1" applyFill="1" applyBorder="1" applyAlignment="1">
      <alignment vertical="center"/>
    </xf>
    <xf numFmtId="169" fontId="0" fillId="0" borderId="10" xfId="0" applyNumberFormat="1" applyFont="1" applyBorder="1" applyAlignment="1">
      <alignment/>
    </xf>
    <xf numFmtId="169" fontId="0" fillId="6" borderId="10" xfId="0" applyNumberFormat="1" applyFont="1" applyFill="1" applyBorder="1" applyAlignment="1">
      <alignment wrapText="1"/>
    </xf>
    <xf numFmtId="170" fontId="0" fillId="0" borderId="10" xfId="62" applyNumberFormat="1" applyFont="1" applyBorder="1" applyAlignment="1">
      <alignment horizontal="center"/>
    </xf>
    <xf numFmtId="167" fontId="0" fillId="0" borderId="10" xfId="45" applyFont="1" applyBorder="1" applyAlignment="1">
      <alignment horizontal="center"/>
    </xf>
    <xf numFmtId="1" fontId="0" fillId="0" borderId="58" xfId="0" applyNumberFormat="1" applyFont="1" applyBorder="1" applyAlignment="1" quotePrefix="1">
      <alignment horizontal="center"/>
    </xf>
    <xf numFmtId="0" fontId="2" fillId="0" borderId="10" xfId="0" applyFont="1" applyBorder="1" applyAlignment="1">
      <alignment/>
    </xf>
    <xf numFmtId="0" fontId="2" fillId="6" borderId="10" xfId="0" applyFont="1" applyFill="1" applyBorder="1" applyAlignment="1">
      <alignment horizontal="center"/>
    </xf>
    <xf numFmtId="170" fontId="2" fillId="0" borderId="10" xfId="0" applyNumberFormat="1" applyFont="1" applyBorder="1" applyAlignment="1">
      <alignment horizontal="center"/>
    </xf>
    <xf numFmtId="0" fontId="2" fillId="0" borderId="47" xfId="0" applyFont="1" applyBorder="1" applyAlignment="1">
      <alignment horizontal="center"/>
    </xf>
    <xf numFmtId="169" fontId="2" fillId="6" borderId="19" xfId="0" applyNumberFormat="1" applyFont="1" applyFill="1" applyBorder="1" applyAlignment="1">
      <alignment horizontal="center"/>
    </xf>
    <xf numFmtId="170" fontId="2" fillId="0" borderId="19" xfId="0" applyNumberFormat="1" applyFont="1" applyBorder="1" applyAlignment="1">
      <alignment horizontal="center"/>
    </xf>
    <xf numFmtId="0" fontId="2" fillId="6" borderId="19" xfId="0" applyFont="1" applyFill="1" applyBorder="1" applyAlignment="1">
      <alignment horizontal="center"/>
    </xf>
    <xf numFmtId="0" fontId="0" fillId="0" borderId="10" xfId="0" applyFont="1" applyBorder="1" applyAlignment="1">
      <alignment horizontal="center" vertical="center" wrapText="1"/>
    </xf>
    <xf numFmtId="0" fontId="0" fillId="34" borderId="10" xfId="0" applyFont="1" applyFill="1" applyBorder="1" applyAlignment="1">
      <alignment/>
    </xf>
    <xf numFmtId="0" fontId="2" fillId="6" borderId="57" xfId="0" applyFont="1" applyFill="1" applyBorder="1" applyAlignment="1">
      <alignment horizontal="center"/>
    </xf>
    <xf numFmtId="170" fontId="2" fillId="0" borderId="57" xfId="0" applyNumberFormat="1" applyFont="1" applyBorder="1" applyAlignment="1">
      <alignment horizontal="center"/>
    </xf>
    <xf numFmtId="0" fontId="2" fillId="0" borderId="57" xfId="0" applyFont="1" applyBorder="1" applyAlignment="1">
      <alignment horizontal="center"/>
    </xf>
    <xf numFmtId="0" fontId="2" fillId="7" borderId="57" xfId="0" applyFont="1" applyFill="1" applyBorder="1" applyAlignment="1">
      <alignment horizontal="center"/>
    </xf>
    <xf numFmtId="0" fontId="2" fillId="0" borderId="59" xfId="0" applyFont="1" applyBorder="1" applyAlignment="1">
      <alignment horizontal="center"/>
    </xf>
    <xf numFmtId="0" fontId="2" fillId="0" borderId="10" xfId="0" applyFont="1" applyBorder="1" applyAlignment="1">
      <alignment horizontal="left" wrapText="1"/>
    </xf>
    <xf numFmtId="0" fontId="23" fillId="0" borderId="57" xfId="0" applyFont="1" applyBorder="1" applyAlignment="1">
      <alignment wrapText="1"/>
    </xf>
    <xf numFmtId="0" fontId="0" fillId="0" borderId="60" xfId="0" applyFont="1" applyBorder="1" applyAlignment="1">
      <alignment/>
    </xf>
    <xf numFmtId="0" fontId="0" fillId="0" borderId="25" xfId="0" applyFont="1" applyBorder="1" applyAlignment="1">
      <alignment wrapText="1"/>
    </xf>
    <xf numFmtId="0" fontId="0" fillId="0" borderId="25" xfId="0" applyFont="1" applyBorder="1" applyAlignment="1">
      <alignment horizontal="center" vertical="center" wrapText="1"/>
    </xf>
    <xf numFmtId="1" fontId="0" fillId="0" borderId="61" xfId="0" applyNumberFormat="1" applyFont="1" applyBorder="1" applyAlignment="1" quotePrefix="1">
      <alignment horizontal="center"/>
    </xf>
    <xf numFmtId="0" fontId="91" fillId="34" borderId="0" xfId="0" applyFont="1" applyFill="1" applyBorder="1" applyAlignment="1">
      <alignment horizontal="left" vertical="center"/>
    </xf>
    <xf numFmtId="169" fontId="100" fillId="34" borderId="0" xfId="0" applyNumberFormat="1" applyFont="1" applyFill="1" applyBorder="1" applyAlignment="1">
      <alignment/>
    </xf>
    <xf numFmtId="169" fontId="98" fillId="34" borderId="39" xfId="0" applyNumberFormat="1" applyFont="1" applyFill="1" applyBorder="1" applyAlignment="1">
      <alignment/>
    </xf>
    <xf numFmtId="169" fontId="101" fillId="34" borderId="0" xfId="0" applyNumberFormat="1" applyFont="1" applyFill="1" applyBorder="1" applyAlignment="1">
      <alignment horizontal="right"/>
    </xf>
    <xf numFmtId="0" fontId="7" fillId="34" borderId="62" xfId="0" applyFont="1" applyFill="1" applyBorder="1" applyAlignment="1">
      <alignment horizontal="center"/>
    </xf>
    <xf numFmtId="169" fontId="98" fillId="34" borderId="11" xfId="0" applyNumberFormat="1" applyFont="1" applyFill="1" applyBorder="1" applyAlignment="1">
      <alignment/>
    </xf>
    <xf numFmtId="0" fontId="98" fillId="34" borderId="0" xfId="0" applyFont="1" applyFill="1" applyBorder="1" applyAlignment="1">
      <alignment/>
    </xf>
    <xf numFmtId="10" fontId="91" fillId="37" borderId="20" xfId="0" applyNumberFormat="1" applyFont="1" applyFill="1" applyBorder="1" applyAlignment="1">
      <alignment horizontal="center"/>
    </xf>
    <xf numFmtId="169" fontId="7" fillId="34" borderId="16" xfId="59" applyNumberFormat="1" applyFont="1" applyFill="1" applyBorder="1">
      <alignment/>
      <protection/>
    </xf>
    <xf numFmtId="0" fontId="0" fillId="35" borderId="44" xfId="45" applyNumberFormat="1" applyFont="1" applyFill="1" applyBorder="1" applyAlignment="1">
      <alignment/>
    </xf>
    <xf numFmtId="1" fontId="0" fillId="34" borderId="47" xfId="0" applyNumberFormat="1" applyFont="1" applyFill="1" applyBorder="1" applyAlignment="1" quotePrefix="1">
      <alignment horizontal="center" vertical="center"/>
    </xf>
    <xf numFmtId="9" fontId="0" fillId="34" borderId="47" xfId="62" applyFont="1" applyFill="1" applyBorder="1" applyAlignment="1">
      <alignment vertical="center"/>
    </xf>
    <xf numFmtId="9" fontId="0" fillId="34" borderId="58" xfId="62" applyFont="1" applyFill="1" applyBorder="1" applyAlignment="1">
      <alignment vertical="center"/>
    </xf>
    <xf numFmtId="170" fontId="0" fillId="34" borderId="19" xfId="62" applyNumberFormat="1" applyFont="1" applyFill="1" applyBorder="1" applyAlignment="1">
      <alignment horizontal="center" vertical="center"/>
    </xf>
    <xf numFmtId="170" fontId="0" fillId="34" borderId="10" xfId="62" applyNumberFormat="1" applyFont="1" applyFill="1" applyBorder="1" applyAlignment="1">
      <alignment vertical="center"/>
    </xf>
    <xf numFmtId="169" fontId="10" fillId="0" borderId="0" xfId="0" applyNumberFormat="1" applyFont="1" applyBorder="1" applyAlignment="1">
      <alignment/>
    </xf>
    <xf numFmtId="0" fontId="7" fillId="34" borderId="38" xfId="0" applyFont="1" applyFill="1" applyBorder="1" applyAlignment="1">
      <alignment horizontal="center" vertical="center"/>
    </xf>
    <xf numFmtId="170" fontId="5" fillId="34" borderId="19" xfId="0" applyNumberFormat="1" applyFont="1" applyFill="1" applyBorder="1" applyAlignment="1" quotePrefix="1">
      <alignment horizontal="center" wrapText="1"/>
    </xf>
    <xf numFmtId="169" fontId="91" fillId="34" borderId="15" xfId="0" applyNumberFormat="1" applyFont="1" applyFill="1" applyBorder="1" applyAlignment="1">
      <alignment/>
    </xf>
    <xf numFmtId="0" fontId="0" fillId="0" borderId="19" xfId="0" applyFont="1" applyBorder="1" applyAlignment="1">
      <alignment horizontal="left" vertical="center" wrapText="1"/>
    </xf>
    <xf numFmtId="169" fontId="0" fillId="6" borderId="50" xfId="0" applyNumberFormat="1" applyFont="1" applyFill="1" applyBorder="1" applyAlignment="1">
      <alignment/>
    </xf>
    <xf numFmtId="170" fontId="0" fillId="0" borderId="50" xfId="62" applyNumberFormat="1" applyFont="1" applyBorder="1" applyAlignment="1">
      <alignment horizontal="center"/>
    </xf>
    <xf numFmtId="167" fontId="0" fillId="0" borderId="50" xfId="45" applyFont="1" applyBorder="1" applyAlignment="1">
      <alignment horizontal="center"/>
    </xf>
    <xf numFmtId="1" fontId="0" fillId="0" borderId="54" xfId="0" applyNumberFormat="1" applyFont="1" applyBorder="1" applyAlignment="1" quotePrefix="1">
      <alignment horizontal="center"/>
    </xf>
    <xf numFmtId="0" fontId="0" fillId="0" borderId="49" xfId="0" applyFont="1" applyBorder="1" applyAlignment="1">
      <alignment/>
    </xf>
    <xf numFmtId="0" fontId="2" fillId="0" borderId="50" xfId="0" applyFont="1" applyBorder="1" applyAlignment="1">
      <alignment wrapText="1"/>
    </xf>
    <xf numFmtId="0" fontId="2" fillId="0" borderId="50" xfId="0" applyFont="1" applyBorder="1" applyAlignment="1">
      <alignment horizontal="center" vertical="center" wrapText="1"/>
    </xf>
    <xf numFmtId="0" fontId="0" fillId="0" borderId="54" xfId="0" applyFont="1" applyBorder="1" applyAlignment="1">
      <alignment horizontal="center"/>
    </xf>
    <xf numFmtId="0" fontId="2" fillId="6" borderId="52" xfId="0" applyFont="1" applyFill="1" applyBorder="1" applyAlignment="1">
      <alignment horizontal="center"/>
    </xf>
    <xf numFmtId="170" fontId="2" fillId="0" borderId="52" xfId="0" applyNumberFormat="1" applyFont="1" applyBorder="1" applyAlignment="1">
      <alignment horizontal="center"/>
    </xf>
    <xf numFmtId="0" fontId="2" fillId="7" borderId="52" xfId="0" applyFont="1" applyFill="1" applyBorder="1" applyAlignment="1">
      <alignment horizontal="center"/>
    </xf>
    <xf numFmtId="0" fontId="2" fillId="0" borderId="53" xfId="0" applyFont="1" applyBorder="1" applyAlignment="1">
      <alignment horizontal="center"/>
    </xf>
    <xf numFmtId="0" fontId="0" fillId="0" borderId="54" xfId="0" applyFont="1" applyBorder="1" applyAlignment="1" quotePrefix="1">
      <alignment horizontal="center"/>
    </xf>
    <xf numFmtId="0" fontId="94" fillId="34" borderId="50" xfId="0" applyFont="1" applyFill="1" applyBorder="1" applyAlignment="1">
      <alignment horizontal="center"/>
    </xf>
    <xf numFmtId="0" fontId="2" fillId="0" borderId="52" xfId="0" applyFont="1" applyBorder="1" applyAlignment="1">
      <alignment horizontal="center" vertical="center" wrapText="1"/>
    </xf>
    <xf numFmtId="169" fontId="0" fillId="0" borderId="50" xfId="0" applyNumberFormat="1" applyFont="1" applyBorder="1" applyAlignment="1">
      <alignment/>
    </xf>
    <xf numFmtId="169" fontId="0" fillId="6" borderId="50" xfId="0" applyNumberFormat="1" applyFont="1" applyFill="1" applyBorder="1" applyAlignment="1">
      <alignment wrapText="1"/>
    </xf>
    <xf numFmtId="0" fontId="0" fillId="6" borderId="19" xfId="0" applyFont="1" applyFill="1" applyBorder="1" applyAlignment="1">
      <alignment vertical="center"/>
    </xf>
    <xf numFmtId="169" fontId="0" fillId="6" borderId="19" xfId="0" applyNumberFormat="1" applyFont="1" applyFill="1" applyBorder="1" applyAlignment="1">
      <alignment horizontal="right" vertical="center"/>
    </xf>
    <xf numFmtId="169" fontId="0" fillId="7" borderId="19" xfId="0" applyNumberFormat="1" applyFont="1" applyFill="1" applyBorder="1" applyAlignment="1">
      <alignment/>
    </xf>
    <xf numFmtId="169" fontId="0" fillId="7" borderId="19" xfId="0" applyNumberFormat="1" applyFont="1" applyFill="1" applyBorder="1" applyAlignment="1">
      <alignment wrapText="1"/>
    </xf>
    <xf numFmtId="169" fontId="0" fillId="7" borderId="57" xfId="0" applyNumberFormat="1" applyFont="1" applyFill="1" applyBorder="1" applyAlignment="1">
      <alignment/>
    </xf>
    <xf numFmtId="169" fontId="0" fillId="7" borderId="10" xfId="0" applyNumberFormat="1" applyFont="1" applyFill="1" applyBorder="1" applyAlignment="1">
      <alignment/>
    </xf>
    <xf numFmtId="169" fontId="24" fillId="7" borderId="19" xfId="0" applyNumberFormat="1" applyFont="1" applyFill="1" applyBorder="1" applyAlignment="1">
      <alignment/>
    </xf>
    <xf numFmtId="169" fontId="99" fillId="7" borderId="19" xfId="0" applyNumberFormat="1" applyFont="1" applyFill="1" applyBorder="1" applyAlignment="1">
      <alignment/>
    </xf>
    <xf numFmtId="169" fontId="94" fillId="7" borderId="19" xfId="0" applyNumberFormat="1" applyFont="1" applyFill="1" applyBorder="1" applyAlignment="1">
      <alignment/>
    </xf>
    <xf numFmtId="169" fontId="0" fillId="7" borderId="50" xfId="0" applyNumberFormat="1" applyFont="1" applyFill="1" applyBorder="1" applyAlignment="1">
      <alignment/>
    </xf>
    <xf numFmtId="0" fontId="0" fillId="7" borderId="19" xfId="0" applyFont="1" applyFill="1" applyBorder="1" applyAlignment="1">
      <alignment vertical="center" wrapText="1"/>
    </xf>
    <xf numFmtId="169" fontId="0" fillId="7" borderId="50" xfId="0" applyNumberFormat="1" applyFont="1" applyFill="1" applyBorder="1" applyAlignment="1">
      <alignment wrapText="1"/>
    </xf>
    <xf numFmtId="169" fontId="0" fillId="7" borderId="10" xfId="0" applyNumberFormat="1" applyFont="1" applyFill="1" applyBorder="1" applyAlignment="1">
      <alignment wrapText="1"/>
    </xf>
    <xf numFmtId="169" fontId="0" fillId="7" borderId="19" xfId="0" applyNumberFormat="1" applyFont="1" applyFill="1" applyBorder="1" applyAlignment="1">
      <alignment horizontal="right" vertical="center"/>
    </xf>
    <xf numFmtId="0" fontId="7" fillId="34" borderId="18" xfId="0" applyFont="1" applyFill="1" applyBorder="1" applyAlignment="1">
      <alignment horizontal="center"/>
    </xf>
    <xf numFmtId="9" fontId="0" fillId="0" borderId="19" xfId="62" applyFont="1" applyBorder="1" applyAlignment="1">
      <alignment horizontal="center"/>
    </xf>
    <xf numFmtId="0" fontId="72" fillId="29" borderId="0" xfId="49" applyFont="1" applyBorder="1" applyAlignment="1">
      <alignment/>
    </xf>
    <xf numFmtId="0" fontId="0" fillId="0" borderId="33" xfId="0" applyFont="1" applyBorder="1" applyAlignment="1">
      <alignment/>
    </xf>
    <xf numFmtId="0" fontId="0" fillId="0" borderId="41" xfId="0" applyFont="1" applyBorder="1" applyAlignment="1">
      <alignment/>
    </xf>
    <xf numFmtId="0" fontId="0" fillId="0" borderId="63" xfId="0" applyFont="1" applyBorder="1" applyAlignment="1">
      <alignment/>
    </xf>
    <xf numFmtId="0" fontId="94" fillId="0" borderId="64" xfId="0" applyFont="1" applyBorder="1" applyAlignment="1">
      <alignment horizontal="center" wrapText="1"/>
    </xf>
    <xf numFmtId="0" fontId="0" fillId="0" borderId="64" xfId="0" applyFont="1" applyBorder="1" applyAlignment="1">
      <alignment horizontal="center" vertical="center" wrapText="1"/>
    </xf>
    <xf numFmtId="0" fontId="0" fillId="6" borderId="64" xfId="0" applyFont="1" applyFill="1" applyBorder="1" applyAlignment="1">
      <alignment/>
    </xf>
    <xf numFmtId="0" fontId="0" fillId="7" borderId="64" xfId="0" applyFont="1" applyFill="1" applyBorder="1" applyAlignment="1">
      <alignment/>
    </xf>
    <xf numFmtId="170" fontId="0" fillId="0" borderId="64" xfId="0" applyNumberFormat="1" applyFont="1" applyBorder="1" applyAlignment="1">
      <alignment/>
    </xf>
    <xf numFmtId="0" fontId="0" fillId="0" borderId="64" xfId="0" applyFont="1" applyBorder="1" applyAlignment="1">
      <alignment/>
    </xf>
    <xf numFmtId="0" fontId="0" fillId="0" borderId="65" xfId="0" applyFont="1" applyBorder="1" applyAlignment="1">
      <alignment/>
    </xf>
    <xf numFmtId="0" fontId="23" fillId="0" borderId="64" xfId="0" applyFont="1" applyBorder="1" applyAlignment="1">
      <alignment wrapText="1"/>
    </xf>
    <xf numFmtId="0" fontId="2" fillId="0" borderId="66" xfId="0" applyFont="1" applyBorder="1" applyAlignment="1">
      <alignment wrapText="1"/>
    </xf>
    <xf numFmtId="0" fontId="72" fillId="4" borderId="52" xfId="49" applyFont="1" applyFill="1" applyBorder="1" applyAlignment="1">
      <alignment/>
    </xf>
    <xf numFmtId="0" fontId="72" fillId="4" borderId="53" xfId="49" applyFont="1" applyFill="1" applyBorder="1" applyAlignment="1">
      <alignment/>
    </xf>
    <xf numFmtId="0" fontId="72" fillId="4" borderId="19" xfId="49" applyFont="1" applyFill="1" applyBorder="1" applyAlignment="1">
      <alignment horizontal="center"/>
    </xf>
    <xf numFmtId="0" fontId="72" fillId="4" borderId="47" xfId="49" applyFont="1" applyFill="1" applyBorder="1" applyAlignment="1">
      <alignment horizontal="center"/>
    </xf>
    <xf numFmtId="0" fontId="72" fillId="4" borderId="57" xfId="49" applyFont="1" applyFill="1" applyBorder="1" applyAlignment="1">
      <alignment horizontal="center"/>
    </xf>
    <xf numFmtId="0" fontId="72" fillId="4" borderId="59" xfId="49" applyFont="1" applyFill="1" applyBorder="1" applyAlignment="1">
      <alignment horizontal="center"/>
    </xf>
    <xf numFmtId="0" fontId="72" fillId="4" borderId="10" xfId="49" applyFont="1" applyFill="1" applyBorder="1" applyAlignment="1">
      <alignment/>
    </xf>
    <xf numFmtId="0" fontId="72" fillId="4" borderId="58" xfId="49" applyFont="1" applyFill="1" applyBorder="1" applyAlignment="1">
      <alignment/>
    </xf>
    <xf numFmtId="0" fontId="72" fillId="4" borderId="19" xfId="49" applyFont="1" applyFill="1" applyBorder="1" applyAlignment="1">
      <alignment/>
    </xf>
    <xf numFmtId="0" fontId="72" fillId="4" borderId="47" xfId="49" applyFont="1" applyFill="1" applyBorder="1" applyAlignment="1">
      <alignment/>
    </xf>
    <xf numFmtId="169" fontId="72" fillId="4" borderId="19" xfId="49" applyNumberFormat="1" applyFont="1" applyFill="1" applyBorder="1" applyAlignment="1">
      <alignment horizontal="center"/>
    </xf>
    <xf numFmtId="169" fontId="72" fillId="4" borderId="47" xfId="49" applyNumberFormat="1" applyFont="1" applyFill="1" applyBorder="1" applyAlignment="1">
      <alignment horizontal="center"/>
    </xf>
    <xf numFmtId="170" fontId="72" fillId="4" borderId="19" xfId="49" applyNumberFormat="1" applyFont="1" applyFill="1" applyBorder="1" applyAlignment="1">
      <alignment horizontal="center"/>
    </xf>
    <xf numFmtId="170" fontId="72" fillId="4" borderId="47" xfId="49" applyNumberFormat="1" applyFont="1" applyFill="1" applyBorder="1" applyAlignment="1">
      <alignment horizontal="center"/>
    </xf>
    <xf numFmtId="0" fontId="72" fillId="4" borderId="50" xfId="49" applyFont="1" applyFill="1" applyBorder="1" applyAlignment="1">
      <alignment/>
    </xf>
    <xf numFmtId="0" fontId="72" fillId="4" borderId="54" xfId="49" applyFont="1" applyFill="1" applyBorder="1" applyAlignment="1">
      <alignment/>
    </xf>
    <xf numFmtId="0" fontId="72" fillId="4" borderId="57" xfId="49" applyFont="1" applyFill="1" applyBorder="1" applyAlignment="1">
      <alignment/>
    </xf>
    <xf numFmtId="0" fontId="72" fillId="4" borderId="59" xfId="49" applyFont="1" applyFill="1" applyBorder="1" applyAlignment="1">
      <alignment/>
    </xf>
    <xf numFmtId="0" fontId="72" fillId="4" borderId="64" xfId="49" applyFont="1" applyFill="1" applyBorder="1" applyAlignment="1">
      <alignment/>
    </xf>
    <xf numFmtId="0" fontId="72" fillId="4" borderId="67" xfId="49" applyFont="1" applyFill="1" applyBorder="1" applyAlignment="1">
      <alignment/>
    </xf>
    <xf numFmtId="169" fontId="72" fillId="4" borderId="50" xfId="49" applyNumberFormat="1" applyFont="1" applyFill="1" applyBorder="1" applyAlignment="1">
      <alignment horizontal="center"/>
    </xf>
    <xf numFmtId="169" fontId="72" fillId="4" borderId="54" xfId="49" applyNumberFormat="1" applyFont="1" applyFill="1" applyBorder="1" applyAlignment="1">
      <alignment horizontal="center"/>
    </xf>
    <xf numFmtId="169" fontId="72" fillId="4" borderId="10" xfId="49" applyNumberFormat="1" applyFont="1" applyFill="1" applyBorder="1" applyAlignment="1">
      <alignment horizontal="center"/>
    </xf>
    <xf numFmtId="169" fontId="72" fillId="4" borderId="58" xfId="49" applyNumberFormat="1" applyFont="1" applyFill="1" applyBorder="1" applyAlignment="1">
      <alignment horizontal="center"/>
    </xf>
    <xf numFmtId="9" fontId="72" fillId="4" borderId="19" xfId="49" applyNumberFormat="1" applyFont="1" applyFill="1" applyBorder="1" applyAlignment="1">
      <alignment horizontal="right" vertical="center"/>
    </xf>
    <xf numFmtId="9" fontId="72" fillId="4" borderId="47" xfId="49" applyNumberFormat="1" applyFont="1" applyFill="1" applyBorder="1" applyAlignment="1">
      <alignment horizontal="right" vertical="center"/>
    </xf>
    <xf numFmtId="0" fontId="72" fillId="4" borderId="19" xfId="49" applyFont="1" applyFill="1" applyBorder="1" applyAlignment="1">
      <alignment horizontal="right"/>
    </xf>
    <xf numFmtId="0" fontId="72" fillId="4" borderId="47" xfId="49" applyFont="1" applyFill="1" applyBorder="1" applyAlignment="1">
      <alignment horizontal="right"/>
    </xf>
    <xf numFmtId="169" fontId="72" fillId="4" borderId="19" xfId="49" applyNumberFormat="1" applyFont="1" applyFill="1" applyBorder="1" applyAlignment="1">
      <alignment vertical="center"/>
    </xf>
    <xf numFmtId="169" fontId="72" fillId="4" borderId="47" xfId="49" applyNumberFormat="1" applyFont="1" applyFill="1" applyBorder="1" applyAlignment="1">
      <alignment vertical="center"/>
    </xf>
    <xf numFmtId="169" fontId="72" fillId="4" borderId="10" xfId="49" applyNumberFormat="1" applyFont="1" applyFill="1" applyBorder="1" applyAlignment="1">
      <alignment vertical="center"/>
    </xf>
    <xf numFmtId="169" fontId="72" fillId="4" borderId="58" xfId="49" applyNumberFormat="1" applyFont="1" applyFill="1" applyBorder="1" applyAlignment="1">
      <alignment vertical="center"/>
    </xf>
    <xf numFmtId="0" fontId="0" fillId="34" borderId="32" xfId="0" applyFill="1" applyBorder="1" applyAlignment="1">
      <alignment/>
    </xf>
    <xf numFmtId="0" fontId="5" fillId="34" borderId="33" xfId="0" applyFont="1" applyFill="1" applyBorder="1" applyAlignment="1">
      <alignment/>
    </xf>
    <xf numFmtId="0" fontId="0" fillId="34" borderId="33" xfId="0" applyFont="1" applyFill="1" applyBorder="1" applyAlignment="1">
      <alignment/>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9" fillId="34" borderId="36" xfId="0" applyFont="1" applyFill="1" applyBorder="1" applyAlignment="1">
      <alignment horizontal="center"/>
    </xf>
    <xf numFmtId="0" fontId="7" fillId="34" borderId="68" xfId="0" applyFont="1" applyFill="1" applyBorder="1" applyAlignment="1">
      <alignment/>
    </xf>
    <xf numFmtId="0" fontId="7" fillId="34" borderId="69" xfId="0" applyFont="1" applyFill="1" applyBorder="1" applyAlignment="1">
      <alignment/>
    </xf>
    <xf numFmtId="169" fontId="101" fillId="34" borderId="36" xfId="0" applyNumberFormat="1" applyFont="1" applyFill="1" applyBorder="1" applyAlignment="1">
      <alignment horizontal="center"/>
    </xf>
    <xf numFmtId="0" fontId="7" fillId="34" borderId="70" xfId="0" applyFont="1" applyFill="1" applyBorder="1" applyAlignment="1">
      <alignment/>
    </xf>
    <xf numFmtId="0" fontId="7" fillId="34" borderId="71" xfId="0" applyFont="1" applyFill="1" applyBorder="1" applyAlignment="1">
      <alignment/>
    </xf>
    <xf numFmtId="0" fontId="9" fillId="34" borderId="36" xfId="0" applyFont="1" applyFill="1" applyBorder="1" applyAlignment="1">
      <alignment/>
    </xf>
    <xf numFmtId="0" fontId="5" fillId="34" borderId="36" xfId="0" applyFont="1" applyFill="1" applyBorder="1" applyAlignment="1">
      <alignment/>
    </xf>
    <xf numFmtId="170" fontId="7" fillId="34" borderId="0" xfId="0" applyNumberFormat="1" applyFont="1" applyFill="1" applyBorder="1" applyAlignment="1">
      <alignment/>
    </xf>
    <xf numFmtId="170" fontId="7" fillId="34" borderId="36" xfId="0" applyNumberFormat="1" applyFont="1" applyFill="1" applyBorder="1" applyAlignment="1">
      <alignment/>
    </xf>
    <xf numFmtId="170" fontId="5" fillId="34" borderId="71" xfId="62" applyNumberFormat="1" applyFont="1" applyFill="1" applyBorder="1" applyAlignment="1">
      <alignment/>
    </xf>
    <xf numFmtId="169" fontId="15" fillId="34" borderId="36" xfId="0" applyNumberFormat="1" applyFont="1" applyFill="1" applyBorder="1" applyAlignment="1">
      <alignment/>
    </xf>
    <xf numFmtId="0" fontId="72" fillId="0" borderId="0" xfId="0" applyFont="1" applyBorder="1" applyAlignment="1">
      <alignment/>
    </xf>
    <xf numFmtId="169" fontId="101" fillId="34" borderId="36" xfId="0" applyNumberFormat="1" applyFont="1" applyFill="1" applyBorder="1" applyAlignment="1">
      <alignment horizontal="right"/>
    </xf>
    <xf numFmtId="0" fontId="5" fillId="34" borderId="35" xfId="0" applyFont="1" applyFill="1" applyBorder="1" applyAlignment="1">
      <alignment/>
    </xf>
    <xf numFmtId="169" fontId="92" fillId="34" borderId="36" xfId="0" applyNumberFormat="1" applyFont="1" applyFill="1" applyBorder="1" applyAlignment="1">
      <alignment/>
    </xf>
    <xf numFmtId="0" fontId="0" fillId="34" borderId="40" xfId="0" applyFill="1" applyBorder="1" applyAlignment="1">
      <alignment/>
    </xf>
    <xf numFmtId="0" fontId="0" fillId="34" borderId="41" xfId="0" applyFill="1" applyBorder="1" applyAlignment="1">
      <alignment/>
    </xf>
    <xf numFmtId="0" fontId="0" fillId="34" borderId="42" xfId="0" applyFill="1" applyBorder="1" applyAlignment="1">
      <alignment/>
    </xf>
    <xf numFmtId="0" fontId="6" fillId="0" borderId="33" xfId="0" applyFont="1" applyBorder="1" applyAlignment="1">
      <alignment/>
    </xf>
    <xf numFmtId="2" fontId="0" fillId="0" borderId="34" xfId="0" applyNumberFormat="1" applyBorder="1" applyAlignment="1">
      <alignment/>
    </xf>
    <xf numFmtId="0" fontId="5" fillId="0" borderId="0" xfId="0" applyFont="1" applyBorder="1" applyAlignment="1">
      <alignment/>
    </xf>
    <xf numFmtId="2" fontId="0" fillId="0" borderId="36" xfId="0" applyNumberFormat="1" applyBorder="1" applyAlignment="1">
      <alignment/>
    </xf>
    <xf numFmtId="0" fontId="7" fillId="0" borderId="68" xfId="0" applyFont="1" applyBorder="1" applyAlignment="1">
      <alignment/>
    </xf>
    <xf numFmtId="0" fontId="7" fillId="0" borderId="35" xfId="0" applyFont="1" applyBorder="1" applyAlignment="1">
      <alignment/>
    </xf>
    <xf numFmtId="0" fontId="7" fillId="0" borderId="72" xfId="0" applyFont="1" applyBorder="1" applyAlignment="1">
      <alignment/>
    </xf>
    <xf numFmtId="2" fontId="2" fillId="0" borderId="36" xfId="0" applyNumberFormat="1" applyFont="1" applyBorder="1" applyAlignment="1">
      <alignment/>
    </xf>
    <xf numFmtId="0" fontId="7" fillId="0" borderId="73" xfId="0" applyFont="1" applyBorder="1" applyAlignment="1">
      <alignment/>
    </xf>
    <xf numFmtId="0" fontId="7" fillId="0" borderId="48" xfId="0" applyFont="1" applyBorder="1" applyAlignment="1">
      <alignment/>
    </xf>
    <xf numFmtId="0" fontId="0" fillId="0" borderId="36" xfId="0" applyBorder="1" applyAlignment="1">
      <alignment/>
    </xf>
    <xf numFmtId="0" fontId="0" fillId="0" borderId="36" xfId="0" applyFont="1" applyBorder="1" applyAlignment="1">
      <alignment/>
    </xf>
    <xf numFmtId="169" fontId="0" fillId="0" borderId="36" xfId="0" applyNumberFormat="1" applyBorder="1" applyAlignment="1">
      <alignment/>
    </xf>
    <xf numFmtId="0" fontId="0" fillId="0" borderId="48" xfId="0" applyBorder="1" applyAlignment="1">
      <alignment/>
    </xf>
    <xf numFmtId="2" fontId="0" fillId="0" borderId="36" xfId="62" applyNumberFormat="1" applyFont="1" applyBorder="1" applyAlignment="1">
      <alignment/>
    </xf>
    <xf numFmtId="0" fontId="7" fillId="0" borderId="74" xfId="0" applyFont="1" applyBorder="1" applyAlignment="1">
      <alignment/>
    </xf>
    <xf numFmtId="0" fontId="7" fillId="0" borderId="75" xfId="0" applyFont="1" applyBorder="1" applyAlignment="1">
      <alignment/>
    </xf>
    <xf numFmtId="2" fontId="0" fillId="0" borderId="36" xfId="0" applyNumberFormat="1" applyFont="1" applyBorder="1" applyAlignment="1">
      <alignment/>
    </xf>
    <xf numFmtId="0" fontId="7" fillId="0" borderId="55" xfId="0" applyFont="1" applyBorder="1" applyAlignment="1">
      <alignment/>
    </xf>
    <xf numFmtId="2" fontId="94" fillId="0" borderId="36" xfId="0" applyNumberFormat="1" applyFont="1" applyBorder="1" applyAlignment="1">
      <alignment/>
    </xf>
    <xf numFmtId="0" fontId="7" fillId="0" borderId="60" xfId="0" applyFont="1" applyBorder="1" applyAlignment="1">
      <alignment/>
    </xf>
    <xf numFmtId="0" fontId="8" fillId="0" borderId="48" xfId="0" applyFont="1" applyBorder="1" applyAlignment="1">
      <alignment horizontal="center"/>
    </xf>
    <xf numFmtId="0" fontId="2" fillId="33" borderId="73" xfId="0" applyFont="1" applyFill="1" applyBorder="1" applyAlignment="1">
      <alignment/>
    </xf>
    <xf numFmtId="0" fontId="2" fillId="0" borderId="73" xfId="0" applyFont="1" applyBorder="1" applyAlignment="1">
      <alignment/>
    </xf>
    <xf numFmtId="0" fontId="0" fillId="0" borderId="76" xfId="0" applyFont="1" applyBorder="1" applyAlignment="1">
      <alignment/>
    </xf>
    <xf numFmtId="169" fontId="0" fillId="0" borderId="50" xfId="0" applyNumberFormat="1" applyBorder="1" applyAlignment="1">
      <alignment/>
    </xf>
    <xf numFmtId="169" fontId="0" fillId="0" borderId="50" xfId="0" applyNumberFormat="1" applyFont="1" applyBorder="1" applyAlignment="1">
      <alignment horizontal="center"/>
    </xf>
    <xf numFmtId="169" fontId="2" fillId="0" borderId="77" xfId="0" applyNumberFormat="1" applyFont="1" applyBorder="1" applyAlignment="1">
      <alignment horizontal="center"/>
    </xf>
    <xf numFmtId="0" fontId="0" fillId="0" borderId="41" xfId="0" applyBorder="1" applyAlignment="1">
      <alignment/>
    </xf>
    <xf numFmtId="2" fontId="0" fillId="0" borderId="42" xfId="0" applyNumberFormat="1" applyBorder="1" applyAlignment="1">
      <alignment/>
    </xf>
    <xf numFmtId="0" fontId="7" fillId="0" borderId="10" xfId="0" applyFont="1" applyBorder="1" applyAlignment="1">
      <alignment/>
    </xf>
    <xf numFmtId="169" fontId="10" fillId="0" borderId="10" xfId="0" applyNumberFormat="1" applyFont="1" applyBorder="1" applyAlignment="1">
      <alignment/>
    </xf>
    <xf numFmtId="169" fontId="91" fillId="34" borderId="17" xfId="0" applyNumberFormat="1" applyFont="1" applyFill="1" applyBorder="1" applyAlignment="1">
      <alignment/>
    </xf>
    <xf numFmtId="0" fontId="89" fillId="0" borderId="51" xfId="0" applyFont="1" applyBorder="1" applyAlignment="1">
      <alignment wrapText="1"/>
    </xf>
    <xf numFmtId="0" fontId="89" fillId="0" borderId="48" xfId="0" applyFont="1" applyBorder="1" applyAlignment="1">
      <alignment wrapText="1"/>
    </xf>
    <xf numFmtId="0" fontId="89" fillId="0" borderId="52" xfId="0" applyFont="1" applyBorder="1" applyAlignment="1">
      <alignment wrapText="1"/>
    </xf>
    <xf numFmtId="9" fontId="0" fillId="0" borderId="19" xfId="0" applyNumberFormat="1" applyBorder="1" applyAlignment="1">
      <alignment wrapText="1"/>
    </xf>
    <xf numFmtId="0" fontId="89" fillId="0" borderId="53" xfId="0" applyFont="1" applyBorder="1" applyAlignment="1">
      <alignment wrapText="1"/>
    </xf>
    <xf numFmtId="9" fontId="0" fillId="0" borderId="47" xfId="0" applyNumberFormat="1" applyBorder="1" applyAlignment="1">
      <alignment wrapText="1"/>
    </xf>
    <xf numFmtId="10" fontId="92" fillId="0" borderId="19" xfId="0" applyNumberFormat="1" applyFont="1" applyBorder="1" applyAlignment="1">
      <alignment/>
    </xf>
    <xf numFmtId="9" fontId="94" fillId="0" borderId="19" xfId="0" applyNumberFormat="1" applyFont="1" applyBorder="1" applyAlignment="1">
      <alignment wrapText="1"/>
    </xf>
    <xf numFmtId="9" fontId="0" fillId="0" borderId="0" xfId="62" applyFont="1" applyAlignment="1">
      <alignment/>
    </xf>
    <xf numFmtId="168" fontId="0" fillId="0" borderId="19" xfId="42" applyFont="1" applyBorder="1" applyAlignment="1">
      <alignment wrapText="1"/>
    </xf>
    <xf numFmtId="164" fontId="0" fillId="0" borderId="0" xfId="0" applyNumberFormat="1" applyFont="1" applyAlignment="1">
      <alignment/>
    </xf>
    <xf numFmtId="9" fontId="94" fillId="0" borderId="0" xfId="62" applyFont="1" applyAlignment="1">
      <alignment/>
    </xf>
    <xf numFmtId="9" fontId="102" fillId="0" borderId="0" xfId="62" applyFont="1" applyAlignment="1">
      <alignment/>
    </xf>
    <xf numFmtId="0" fontId="102" fillId="0" borderId="0" xfId="0" applyFont="1" applyAlignment="1">
      <alignment/>
    </xf>
    <xf numFmtId="9" fontId="0" fillId="34" borderId="0" xfId="62" applyFont="1" applyFill="1" applyAlignment="1">
      <alignment/>
    </xf>
    <xf numFmtId="169" fontId="91" fillId="34" borderId="22" xfId="0" applyNumberFormat="1" applyFont="1" applyFill="1" applyBorder="1" applyAlignment="1">
      <alignment/>
    </xf>
    <xf numFmtId="170" fontId="99" fillId="34" borderId="19" xfId="62" applyNumberFormat="1" applyFont="1" applyFill="1" applyBorder="1" applyAlignment="1">
      <alignment horizontal="center" vertical="center"/>
    </xf>
    <xf numFmtId="169" fontId="99" fillId="6" borderId="19" xfId="0" applyNumberFormat="1" applyFont="1" applyFill="1" applyBorder="1" applyAlignment="1">
      <alignment vertical="center"/>
    </xf>
    <xf numFmtId="169" fontId="99" fillId="6" borderId="19" xfId="0" applyNumberFormat="1" applyFont="1" applyFill="1" applyBorder="1" applyAlignment="1">
      <alignment horizontal="right" vertical="center"/>
    </xf>
    <xf numFmtId="169" fontId="99" fillId="7" borderId="25" xfId="0" applyNumberFormat="1" applyFont="1" applyFill="1" applyBorder="1" applyAlignment="1">
      <alignment/>
    </xf>
    <xf numFmtId="0" fontId="0" fillId="0" borderId="19" xfId="0" applyFont="1" applyBorder="1" applyAlignment="1">
      <alignment wrapText="1"/>
    </xf>
    <xf numFmtId="0" fontId="23" fillId="10" borderId="52" xfId="0" applyFont="1" applyFill="1" applyBorder="1" applyAlignment="1">
      <alignment horizontal="center"/>
    </xf>
    <xf numFmtId="0" fontId="2" fillId="10" borderId="19" xfId="0" applyFont="1" applyFill="1" applyBorder="1" applyAlignment="1">
      <alignment horizontal="center"/>
    </xf>
    <xf numFmtId="0" fontId="2" fillId="10" borderId="57" xfId="0" applyFont="1" applyFill="1" applyBorder="1" applyAlignment="1">
      <alignment horizontal="center"/>
    </xf>
    <xf numFmtId="0" fontId="0" fillId="10" borderId="10" xfId="0" applyFont="1" applyFill="1" applyBorder="1" applyAlignment="1">
      <alignment/>
    </xf>
    <xf numFmtId="0" fontId="0" fillId="10" borderId="19" xfId="0" applyFont="1" applyFill="1" applyBorder="1" applyAlignment="1">
      <alignment vertical="center"/>
    </xf>
    <xf numFmtId="0" fontId="0" fillId="10" borderId="19" xfId="0" applyFont="1" applyFill="1" applyBorder="1" applyAlignment="1">
      <alignment/>
    </xf>
    <xf numFmtId="169" fontId="0" fillId="10" borderId="19" xfId="0" applyNumberFormat="1" applyFont="1" applyFill="1" applyBorder="1" applyAlignment="1">
      <alignment/>
    </xf>
    <xf numFmtId="169" fontId="94" fillId="10" borderId="19" xfId="0" applyNumberFormat="1" applyFont="1" applyFill="1" applyBorder="1" applyAlignment="1">
      <alignment/>
    </xf>
    <xf numFmtId="169" fontId="0" fillId="10" borderId="19" xfId="0" applyNumberFormat="1" applyFont="1" applyFill="1" applyBorder="1" applyAlignment="1">
      <alignment wrapText="1"/>
    </xf>
    <xf numFmtId="0" fontId="0" fillId="10" borderId="50" xfId="0" applyFont="1" applyFill="1" applyBorder="1" applyAlignment="1">
      <alignment/>
    </xf>
    <xf numFmtId="169" fontId="0" fillId="10" borderId="10" xfId="0" applyNumberFormat="1" applyFont="1" applyFill="1" applyBorder="1" applyAlignment="1">
      <alignment/>
    </xf>
    <xf numFmtId="169" fontId="24" fillId="10" borderId="19" xfId="0" applyNumberFormat="1" applyFont="1" applyFill="1" applyBorder="1" applyAlignment="1">
      <alignment/>
    </xf>
    <xf numFmtId="0" fontId="0" fillId="10" borderId="57" xfId="0" applyFont="1" applyFill="1" applyBorder="1" applyAlignment="1">
      <alignment/>
    </xf>
    <xf numFmtId="0" fontId="0" fillId="10" borderId="64" xfId="0" applyFont="1" applyFill="1" applyBorder="1" applyAlignment="1">
      <alignment/>
    </xf>
    <xf numFmtId="0" fontId="2" fillId="10" borderId="52" xfId="0" applyFont="1" applyFill="1" applyBorder="1" applyAlignment="1">
      <alignment horizontal="center"/>
    </xf>
    <xf numFmtId="0" fontId="2" fillId="10" borderId="10" xfId="0" applyFont="1" applyFill="1" applyBorder="1" applyAlignment="1">
      <alignment horizontal="center"/>
    </xf>
    <xf numFmtId="169" fontId="2" fillId="10" borderId="19" xfId="0" applyNumberFormat="1" applyFont="1" applyFill="1" applyBorder="1" applyAlignment="1">
      <alignment horizontal="center"/>
    </xf>
    <xf numFmtId="169" fontId="0" fillId="10" borderId="57" xfId="0" applyNumberFormat="1" applyFont="1" applyFill="1" applyBorder="1" applyAlignment="1">
      <alignment/>
    </xf>
    <xf numFmtId="169" fontId="99" fillId="10" borderId="19" xfId="0" applyNumberFormat="1" applyFont="1" applyFill="1" applyBorder="1" applyAlignment="1">
      <alignment/>
    </xf>
    <xf numFmtId="0" fontId="0" fillId="10" borderId="52" xfId="0" applyFont="1" applyFill="1" applyBorder="1" applyAlignment="1">
      <alignment/>
    </xf>
    <xf numFmtId="169" fontId="99" fillId="10" borderId="25" xfId="0" applyNumberFormat="1" applyFont="1" applyFill="1" applyBorder="1" applyAlignment="1">
      <alignment/>
    </xf>
    <xf numFmtId="169" fontId="0" fillId="10" borderId="50" xfId="0" applyNumberFormat="1" applyFont="1" applyFill="1" applyBorder="1" applyAlignment="1">
      <alignment/>
    </xf>
    <xf numFmtId="0" fontId="0" fillId="10" borderId="19" xfId="0" applyFont="1" applyFill="1" applyBorder="1" applyAlignment="1">
      <alignment vertical="center" wrapText="1"/>
    </xf>
    <xf numFmtId="169" fontId="0" fillId="10" borderId="19" xfId="0" applyNumberFormat="1" applyFont="1" applyFill="1" applyBorder="1" applyAlignment="1">
      <alignment vertical="center" wrapText="1"/>
    </xf>
    <xf numFmtId="169" fontId="0" fillId="10" borderId="50" xfId="0" applyNumberFormat="1" applyFont="1" applyFill="1" applyBorder="1" applyAlignment="1">
      <alignment wrapText="1"/>
    </xf>
    <xf numFmtId="169" fontId="0" fillId="10" borderId="10" xfId="0" applyNumberFormat="1" applyFont="1" applyFill="1" applyBorder="1" applyAlignment="1">
      <alignment wrapText="1"/>
    </xf>
    <xf numFmtId="169" fontId="0" fillId="10" borderId="19" xfId="0" applyNumberFormat="1" applyFont="1" applyFill="1" applyBorder="1" applyAlignment="1">
      <alignment horizontal="right" vertical="center"/>
    </xf>
    <xf numFmtId="169" fontId="0" fillId="10" borderId="19" xfId="0" applyNumberFormat="1" applyFont="1" applyFill="1" applyBorder="1" applyAlignment="1">
      <alignment vertical="center"/>
    </xf>
    <xf numFmtId="169" fontId="99" fillId="10" borderId="19" xfId="0" applyNumberFormat="1" applyFont="1" applyFill="1" applyBorder="1" applyAlignment="1">
      <alignment vertical="center"/>
    </xf>
    <xf numFmtId="169" fontId="99" fillId="10" borderId="19" xfId="0" applyNumberFormat="1" applyFont="1" applyFill="1" applyBorder="1" applyAlignment="1">
      <alignment horizontal="right" vertical="center"/>
    </xf>
    <xf numFmtId="169" fontId="0" fillId="10" borderId="10" xfId="0" applyNumberFormat="1" applyFont="1" applyFill="1" applyBorder="1" applyAlignment="1">
      <alignment vertical="center"/>
    </xf>
    <xf numFmtId="0" fontId="0" fillId="0" borderId="0" xfId="0" applyFont="1" applyAlignment="1">
      <alignment horizontal="justify" vertical="center"/>
    </xf>
    <xf numFmtId="0" fontId="103" fillId="0" borderId="38" xfId="0" applyFont="1" applyBorder="1" applyAlignment="1">
      <alignment vertical="center"/>
    </xf>
    <xf numFmtId="0" fontId="103" fillId="0" borderId="78" xfId="0" applyFont="1" applyBorder="1" applyAlignment="1">
      <alignment vertical="center"/>
    </xf>
    <xf numFmtId="0" fontId="104" fillId="0" borderId="79" xfId="0" applyFont="1" applyBorder="1" applyAlignment="1">
      <alignment vertical="center"/>
    </xf>
    <xf numFmtId="0" fontId="104" fillId="0" borderId="42" xfId="0" applyFont="1" applyBorder="1" applyAlignment="1">
      <alignment vertical="center"/>
    </xf>
    <xf numFmtId="0" fontId="104" fillId="0" borderId="42" xfId="0" applyFont="1" applyBorder="1" applyAlignment="1">
      <alignment horizontal="right" vertical="center"/>
    </xf>
    <xf numFmtId="0" fontId="44" fillId="38" borderId="80" xfId="0" applyFont="1" applyFill="1" applyBorder="1" applyAlignment="1">
      <alignment vertical="center"/>
    </xf>
    <xf numFmtId="0" fontId="44" fillId="38" borderId="34" xfId="0" applyFont="1" applyFill="1" applyBorder="1" applyAlignment="1">
      <alignment vertical="center"/>
    </xf>
    <xf numFmtId="0" fontId="44" fillId="38" borderId="81" xfId="0" applyFont="1" applyFill="1" applyBorder="1" applyAlignment="1">
      <alignment vertical="center"/>
    </xf>
    <xf numFmtId="0" fontId="44" fillId="38" borderId="71" xfId="0" applyFont="1" applyFill="1" applyBorder="1" applyAlignment="1">
      <alignment vertical="center"/>
    </xf>
    <xf numFmtId="0" fontId="44" fillId="0" borderId="79" xfId="0" applyFont="1" applyBorder="1" applyAlignment="1">
      <alignment vertical="center"/>
    </xf>
    <xf numFmtId="0" fontId="45" fillId="0" borderId="42" xfId="0" applyFont="1" applyBorder="1" applyAlignment="1">
      <alignment vertical="center"/>
    </xf>
    <xf numFmtId="0" fontId="45" fillId="0" borderId="79" xfId="0" applyFont="1" applyBorder="1" applyAlignment="1">
      <alignment vertical="center"/>
    </xf>
    <xf numFmtId="166" fontId="45" fillId="0" borderId="42" xfId="0" applyNumberFormat="1" applyFont="1" applyBorder="1" applyAlignment="1">
      <alignment horizontal="right" vertical="center"/>
    </xf>
    <xf numFmtId="169" fontId="91" fillId="35" borderId="0" xfId="0" applyNumberFormat="1" applyFont="1" applyFill="1" applyBorder="1" applyAlignment="1">
      <alignment/>
    </xf>
    <xf numFmtId="169" fontId="2" fillId="6" borderId="19" xfId="0" applyNumberFormat="1" applyFont="1" applyFill="1" applyBorder="1" applyAlignment="1">
      <alignment/>
    </xf>
    <xf numFmtId="169" fontId="100" fillId="6" borderId="19" xfId="0" applyNumberFormat="1" applyFont="1" applyFill="1" applyBorder="1" applyAlignment="1">
      <alignment/>
    </xf>
    <xf numFmtId="0" fontId="0" fillId="34" borderId="19" xfId="0" applyFont="1" applyFill="1" applyBorder="1" applyAlignment="1">
      <alignment wrapText="1"/>
    </xf>
    <xf numFmtId="0" fontId="2" fillId="7" borderId="52" xfId="0" applyFont="1" applyFill="1" applyBorder="1" applyAlignment="1">
      <alignment/>
    </xf>
    <xf numFmtId="0" fontId="2" fillId="7" borderId="10" xfId="0" applyFont="1" applyFill="1" applyBorder="1" applyAlignment="1">
      <alignment/>
    </xf>
    <xf numFmtId="0" fontId="2" fillId="7" borderId="19" xfId="0" applyFont="1" applyFill="1" applyBorder="1" applyAlignment="1">
      <alignment/>
    </xf>
    <xf numFmtId="169" fontId="2" fillId="7" borderId="19" xfId="45" applyNumberFormat="1" applyFont="1" applyFill="1" applyBorder="1" applyAlignment="1">
      <alignment horizontal="center"/>
    </xf>
    <xf numFmtId="170" fontId="2" fillId="7" borderId="19" xfId="62" applyNumberFormat="1" applyFont="1" applyFill="1" applyBorder="1" applyAlignment="1">
      <alignment horizontal="center"/>
    </xf>
    <xf numFmtId="0" fontId="2" fillId="7" borderId="50" xfId="0" applyFont="1" applyFill="1" applyBorder="1" applyAlignment="1">
      <alignment/>
    </xf>
    <xf numFmtId="0" fontId="46" fillId="7" borderId="19" xfId="0" applyFont="1" applyFill="1" applyBorder="1" applyAlignment="1">
      <alignment/>
    </xf>
    <xf numFmtId="0" fontId="2" fillId="7" borderId="57" xfId="0" applyFont="1" applyFill="1" applyBorder="1" applyAlignment="1">
      <alignment/>
    </xf>
    <xf numFmtId="0" fontId="2" fillId="7" borderId="64" xfId="0" applyFont="1" applyFill="1" applyBorder="1" applyAlignment="1">
      <alignment/>
    </xf>
    <xf numFmtId="169" fontId="2" fillId="7" borderId="50" xfId="45" applyNumberFormat="1" applyFont="1" applyFill="1" applyBorder="1" applyAlignment="1">
      <alignment horizontal="center"/>
    </xf>
    <xf numFmtId="0" fontId="2" fillId="34" borderId="10" xfId="0" applyFont="1" applyFill="1" applyBorder="1" applyAlignment="1">
      <alignment/>
    </xf>
    <xf numFmtId="169" fontId="2" fillId="34" borderId="19" xfId="45" applyNumberFormat="1" applyFont="1" applyFill="1" applyBorder="1" applyAlignment="1">
      <alignment horizontal="center"/>
    </xf>
    <xf numFmtId="169" fontId="2" fillId="34" borderId="50" xfId="45" applyNumberFormat="1" applyFont="1" applyFill="1" applyBorder="1" applyAlignment="1">
      <alignment horizontal="center"/>
    </xf>
    <xf numFmtId="169" fontId="2" fillId="7" borderId="10" xfId="45" applyNumberFormat="1" applyFont="1" applyFill="1" applyBorder="1" applyAlignment="1">
      <alignment horizontal="center"/>
    </xf>
    <xf numFmtId="169" fontId="2" fillId="7" borderId="19" xfId="45" applyNumberFormat="1" applyFont="1" applyFill="1" applyBorder="1" applyAlignment="1">
      <alignment horizontal="right" vertical="center"/>
    </xf>
    <xf numFmtId="169" fontId="2" fillId="7" borderId="19" xfId="0" applyNumberFormat="1" applyFont="1" applyFill="1" applyBorder="1" applyAlignment="1">
      <alignment horizontal="right"/>
    </xf>
    <xf numFmtId="9" fontId="2" fillId="7" borderId="19" xfId="62" applyFont="1" applyFill="1" applyBorder="1" applyAlignment="1">
      <alignment horizontal="right" vertical="center"/>
    </xf>
    <xf numFmtId="0" fontId="2" fillId="7" borderId="19" xfId="0" applyFont="1" applyFill="1" applyBorder="1" applyAlignment="1">
      <alignment horizontal="right"/>
    </xf>
    <xf numFmtId="169" fontId="2" fillId="7" borderId="19" xfId="0" applyNumberFormat="1" applyFont="1" applyFill="1" applyBorder="1" applyAlignment="1">
      <alignment vertical="center"/>
    </xf>
    <xf numFmtId="169" fontId="105" fillId="7" borderId="19" xfId="0" applyNumberFormat="1" applyFont="1" applyFill="1" applyBorder="1" applyAlignment="1">
      <alignment vertical="center"/>
    </xf>
    <xf numFmtId="169" fontId="2" fillId="7" borderId="10" xfId="0" applyNumberFormat="1" applyFont="1" applyFill="1" applyBorder="1" applyAlignment="1">
      <alignment vertical="center"/>
    </xf>
    <xf numFmtId="169" fontId="2" fillId="34" borderId="19" xfId="0" applyNumberFormat="1" applyFont="1" applyFill="1" applyBorder="1" applyAlignment="1">
      <alignment vertical="center"/>
    </xf>
    <xf numFmtId="0" fontId="2" fillId="34" borderId="19" xfId="0" applyFont="1" applyFill="1" applyBorder="1" applyAlignment="1">
      <alignment/>
    </xf>
    <xf numFmtId="0" fontId="2" fillId="34" borderId="50" xfId="0" applyFont="1" applyFill="1" applyBorder="1" applyAlignment="1">
      <alignment/>
    </xf>
    <xf numFmtId="0" fontId="2" fillId="34" borderId="0" xfId="0" applyFont="1" applyFill="1" applyBorder="1" applyAlignment="1">
      <alignment/>
    </xf>
    <xf numFmtId="0" fontId="2" fillId="7" borderId="0" xfId="0" applyFont="1" applyFill="1" applyBorder="1" applyAlignment="1">
      <alignment/>
    </xf>
    <xf numFmtId="169" fontId="5" fillId="0" borderId="20" xfId="0" applyNumberFormat="1" applyFont="1" applyBorder="1" applyAlignment="1">
      <alignment/>
    </xf>
    <xf numFmtId="166" fontId="0" fillId="0" borderId="0" xfId="0" applyNumberFormat="1" applyFont="1" applyBorder="1" applyAlignment="1">
      <alignment/>
    </xf>
    <xf numFmtId="169" fontId="5" fillId="34" borderId="0" xfId="0" applyNumberFormat="1" applyFont="1" applyFill="1" applyBorder="1" applyAlignment="1">
      <alignment horizontal="right"/>
    </xf>
    <xf numFmtId="170" fontId="5" fillId="34" borderId="0" xfId="62" applyNumberFormat="1" applyFont="1" applyFill="1" applyBorder="1" applyAlignment="1">
      <alignment horizontal="right"/>
    </xf>
    <xf numFmtId="169" fontId="7" fillId="34" borderId="0" xfId="0" applyNumberFormat="1" applyFont="1" applyFill="1" applyBorder="1" applyAlignment="1">
      <alignment horizontal="right"/>
    </xf>
    <xf numFmtId="165" fontId="0" fillId="0" borderId="0" xfId="45" applyNumberFormat="1" applyFont="1" applyAlignment="1">
      <alignment/>
    </xf>
    <xf numFmtId="0" fontId="0" fillId="0" borderId="0" xfId="0" applyAlignment="1">
      <alignment horizontal="center"/>
    </xf>
    <xf numFmtId="165" fontId="0" fillId="0" borderId="0" xfId="0" applyNumberFormat="1" applyFill="1" applyAlignment="1">
      <alignment/>
    </xf>
    <xf numFmtId="167" fontId="0" fillId="0" borderId="0" xfId="45" applyFont="1" applyFill="1" applyAlignment="1">
      <alignment/>
    </xf>
    <xf numFmtId="167" fontId="0" fillId="0" borderId="0" xfId="45" applyFont="1" applyAlignment="1">
      <alignment/>
    </xf>
    <xf numFmtId="167" fontId="0" fillId="0" borderId="18" xfId="45" applyFont="1" applyFill="1" applyBorder="1" applyAlignment="1">
      <alignment/>
    </xf>
    <xf numFmtId="167" fontId="0" fillId="0" borderId="0" xfId="45" applyFont="1" applyFill="1" applyBorder="1" applyAlignment="1">
      <alignment/>
    </xf>
    <xf numFmtId="169" fontId="5" fillId="0" borderId="0" xfId="0" applyNumberFormat="1" applyFont="1" applyFill="1" applyBorder="1" applyAlignment="1">
      <alignment horizontal="right"/>
    </xf>
    <xf numFmtId="9" fontId="5" fillId="34" borderId="0" xfId="62" applyFont="1" applyFill="1" applyBorder="1" applyAlignment="1">
      <alignment horizontal="right"/>
    </xf>
    <xf numFmtId="169" fontId="7" fillId="0" borderId="0" xfId="0" applyNumberFormat="1" applyFont="1" applyFill="1" applyBorder="1" applyAlignment="1">
      <alignment horizontal="right"/>
    </xf>
    <xf numFmtId="0" fontId="0" fillId="0" borderId="0" xfId="0" applyFont="1" applyAlignment="1">
      <alignment/>
    </xf>
    <xf numFmtId="0" fontId="0" fillId="5" borderId="52" xfId="0" applyFont="1" applyFill="1" applyBorder="1" applyAlignment="1">
      <alignment/>
    </xf>
    <xf numFmtId="0" fontId="2" fillId="5" borderId="19" xfId="0" applyFont="1" applyFill="1" applyBorder="1" applyAlignment="1">
      <alignment horizontal="center"/>
    </xf>
    <xf numFmtId="0" fontId="2" fillId="5" borderId="57" xfId="0" applyFont="1" applyFill="1" applyBorder="1" applyAlignment="1">
      <alignment horizontal="center"/>
    </xf>
    <xf numFmtId="0" fontId="0" fillId="5" borderId="10" xfId="0" applyFont="1" applyFill="1" applyBorder="1" applyAlignment="1">
      <alignment/>
    </xf>
    <xf numFmtId="0" fontId="0" fillId="5" borderId="19" xfId="0" applyFont="1" applyFill="1" applyBorder="1" applyAlignment="1">
      <alignment/>
    </xf>
    <xf numFmtId="169" fontId="0" fillId="5" borderId="19" xfId="0" applyNumberFormat="1" applyFont="1" applyFill="1" applyBorder="1" applyAlignment="1">
      <alignment/>
    </xf>
    <xf numFmtId="169" fontId="0" fillId="5" borderId="19" xfId="0" applyNumberFormat="1" applyFont="1" applyFill="1" applyBorder="1" applyAlignment="1">
      <alignment wrapText="1"/>
    </xf>
    <xf numFmtId="0" fontId="0" fillId="5" borderId="50" xfId="0" applyFont="1" applyFill="1" applyBorder="1" applyAlignment="1">
      <alignment/>
    </xf>
    <xf numFmtId="169" fontId="0" fillId="5" borderId="10" xfId="0" applyNumberFormat="1" applyFont="1" applyFill="1" applyBorder="1" applyAlignment="1">
      <alignment/>
    </xf>
    <xf numFmtId="169" fontId="24" fillId="5" borderId="19" xfId="0" applyNumberFormat="1" applyFont="1" applyFill="1" applyBorder="1" applyAlignment="1">
      <alignment/>
    </xf>
    <xf numFmtId="0" fontId="0" fillId="5" borderId="57" xfId="0" applyFont="1" applyFill="1" applyBorder="1" applyAlignment="1">
      <alignment/>
    </xf>
    <xf numFmtId="0" fontId="0" fillId="5" borderId="64" xfId="0" applyFont="1" applyFill="1" applyBorder="1" applyAlignment="1">
      <alignment/>
    </xf>
    <xf numFmtId="0" fontId="2" fillId="5" borderId="52" xfId="0" applyFont="1" applyFill="1" applyBorder="1" applyAlignment="1">
      <alignment horizontal="center"/>
    </xf>
    <xf numFmtId="0" fontId="2" fillId="5" borderId="10" xfId="0" applyFont="1" applyFill="1" applyBorder="1" applyAlignment="1">
      <alignment horizontal="center"/>
    </xf>
    <xf numFmtId="169" fontId="0" fillId="5" borderId="57" xfId="0" applyNumberFormat="1" applyFont="1" applyFill="1" applyBorder="1" applyAlignment="1">
      <alignment/>
    </xf>
    <xf numFmtId="169" fontId="99" fillId="5" borderId="19" xfId="0" applyNumberFormat="1" applyFont="1" applyFill="1" applyBorder="1" applyAlignment="1">
      <alignment/>
    </xf>
    <xf numFmtId="169" fontId="94" fillId="5" borderId="19" xfId="0" applyNumberFormat="1" applyFont="1" applyFill="1" applyBorder="1" applyAlignment="1">
      <alignment/>
    </xf>
    <xf numFmtId="169" fontId="99" fillId="5" borderId="25" xfId="0" applyNumberFormat="1" applyFont="1" applyFill="1" applyBorder="1" applyAlignment="1">
      <alignment/>
    </xf>
    <xf numFmtId="169" fontId="0" fillId="5" borderId="19" xfId="0" applyNumberFormat="1" applyFont="1" applyFill="1" applyBorder="1" applyAlignment="1">
      <alignment/>
    </xf>
    <xf numFmtId="173" fontId="0" fillId="5" borderId="19" xfId="0" applyNumberFormat="1" applyFont="1" applyFill="1" applyBorder="1" applyAlignment="1">
      <alignment/>
    </xf>
    <xf numFmtId="169" fontId="0" fillId="5" borderId="50" xfId="0" applyNumberFormat="1" applyFont="1" applyFill="1" applyBorder="1" applyAlignment="1">
      <alignment/>
    </xf>
    <xf numFmtId="0" fontId="0" fillId="5" borderId="19" xfId="0" applyFont="1" applyFill="1" applyBorder="1" applyAlignment="1">
      <alignment vertical="center" wrapText="1"/>
    </xf>
    <xf numFmtId="169" fontId="0" fillId="5" borderId="50" xfId="0" applyNumberFormat="1" applyFont="1" applyFill="1" applyBorder="1" applyAlignment="1">
      <alignment wrapText="1"/>
    </xf>
    <xf numFmtId="169" fontId="0" fillId="5" borderId="10" xfId="0" applyNumberFormat="1" applyFont="1" applyFill="1" applyBorder="1" applyAlignment="1">
      <alignment wrapText="1"/>
    </xf>
    <xf numFmtId="169" fontId="0" fillId="5" borderId="19" xfId="0" applyNumberFormat="1" applyFont="1" applyFill="1" applyBorder="1" applyAlignment="1">
      <alignment horizontal="right" vertical="center"/>
    </xf>
    <xf numFmtId="169" fontId="0" fillId="5" borderId="19" xfId="0" applyNumberFormat="1" applyFont="1" applyFill="1" applyBorder="1" applyAlignment="1">
      <alignment vertical="center"/>
    </xf>
    <xf numFmtId="169" fontId="99" fillId="5" borderId="19" xfId="0" applyNumberFormat="1" applyFont="1" applyFill="1" applyBorder="1" applyAlignment="1">
      <alignment vertical="center"/>
    </xf>
    <xf numFmtId="169" fontId="99" fillId="5" borderId="19" xfId="0" applyNumberFormat="1" applyFont="1" applyFill="1" applyBorder="1" applyAlignment="1">
      <alignment horizontal="right" vertical="center"/>
    </xf>
    <xf numFmtId="169" fontId="0" fillId="5" borderId="10" xfId="0" applyNumberFormat="1" applyFont="1" applyFill="1" applyBorder="1" applyAlignment="1">
      <alignment vertical="center"/>
    </xf>
    <xf numFmtId="0" fontId="10" fillId="34" borderId="19" xfId="0" applyFont="1" applyFill="1" applyBorder="1" applyAlignment="1">
      <alignment/>
    </xf>
    <xf numFmtId="0" fontId="94" fillId="35" borderId="0" xfId="0" applyFont="1" applyFill="1" applyBorder="1" applyAlignment="1">
      <alignment wrapText="1"/>
    </xf>
    <xf numFmtId="17" fontId="94" fillId="35" borderId="0" xfId="0" applyNumberFormat="1" applyFont="1" applyFill="1" applyAlignment="1">
      <alignment horizontal="justify" vertical="center"/>
    </xf>
    <xf numFmtId="0" fontId="5" fillId="0" borderId="0" xfId="0" applyFont="1" applyAlignment="1">
      <alignment/>
    </xf>
    <xf numFmtId="0" fontId="7" fillId="34" borderId="0" xfId="0" applyFont="1" applyFill="1" applyBorder="1" applyAlignment="1">
      <alignment horizontal="right"/>
    </xf>
    <xf numFmtId="10" fontId="91" fillId="35" borderId="0" xfId="62" applyNumberFormat="1" applyFont="1" applyFill="1" applyAlignment="1">
      <alignment/>
    </xf>
    <xf numFmtId="165" fontId="7" fillId="0" borderId="0" xfId="42" applyNumberFormat="1" applyFont="1" applyAlignment="1">
      <alignment/>
    </xf>
    <xf numFmtId="165" fontId="7" fillId="34" borderId="0" xfId="0" applyNumberFormat="1" applyFont="1" applyFill="1" applyBorder="1" applyAlignment="1">
      <alignment/>
    </xf>
    <xf numFmtId="0" fontId="11" fillId="0" borderId="0" xfId="0" applyFont="1" applyAlignment="1">
      <alignment/>
    </xf>
    <xf numFmtId="165" fontId="0" fillId="0" borderId="0" xfId="45" applyNumberFormat="1" applyFont="1" applyFill="1" applyAlignment="1">
      <alignment/>
    </xf>
    <xf numFmtId="174" fontId="0" fillId="0" borderId="0" xfId="0" applyNumberFormat="1" applyFont="1" applyFill="1" applyAlignment="1">
      <alignment/>
    </xf>
    <xf numFmtId="0" fontId="7" fillId="34" borderId="0" xfId="0" applyFont="1" applyFill="1" applyBorder="1" applyAlignment="1">
      <alignment horizontal="center" vertical="center"/>
    </xf>
    <xf numFmtId="165" fontId="7" fillId="34" borderId="0" xfId="0" applyNumberFormat="1" applyFont="1" applyFill="1" applyBorder="1" applyAlignment="1">
      <alignment horizontal="center" vertical="center"/>
    </xf>
    <xf numFmtId="9" fontId="0" fillId="0" borderId="0" xfId="62" applyFont="1" applyBorder="1" applyAlignment="1">
      <alignment/>
    </xf>
    <xf numFmtId="9" fontId="2" fillId="0" borderId="19" xfId="0" applyNumberFormat="1" applyFont="1" applyBorder="1" applyAlignment="1">
      <alignment horizontal="center"/>
    </xf>
    <xf numFmtId="0" fontId="0" fillId="7" borderId="19" xfId="0" applyFont="1" applyFill="1" applyBorder="1" applyAlignment="1">
      <alignment vertical="center" wrapText="1"/>
    </xf>
    <xf numFmtId="170" fontId="0" fillId="34" borderId="0" xfId="62" applyNumberFormat="1" applyFont="1" applyFill="1" applyAlignment="1">
      <alignment/>
    </xf>
    <xf numFmtId="0" fontId="0" fillId="34" borderId="0" xfId="0" applyFont="1" applyFill="1" applyAlignment="1">
      <alignment/>
    </xf>
    <xf numFmtId="169" fontId="7" fillId="0" borderId="11" xfId="0" applyNumberFormat="1" applyFont="1" applyFill="1" applyBorder="1" applyAlignment="1">
      <alignment/>
    </xf>
    <xf numFmtId="169" fontId="7" fillId="34" borderId="82" xfId="0" applyNumberFormat="1" applyFont="1" applyFill="1" applyBorder="1" applyAlignment="1">
      <alignment/>
    </xf>
    <xf numFmtId="169" fontId="5" fillId="0" borderId="0" xfId="0" applyNumberFormat="1" applyFont="1" applyFill="1" applyBorder="1" applyAlignment="1">
      <alignment/>
    </xf>
    <xf numFmtId="169" fontId="98" fillId="34" borderId="22" xfId="0" applyNumberFormat="1" applyFont="1" applyFill="1" applyBorder="1" applyAlignment="1">
      <alignment/>
    </xf>
    <xf numFmtId="168" fontId="99" fillId="0" borderId="19" xfId="42" applyFont="1" applyBorder="1" applyAlignment="1">
      <alignment vertical="top"/>
    </xf>
    <xf numFmtId="168" fontId="99" fillId="0" borderId="19" xfId="42" applyFont="1" applyBorder="1" applyAlignment="1">
      <alignment horizontal="right" vertical="center"/>
    </xf>
    <xf numFmtId="3" fontId="0" fillId="0" borderId="19" xfId="0" applyNumberFormat="1" applyFont="1" applyBorder="1" applyAlignment="1">
      <alignment/>
    </xf>
    <xf numFmtId="3" fontId="0" fillId="0" borderId="50" xfId="0" applyNumberFormat="1" applyFont="1" applyBorder="1" applyAlignment="1">
      <alignment/>
    </xf>
    <xf numFmtId="168" fontId="99" fillId="0" borderId="50" xfId="42" applyFont="1" applyBorder="1" applyAlignment="1">
      <alignment horizontal="right" vertical="center"/>
    </xf>
    <xf numFmtId="0" fontId="0" fillId="0" borderId="83" xfId="45" applyNumberFormat="1" applyFont="1" applyBorder="1" applyAlignment="1">
      <alignment/>
    </xf>
    <xf numFmtId="0" fontId="48" fillId="0" borderId="0" xfId="0" applyFont="1" applyBorder="1" applyAlignment="1">
      <alignment horizontal="right"/>
    </xf>
    <xf numFmtId="0" fontId="0" fillId="0" borderId="0" xfId="45" applyNumberFormat="1" applyFont="1" applyBorder="1" applyAlignment="1">
      <alignment/>
    </xf>
    <xf numFmtId="0" fontId="0" fillId="0" borderId="0" xfId="0" applyFont="1" applyBorder="1" applyAlignment="1">
      <alignment/>
    </xf>
    <xf numFmtId="10" fontId="91" fillId="0" borderId="20" xfId="0" applyNumberFormat="1" applyFont="1" applyFill="1" applyBorder="1" applyAlignment="1">
      <alignment horizontal="center"/>
    </xf>
    <xf numFmtId="9" fontId="101" fillId="34" borderId="0" xfId="62" applyFont="1" applyFill="1" applyBorder="1" applyAlignment="1">
      <alignment horizontal="center"/>
    </xf>
    <xf numFmtId="9" fontId="7" fillId="34" borderId="0" xfId="62" applyFont="1" applyFill="1" applyBorder="1" applyAlignment="1">
      <alignment horizontal="right"/>
    </xf>
    <xf numFmtId="175" fontId="0" fillId="0" borderId="0" xfId="42" applyNumberFormat="1" applyFont="1" applyAlignment="1">
      <alignment/>
    </xf>
    <xf numFmtId="175" fontId="7" fillId="0" borderId="0" xfId="42" applyNumberFormat="1" applyFont="1" applyAlignment="1">
      <alignment/>
    </xf>
    <xf numFmtId="169" fontId="0" fillId="7" borderId="19" xfId="0" applyNumberFormat="1" applyFont="1" applyFill="1" applyBorder="1" applyAlignment="1">
      <alignment horizontal="right" vertical="center"/>
    </xf>
    <xf numFmtId="0" fontId="0" fillId="35" borderId="19" xfId="0" applyFont="1" applyFill="1" applyBorder="1" applyAlignment="1">
      <alignment vertical="center" wrapText="1"/>
    </xf>
    <xf numFmtId="0" fontId="0" fillId="35" borderId="19" xfId="0" applyFont="1" applyFill="1" applyBorder="1" applyAlignment="1">
      <alignment vertical="center" wrapText="1"/>
    </xf>
    <xf numFmtId="169" fontId="2" fillId="5" borderId="19" xfId="0" applyNumberFormat="1" applyFont="1" applyFill="1" applyBorder="1" applyAlignment="1">
      <alignment horizontal="center" vertical="center"/>
    </xf>
    <xf numFmtId="0" fontId="89" fillId="4" borderId="19" xfId="49" applyFont="1" applyFill="1" applyBorder="1" applyAlignment="1">
      <alignment horizontal="center"/>
    </xf>
    <xf numFmtId="0" fontId="89" fillId="4" borderId="47" xfId="49" applyFont="1" applyFill="1" applyBorder="1" applyAlignment="1">
      <alignment horizontal="center"/>
    </xf>
    <xf numFmtId="169" fontId="100" fillId="5" borderId="19" xfId="0" applyNumberFormat="1" applyFont="1" applyFill="1" applyBorder="1" applyAlignment="1">
      <alignment horizontal="center" vertical="center"/>
    </xf>
    <xf numFmtId="0" fontId="89" fillId="4" borderId="52" xfId="49" applyFont="1" applyFill="1" applyBorder="1" applyAlignment="1">
      <alignment horizontal="center"/>
    </xf>
    <xf numFmtId="0" fontId="89" fillId="4" borderId="53" xfId="49" applyFont="1" applyFill="1" applyBorder="1" applyAlignment="1">
      <alignment horizontal="center"/>
    </xf>
    <xf numFmtId="0" fontId="89" fillId="4" borderId="10" xfId="49" applyFont="1" applyFill="1" applyBorder="1" applyAlignment="1">
      <alignment horizontal="center"/>
    </xf>
    <xf numFmtId="0" fontId="89" fillId="4" borderId="58" xfId="49" applyFont="1" applyFill="1" applyBorder="1" applyAlignment="1">
      <alignment horizontal="center"/>
    </xf>
    <xf numFmtId="10" fontId="0" fillId="0" borderId="0" xfId="62" applyNumberFormat="1" applyFont="1" applyBorder="1" applyAlignment="1">
      <alignment/>
    </xf>
    <xf numFmtId="170" fontId="2" fillId="0" borderId="10" xfId="62" applyNumberFormat="1" applyFont="1" applyBorder="1" applyAlignment="1">
      <alignment horizontal="center"/>
    </xf>
    <xf numFmtId="0" fontId="0" fillId="34" borderId="16" xfId="0" applyFill="1" applyBorder="1" applyAlignment="1">
      <alignment/>
    </xf>
    <xf numFmtId="169" fontId="91" fillId="35" borderId="27" xfId="0" applyNumberFormat="1" applyFont="1" applyFill="1" applyBorder="1" applyAlignment="1">
      <alignment/>
    </xf>
    <xf numFmtId="0" fontId="0" fillId="0" borderId="19" xfId="0" applyFont="1" applyBorder="1" applyAlignment="1" quotePrefix="1">
      <alignment horizontal="center" vertical="center" wrapText="1"/>
    </xf>
    <xf numFmtId="169" fontId="0" fillId="6" borderId="25" xfId="0" applyNumberFormat="1" applyFont="1" applyFill="1" applyBorder="1" applyAlignment="1">
      <alignment wrapText="1"/>
    </xf>
    <xf numFmtId="169" fontId="0" fillId="10" borderId="25" xfId="0" applyNumberFormat="1" applyFont="1" applyFill="1" applyBorder="1" applyAlignment="1">
      <alignment wrapText="1"/>
    </xf>
    <xf numFmtId="169" fontId="0" fillId="5" borderId="25" xfId="0" applyNumberFormat="1" applyFont="1" applyFill="1" applyBorder="1" applyAlignment="1">
      <alignment wrapText="1"/>
    </xf>
    <xf numFmtId="169" fontId="0" fillId="7" borderId="25" xfId="0" applyNumberFormat="1" applyFont="1" applyFill="1" applyBorder="1" applyAlignment="1">
      <alignment wrapText="1"/>
    </xf>
    <xf numFmtId="170" fontId="0" fillId="0" borderId="25" xfId="0" applyNumberFormat="1" applyFont="1" applyBorder="1" applyAlignment="1">
      <alignment/>
    </xf>
    <xf numFmtId="0" fontId="0" fillId="0" borderId="25" xfId="0" applyFont="1" applyBorder="1" applyAlignment="1">
      <alignment/>
    </xf>
    <xf numFmtId="0" fontId="2" fillId="7" borderId="25" xfId="0" applyFont="1" applyFill="1" applyBorder="1" applyAlignment="1">
      <alignment/>
    </xf>
    <xf numFmtId="0" fontId="0" fillId="0" borderId="61" xfId="0" applyFont="1" applyBorder="1" applyAlignment="1">
      <alignment/>
    </xf>
    <xf numFmtId="0" fontId="72" fillId="4" borderId="25" xfId="49" applyFont="1" applyFill="1" applyBorder="1" applyAlignment="1">
      <alignment/>
    </xf>
    <xf numFmtId="0" fontId="72" fillId="4" borderId="61" xfId="49" applyFont="1" applyFill="1" applyBorder="1" applyAlignment="1">
      <alignment/>
    </xf>
    <xf numFmtId="0" fontId="0" fillId="0" borderId="19" xfId="0" applyFont="1" applyBorder="1" applyAlignment="1">
      <alignment horizontal="center" vertical="center" wrapText="1"/>
    </xf>
    <xf numFmtId="0" fontId="7" fillId="35" borderId="0" xfId="0" applyFont="1" applyFill="1" applyBorder="1" applyAlignment="1">
      <alignment/>
    </xf>
    <xf numFmtId="0" fontId="83" fillId="0" borderId="0" xfId="54" applyAlignment="1">
      <alignment/>
    </xf>
    <xf numFmtId="0" fontId="7" fillId="0" borderId="48" xfId="0" applyFont="1" applyFill="1" applyBorder="1" applyAlignment="1">
      <alignment/>
    </xf>
    <xf numFmtId="0" fontId="7" fillId="0" borderId="19" xfId="0" applyFont="1" applyFill="1" applyBorder="1" applyAlignment="1">
      <alignment/>
    </xf>
    <xf numFmtId="169" fontId="10" fillId="0" borderId="19" xfId="0" applyNumberFormat="1" applyFont="1" applyFill="1" applyBorder="1" applyAlignment="1">
      <alignment/>
    </xf>
    <xf numFmtId="169" fontId="0" fillId="0" borderId="19" xfId="0" applyNumberFormat="1" applyFill="1" applyBorder="1" applyAlignment="1">
      <alignment/>
    </xf>
    <xf numFmtId="169" fontId="91" fillId="0" borderId="15" xfId="0" applyNumberFormat="1" applyFont="1" applyFill="1" applyBorder="1" applyAlignment="1">
      <alignment/>
    </xf>
    <xf numFmtId="169" fontId="0" fillId="0" borderId="36" xfId="0" applyNumberFormat="1" applyFill="1" applyBorder="1" applyAlignment="1">
      <alignment/>
    </xf>
    <xf numFmtId="0" fontId="7" fillId="35" borderId="48" xfId="0" applyFont="1" applyFill="1" applyBorder="1" applyAlignment="1">
      <alignment/>
    </xf>
    <xf numFmtId="0" fontId="7" fillId="35" borderId="19" xfId="0" applyFont="1" applyFill="1" applyBorder="1" applyAlignment="1">
      <alignment/>
    </xf>
    <xf numFmtId="169" fontId="10" fillId="35" borderId="19" xfId="0" applyNumberFormat="1" applyFont="1" applyFill="1" applyBorder="1" applyAlignment="1">
      <alignment/>
    </xf>
    <xf numFmtId="169" fontId="0" fillId="35" borderId="19" xfId="0" applyNumberFormat="1" applyFill="1" applyBorder="1" applyAlignment="1">
      <alignment/>
    </xf>
    <xf numFmtId="169" fontId="91" fillId="35" borderId="15" xfId="0" applyNumberFormat="1" applyFont="1" applyFill="1" applyBorder="1" applyAlignment="1">
      <alignment/>
    </xf>
    <xf numFmtId="169" fontId="0" fillId="35" borderId="36" xfId="0" applyNumberFormat="1" applyFill="1" applyBorder="1" applyAlignment="1">
      <alignment/>
    </xf>
    <xf numFmtId="0" fontId="7" fillId="39" borderId="48" xfId="0" applyFont="1" applyFill="1" applyBorder="1" applyAlignment="1">
      <alignment/>
    </xf>
    <xf numFmtId="0" fontId="7" fillId="39" borderId="19" xfId="0" applyFont="1" applyFill="1" applyBorder="1" applyAlignment="1">
      <alignment/>
    </xf>
    <xf numFmtId="169" fontId="10" fillId="39" borderId="19" xfId="0" applyNumberFormat="1" applyFont="1" applyFill="1" applyBorder="1" applyAlignment="1">
      <alignment/>
    </xf>
    <xf numFmtId="169" fontId="0" fillId="39" borderId="19" xfId="0" applyNumberFormat="1" applyFill="1" applyBorder="1" applyAlignment="1">
      <alignment/>
    </xf>
    <xf numFmtId="169" fontId="91" fillId="39" borderId="15" xfId="0" applyNumberFormat="1" applyFont="1" applyFill="1" applyBorder="1" applyAlignment="1">
      <alignment/>
    </xf>
    <xf numFmtId="169" fontId="0" fillId="39" borderId="36" xfId="0" applyNumberFormat="1" applyFill="1" applyBorder="1" applyAlignment="1">
      <alignment/>
    </xf>
    <xf numFmtId="0" fontId="7" fillId="35" borderId="60" xfId="0" applyFont="1" applyFill="1" applyBorder="1" applyAlignment="1">
      <alignment/>
    </xf>
    <xf numFmtId="0" fontId="7" fillId="35" borderId="25" xfId="0" applyFont="1" applyFill="1" applyBorder="1" applyAlignment="1">
      <alignment/>
    </xf>
    <xf numFmtId="169" fontId="10" fillId="35" borderId="25" xfId="0" applyNumberFormat="1" applyFont="1" applyFill="1" applyBorder="1" applyAlignment="1">
      <alignment/>
    </xf>
    <xf numFmtId="169" fontId="91" fillId="35" borderId="23" xfId="0" applyNumberFormat="1" applyFont="1" applyFill="1" applyBorder="1" applyAlignment="1">
      <alignment/>
    </xf>
    <xf numFmtId="0" fontId="0" fillId="0" borderId="19" xfId="0" applyFont="1" applyBorder="1" applyAlignment="1">
      <alignment/>
    </xf>
    <xf numFmtId="0" fontId="72" fillId="0" borderId="0" xfId="0" applyFont="1" applyBorder="1" applyAlignment="1">
      <alignment/>
    </xf>
    <xf numFmtId="0" fontId="0" fillId="0" borderId="19" xfId="0" applyFont="1" applyBorder="1" applyAlignment="1">
      <alignment horizontal="left" wrapText="1"/>
    </xf>
    <xf numFmtId="0" fontId="0" fillId="0" borderId="19" xfId="0" applyFont="1" applyBorder="1" applyAlignment="1">
      <alignment vertical="center" wrapText="1"/>
    </xf>
    <xf numFmtId="0" fontId="106" fillId="34" borderId="0" xfId="0" applyFont="1" applyFill="1" applyBorder="1" applyAlignment="1">
      <alignment/>
    </xf>
    <xf numFmtId="0" fontId="92" fillId="34" borderId="0" xfId="0" applyFont="1" applyFill="1" applyBorder="1" applyAlignment="1">
      <alignment/>
    </xf>
    <xf numFmtId="0" fontId="107" fillId="34" borderId="0" xfId="0" applyFont="1" applyFill="1" applyBorder="1" applyAlignment="1">
      <alignment/>
    </xf>
    <xf numFmtId="169" fontId="91" fillId="34" borderId="16" xfId="0" applyNumberFormat="1" applyFont="1" applyFill="1" applyBorder="1" applyAlignment="1">
      <alignment/>
    </xf>
    <xf numFmtId="0" fontId="94" fillId="34" borderId="0" xfId="0" applyFont="1" applyFill="1" applyBorder="1" applyAlignment="1">
      <alignment/>
    </xf>
    <xf numFmtId="0" fontId="94" fillId="34" borderId="0" xfId="0" applyFont="1" applyFill="1" applyAlignment="1">
      <alignment/>
    </xf>
    <xf numFmtId="169" fontId="107" fillId="34" borderId="0" xfId="0" applyNumberFormat="1" applyFont="1" applyFill="1" applyBorder="1" applyAlignment="1">
      <alignment/>
    </xf>
    <xf numFmtId="169" fontId="98" fillId="34" borderId="12" xfId="0" applyNumberFormat="1" applyFont="1" applyFill="1" applyBorder="1" applyAlignment="1">
      <alignment/>
    </xf>
    <xf numFmtId="0" fontId="7" fillId="19" borderId="0" xfId="0" applyFont="1" applyFill="1" applyBorder="1" applyAlignment="1">
      <alignment/>
    </xf>
    <xf numFmtId="0" fontId="108" fillId="0" borderId="48" xfId="0" applyFont="1" applyBorder="1" applyAlignment="1">
      <alignment vertical="center"/>
    </xf>
    <xf numFmtId="169" fontId="7" fillId="19" borderId="16" xfId="0" applyNumberFormat="1" applyFont="1" applyFill="1" applyBorder="1" applyAlignment="1">
      <alignment/>
    </xf>
    <xf numFmtId="0" fontId="91" fillId="34" borderId="35" xfId="0" applyFont="1" applyFill="1" applyBorder="1" applyAlignment="1">
      <alignment/>
    </xf>
    <xf numFmtId="0" fontId="91" fillId="34" borderId="36" xfId="0" applyFont="1" applyFill="1" applyBorder="1" applyAlignment="1">
      <alignment/>
    </xf>
    <xf numFmtId="169" fontId="7" fillId="34" borderId="71" xfId="0" applyNumberFormat="1" applyFont="1" applyFill="1" applyBorder="1" applyAlignment="1">
      <alignment/>
    </xf>
    <xf numFmtId="0" fontId="0" fillId="34" borderId="39" xfId="0" applyFill="1" applyBorder="1" applyAlignment="1">
      <alignment/>
    </xf>
    <xf numFmtId="169" fontId="10" fillId="0" borderId="14" xfId="0" applyNumberFormat="1" applyFont="1" applyBorder="1" applyAlignment="1">
      <alignment/>
    </xf>
    <xf numFmtId="164" fontId="0" fillId="0" borderId="19" xfId="0" applyNumberFormat="1" applyBorder="1" applyAlignment="1">
      <alignment/>
    </xf>
    <xf numFmtId="0" fontId="109" fillId="0" borderId="48" xfId="0" applyFont="1" applyBorder="1" applyAlignment="1">
      <alignment/>
    </xf>
    <xf numFmtId="164" fontId="95" fillId="34" borderId="50" xfId="0" applyNumberFormat="1" applyFont="1" applyFill="1" applyBorder="1" applyAlignment="1">
      <alignment horizontal="right" vertical="center"/>
    </xf>
    <xf numFmtId="0" fontId="110" fillId="0" borderId="33" xfId="0" applyFont="1" applyBorder="1" applyAlignment="1">
      <alignment vertical="center"/>
    </xf>
    <xf numFmtId="0" fontId="18" fillId="19" borderId="14" xfId="0" applyFont="1" applyFill="1" applyBorder="1" applyAlignment="1">
      <alignment horizontal="center" vertical="center"/>
    </xf>
    <xf numFmtId="170" fontId="19" fillId="19" borderId="14" xfId="62" applyNumberFormat="1" applyFont="1" applyFill="1" applyBorder="1" applyAlignment="1">
      <alignment horizontal="center" vertical="center" wrapText="1"/>
    </xf>
    <xf numFmtId="0" fontId="96" fillId="19" borderId="14" xfId="0" applyFont="1" applyFill="1" applyBorder="1" applyAlignment="1">
      <alignment vertical="center"/>
    </xf>
    <xf numFmtId="168" fontId="111" fillId="19" borderId="14" xfId="42" applyFont="1" applyFill="1" applyBorder="1" applyAlignment="1">
      <alignment vertical="center"/>
    </xf>
    <xf numFmtId="168" fontId="111" fillId="19" borderId="76" xfId="42" applyFont="1" applyFill="1" applyBorder="1" applyAlignment="1">
      <alignment vertical="center"/>
    </xf>
    <xf numFmtId="0" fontId="0" fillId="0" borderId="47" xfId="0" applyBorder="1" applyAlignment="1">
      <alignment/>
    </xf>
    <xf numFmtId="43" fontId="0" fillId="0" borderId="47" xfId="0" applyNumberFormat="1" applyBorder="1" applyAlignment="1">
      <alignment/>
    </xf>
    <xf numFmtId="0" fontId="0" fillId="0" borderId="54" xfId="0" applyBorder="1" applyAlignment="1">
      <alignment/>
    </xf>
    <xf numFmtId="0" fontId="2" fillId="0" borderId="53" xfId="0" applyFont="1" applyBorder="1" applyAlignment="1">
      <alignment wrapText="1"/>
    </xf>
    <xf numFmtId="0" fontId="18" fillId="19" borderId="18" xfId="0" applyFont="1" applyFill="1" applyBorder="1" applyAlignment="1">
      <alignment horizontal="center" vertical="center"/>
    </xf>
    <xf numFmtId="170" fontId="19" fillId="19" borderId="18" xfId="62" applyNumberFormat="1" applyFont="1" applyFill="1" applyBorder="1" applyAlignment="1">
      <alignment horizontal="center" vertical="center" wrapText="1"/>
    </xf>
    <xf numFmtId="0" fontId="96" fillId="19" borderId="18" xfId="0" applyFont="1" applyFill="1" applyBorder="1" applyAlignment="1">
      <alignment vertical="center"/>
    </xf>
    <xf numFmtId="168" fontId="111" fillId="19" borderId="18" xfId="42" applyFont="1" applyFill="1" applyBorder="1" applyAlignment="1">
      <alignment vertical="center"/>
    </xf>
    <xf numFmtId="168" fontId="111" fillId="19" borderId="44" xfId="42" applyFont="1" applyFill="1" applyBorder="1" applyAlignment="1">
      <alignment vertical="center"/>
    </xf>
    <xf numFmtId="0" fontId="2" fillId="0" borderId="84" xfId="0" applyFont="1" applyBorder="1" applyAlignment="1">
      <alignment wrapText="1"/>
    </xf>
    <xf numFmtId="43" fontId="0" fillId="0" borderId="85" xfId="0" applyNumberFormat="1" applyBorder="1" applyAlignment="1">
      <alignment/>
    </xf>
    <xf numFmtId="0" fontId="110" fillId="0" borderId="80" xfId="0" applyFont="1" applyBorder="1" applyAlignment="1">
      <alignment vertical="center"/>
    </xf>
    <xf numFmtId="0" fontId="18" fillId="19" borderId="86" xfId="0" applyFont="1" applyFill="1" applyBorder="1" applyAlignment="1">
      <alignment horizontal="center" vertical="center"/>
    </xf>
    <xf numFmtId="170" fontId="19" fillId="19" borderId="86" xfId="62" applyNumberFormat="1" applyFont="1" applyFill="1" applyBorder="1" applyAlignment="1">
      <alignment horizontal="center" vertical="center" wrapText="1"/>
    </xf>
    <xf numFmtId="0" fontId="96" fillId="19" borderId="86" xfId="0" applyFont="1" applyFill="1" applyBorder="1" applyAlignment="1">
      <alignment vertical="center"/>
    </xf>
    <xf numFmtId="168" fontId="111" fillId="19" borderId="86" xfId="42" applyFont="1" applyFill="1" applyBorder="1" applyAlignment="1">
      <alignment vertical="center"/>
    </xf>
    <xf numFmtId="168" fontId="111" fillId="19" borderId="87" xfId="42" applyFont="1" applyFill="1" applyBorder="1" applyAlignment="1">
      <alignment vertical="center"/>
    </xf>
    <xf numFmtId="169" fontId="91" fillId="34" borderId="36" xfId="0" applyNumberFormat="1" applyFont="1" applyFill="1" applyBorder="1" applyAlignment="1">
      <alignment/>
    </xf>
    <xf numFmtId="170" fontId="94" fillId="34" borderId="0" xfId="62" applyNumberFormat="1" applyFont="1" applyFill="1" applyAlignment="1">
      <alignment/>
    </xf>
    <xf numFmtId="169" fontId="72" fillId="4" borderId="47" xfId="49" applyNumberFormat="1" applyFont="1" applyFill="1" applyBorder="1" applyAlignment="1">
      <alignment/>
    </xf>
    <xf numFmtId="167" fontId="0" fillId="0" borderId="19" xfId="45" applyFont="1" applyBorder="1" applyAlignment="1">
      <alignment horizontal="center" wrapText="1"/>
    </xf>
    <xf numFmtId="169" fontId="72" fillId="4" borderId="19" xfId="49" applyNumberFormat="1" applyFont="1" applyFill="1" applyBorder="1" applyAlignment="1">
      <alignment horizontal="center" wrapText="1"/>
    </xf>
    <xf numFmtId="169" fontId="72" fillId="4" borderId="47" xfId="49" applyNumberFormat="1" applyFont="1" applyFill="1" applyBorder="1" applyAlignment="1">
      <alignment horizontal="center" wrapText="1"/>
    </xf>
    <xf numFmtId="169" fontId="2" fillId="7" borderId="19" xfId="45" applyNumberFormat="1" applyFont="1" applyFill="1" applyBorder="1" applyAlignment="1">
      <alignment horizontal="center" wrapText="1"/>
    </xf>
    <xf numFmtId="1" fontId="0" fillId="0" borderId="47" xfId="0" applyNumberFormat="1" applyFont="1" applyBorder="1" applyAlignment="1" quotePrefix="1">
      <alignment horizontal="center" wrapText="1"/>
    </xf>
    <xf numFmtId="0" fontId="0" fillId="0" borderId="0" xfId="0" applyFont="1" applyAlignment="1">
      <alignment horizontal="left" vertical="center" wrapText="1"/>
    </xf>
    <xf numFmtId="0" fontId="0" fillId="0" borderId="21" xfId="0" applyBorder="1" applyAlignment="1">
      <alignment horizontal="center" wrapText="1"/>
    </xf>
    <xf numFmtId="0" fontId="0" fillId="0" borderId="23" xfId="0" applyBorder="1" applyAlignment="1">
      <alignment horizontal="center" wrapText="1"/>
    </xf>
    <xf numFmtId="0" fontId="0" fillId="0" borderId="88" xfId="0" applyBorder="1" applyAlignment="1">
      <alignment horizontal="center" wrapText="1"/>
    </xf>
    <xf numFmtId="0" fontId="0" fillId="0" borderId="37" xfId="0" applyBorder="1" applyAlignment="1">
      <alignment horizontal="center" wrapText="1"/>
    </xf>
    <xf numFmtId="0" fontId="0" fillId="0" borderId="24" xfId="0" applyBorder="1" applyAlignment="1">
      <alignment horizontal="center" wrapText="1"/>
    </xf>
    <xf numFmtId="0" fontId="0" fillId="0" borderId="17" xfId="0" applyBorder="1" applyAlignment="1">
      <alignment horizontal="center" wrapText="1"/>
    </xf>
    <xf numFmtId="0" fontId="0" fillId="0" borderId="22" xfId="0" applyBorder="1" applyAlignment="1">
      <alignment horizontal="center" wrapText="1"/>
    </xf>
    <xf numFmtId="0" fontId="0" fillId="0" borderId="89" xfId="0" applyBorder="1" applyAlignment="1">
      <alignment horizontal="center" wrapText="1"/>
    </xf>
    <xf numFmtId="0" fontId="0" fillId="0" borderId="0" xfId="0" applyBorder="1" applyAlignment="1">
      <alignment horizontal="center" wrapText="1"/>
    </xf>
    <xf numFmtId="0" fontId="0" fillId="0" borderId="36" xfId="0" applyBorder="1" applyAlignment="1">
      <alignment horizontal="center" wrapText="1"/>
    </xf>
    <xf numFmtId="0" fontId="0" fillId="0" borderId="16" xfId="0" applyBorder="1" applyAlignment="1">
      <alignment horizontal="center" wrapText="1"/>
    </xf>
    <xf numFmtId="0" fontId="0" fillId="0" borderId="90" xfId="0" applyBorder="1" applyAlignment="1">
      <alignment horizontal="center" wrapText="1"/>
    </xf>
    <xf numFmtId="0" fontId="108" fillId="0" borderId="48" xfId="0" applyFont="1" applyBorder="1" applyAlignment="1">
      <alignment vertical="center"/>
    </xf>
    <xf numFmtId="0" fontId="108" fillId="0" borderId="19" xfId="0" applyFont="1" applyBorder="1" applyAlignment="1">
      <alignment vertical="center"/>
    </xf>
    <xf numFmtId="0" fontId="11" fillId="0" borderId="14" xfId="0" applyFont="1" applyBorder="1" applyAlignment="1">
      <alignment horizontal="center"/>
    </xf>
    <xf numFmtId="0" fontId="11" fillId="0" borderId="18" xfId="0" applyFont="1" applyBorder="1" applyAlignment="1">
      <alignment horizontal="center"/>
    </xf>
    <xf numFmtId="0" fontId="11" fillId="0" borderId="27" xfId="0" applyFont="1" applyBorder="1" applyAlignment="1">
      <alignment horizontal="center"/>
    </xf>
    <xf numFmtId="0" fontId="0" fillId="0" borderId="91" xfId="0" applyBorder="1" applyAlignment="1">
      <alignment horizontal="center" wrapText="1"/>
    </xf>
    <xf numFmtId="0" fontId="0" fillId="0" borderId="35"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89" fillId="0" borderId="91" xfId="0" applyFont="1" applyBorder="1" applyAlignment="1">
      <alignment horizontal="center" wrapText="1"/>
    </xf>
    <xf numFmtId="0" fontId="89" fillId="0" borderId="35" xfId="0" applyFont="1" applyBorder="1" applyAlignment="1">
      <alignment horizontal="center" wrapText="1"/>
    </xf>
    <xf numFmtId="0" fontId="89" fillId="0" borderId="72" xfId="0" applyFont="1" applyBorder="1" applyAlignment="1">
      <alignment horizontal="center" wrapText="1"/>
    </xf>
    <xf numFmtId="10" fontId="8" fillId="0" borderId="25" xfId="0" applyNumberFormat="1" applyFont="1" applyBorder="1" applyAlignment="1">
      <alignment horizontal="center" wrapText="1"/>
    </xf>
    <xf numFmtId="10" fontId="8" fillId="0" borderId="10" xfId="0" applyNumberFormat="1" applyFont="1" applyBorder="1" applyAlignment="1">
      <alignment horizontal="center" wrapText="1"/>
    </xf>
    <xf numFmtId="0" fontId="5" fillId="34" borderId="14" xfId="0" applyFont="1" applyFill="1" applyBorder="1" applyAlignment="1">
      <alignment horizontal="left" wrapText="1"/>
    </xf>
    <xf numFmtId="0" fontId="5" fillId="34" borderId="18" xfId="0" applyFont="1" applyFill="1" applyBorder="1" applyAlignment="1">
      <alignment horizontal="left" wrapText="1"/>
    </xf>
    <xf numFmtId="0" fontId="5" fillId="34" borderId="15" xfId="0" applyFont="1" applyFill="1" applyBorder="1" applyAlignment="1">
      <alignment horizontal="left" wrapText="1"/>
    </xf>
    <xf numFmtId="0" fontId="5" fillId="34" borderId="14" xfId="0" applyFont="1" applyFill="1" applyBorder="1" applyAlignment="1">
      <alignment horizontal="left" vertical="center" wrapText="1"/>
    </xf>
    <xf numFmtId="0" fontId="5" fillId="34" borderId="18"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14" xfId="0" applyFont="1" applyFill="1" applyBorder="1" applyAlignment="1">
      <alignment vertical="center" wrapText="1"/>
    </xf>
    <xf numFmtId="0" fontId="5" fillId="34" borderId="18" xfId="0" applyFont="1" applyFill="1" applyBorder="1" applyAlignment="1">
      <alignment vertical="center" wrapText="1"/>
    </xf>
    <xf numFmtId="0" fontId="5" fillId="34" borderId="15" xfId="0" applyFont="1" applyFill="1" applyBorder="1" applyAlignment="1">
      <alignment vertical="center" wrapText="1"/>
    </xf>
    <xf numFmtId="0" fontId="5" fillId="34" borderId="14" xfId="0" applyFont="1" applyFill="1" applyBorder="1" applyAlignment="1">
      <alignment horizontal="center" wrapText="1"/>
    </xf>
    <xf numFmtId="0" fontId="5" fillId="34" borderId="18" xfId="0" applyFont="1" applyFill="1" applyBorder="1" applyAlignment="1">
      <alignment horizontal="center" wrapText="1"/>
    </xf>
    <xf numFmtId="0" fontId="5" fillId="34" borderId="15" xfId="0" applyFont="1" applyFill="1" applyBorder="1" applyAlignment="1">
      <alignment horizontal="center" wrapText="1"/>
    </xf>
    <xf numFmtId="0" fontId="0" fillId="34" borderId="14"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84" xfId="0" applyFont="1" applyBorder="1" applyAlignment="1">
      <alignment horizontal="center" vertical="center" wrapText="1"/>
    </xf>
    <xf numFmtId="0" fontId="5" fillId="34" borderId="14" xfId="0" applyFont="1" applyFill="1" applyBorder="1" applyAlignment="1">
      <alignment horizontal="left"/>
    </xf>
    <xf numFmtId="0" fontId="5" fillId="34" borderId="18" xfId="0" applyFont="1" applyFill="1" applyBorder="1" applyAlignment="1">
      <alignment horizontal="left"/>
    </xf>
    <xf numFmtId="0" fontId="5" fillId="34" borderId="15" xfId="0" applyFont="1" applyFill="1" applyBorder="1" applyAlignment="1">
      <alignment horizontal="left"/>
    </xf>
    <xf numFmtId="0" fontId="16" fillId="34" borderId="14" xfId="0" applyFont="1" applyFill="1" applyBorder="1" applyAlignment="1">
      <alignment wrapText="1"/>
    </xf>
    <xf numFmtId="0" fontId="16" fillId="34" borderId="18" xfId="0" applyFont="1" applyFill="1" applyBorder="1" applyAlignment="1">
      <alignment wrapText="1"/>
    </xf>
    <xf numFmtId="0" fontId="16" fillId="34" borderId="15" xfId="0" applyFont="1" applyFill="1" applyBorder="1" applyAlignment="1">
      <alignment wrapText="1"/>
    </xf>
    <xf numFmtId="0" fontId="5" fillId="34" borderId="14" xfId="0" applyFont="1" applyFill="1" applyBorder="1" applyAlignment="1">
      <alignment wrapText="1"/>
    </xf>
    <xf numFmtId="0" fontId="5" fillId="34" borderId="18" xfId="0" applyFont="1" applyFill="1" applyBorder="1" applyAlignment="1">
      <alignment wrapText="1"/>
    </xf>
    <xf numFmtId="0" fontId="5" fillId="34" borderId="15" xfId="0" applyFont="1" applyFill="1" applyBorder="1" applyAlignment="1">
      <alignment wrapText="1"/>
    </xf>
    <xf numFmtId="0" fontId="7" fillId="34" borderId="14" xfId="0" applyFont="1" applyFill="1" applyBorder="1" applyAlignment="1">
      <alignment horizontal="center"/>
    </xf>
    <xf numFmtId="0" fontId="7" fillId="34" borderId="18" xfId="0" applyFont="1" applyFill="1" applyBorder="1" applyAlignment="1">
      <alignment horizontal="center"/>
    </xf>
    <xf numFmtId="0" fontId="7" fillId="34" borderId="15" xfId="0" applyFont="1" applyFill="1" applyBorder="1" applyAlignment="1">
      <alignment horizontal="center"/>
    </xf>
    <xf numFmtId="0" fontId="5" fillId="34" borderId="22" xfId="0" applyFont="1" applyFill="1" applyBorder="1" applyAlignment="1">
      <alignment horizontal="left" wrapText="1"/>
    </xf>
    <xf numFmtId="0" fontId="7" fillId="34" borderId="14" xfId="0" applyFont="1" applyFill="1" applyBorder="1" applyAlignment="1">
      <alignment horizontal="left" vertical="center" wrapText="1"/>
    </xf>
    <xf numFmtId="0" fontId="7" fillId="34" borderId="18"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0" xfId="0" applyFont="1" applyFill="1" applyBorder="1" applyAlignment="1">
      <alignment horizontal="left" wrapText="1"/>
    </xf>
    <xf numFmtId="0" fontId="2" fillId="34" borderId="14" xfId="0" applyFont="1" applyFill="1" applyBorder="1" applyAlignment="1">
      <alignment horizontal="left" vertical="center"/>
    </xf>
    <xf numFmtId="0" fontId="2" fillId="34" borderId="18" xfId="0" applyFont="1" applyFill="1" applyBorder="1" applyAlignment="1">
      <alignment horizontal="left" vertical="center"/>
    </xf>
    <xf numFmtId="0" fontId="2" fillId="34" borderId="15" xfId="0" applyFont="1" applyFill="1" applyBorder="1" applyAlignment="1">
      <alignment horizontal="left" vertical="center"/>
    </xf>
    <xf numFmtId="0" fontId="0" fillId="0" borderId="73" xfId="0" applyFont="1" applyBorder="1" applyAlignment="1">
      <alignment horizontal="left" wrapText="1"/>
    </xf>
    <xf numFmtId="0" fontId="0" fillId="0" borderId="18" xfId="0" applyFont="1" applyBorder="1" applyAlignment="1">
      <alignment horizontal="left" wrapText="1"/>
    </xf>
    <xf numFmtId="0" fontId="0" fillId="0" borderId="15" xfId="0" applyFont="1" applyBorder="1" applyAlignment="1">
      <alignment horizontal="left" wrapText="1"/>
    </xf>
    <xf numFmtId="0" fontId="2" fillId="0" borderId="14" xfId="0" applyFont="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alc sheet"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obus.booysen.CENTLEC-DC\AppData\Local\Microsoft\Windows\Temporary%20Internet%20Files\Content.Outlook\1SMNCPL7\ServicesTariffCalc_%202014%202015%20Rev%20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t tariffs"/>
      <sheetName val="Calc sheet"/>
      <sheetName val="Summary sheet"/>
      <sheetName val="Sheet1"/>
    </sheetNames>
    <sheetDataSet>
      <sheetData sheetId="0">
        <row r="126">
          <cell r="B126" t="str">
            <v>Secondary Backbone - MV Peri Urban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dingeconomics.com/south-africa/inflation-cp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180"/>
  <sheetViews>
    <sheetView view="pageBreakPreview" zoomScale="65" zoomScaleSheetLayoutView="65" zoomScalePageLayoutView="0" workbookViewId="0" topLeftCell="A126">
      <selection activeCell="F2" sqref="F2"/>
    </sheetView>
  </sheetViews>
  <sheetFormatPr defaultColWidth="9.140625" defaultRowHeight="12.75"/>
  <cols>
    <col min="1" max="1" width="5.421875" style="0" customWidth="1"/>
    <col min="2" max="2" width="50.421875" style="0" bestFit="1" customWidth="1"/>
    <col min="3" max="3" width="15.7109375" style="0" customWidth="1"/>
    <col min="4" max="4" width="11.421875" style="0" customWidth="1"/>
    <col min="5" max="5" width="13.8515625" style="0" customWidth="1"/>
    <col min="6" max="6" width="16.7109375" style="0" customWidth="1"/>
    <col min="7" max="7" width="12.28125" style="0" customWidth="1"/>
    <col min="8" max="8" width="11.28125" style="66" customWidth="1"/>
    <col min="9" max="9" width="14.28125" style="0" customWidth="1"/>
    <col min="10" max="10" width="31.140625" style="0" customWidth="1"/>
    <col min="11" max="11" width="28.7109375" style="0" bestFit="1" customWidth="1"/>
    <col min="12" max="12" width="20.7109375" style="0" customWidth="1"/>
    <col min="13" max="13" width="30.140625" style="0" customWidth="1"/>
    <col min="14" max="14" width="28.28125" style="0" customWidth="1"/>
    <col min="15" max="15" width="12.57421875" style="0" customWidth="1"/>
    <col min="16" max="16" width="12.00390625" style="0" bestFit="1" customWidth="1"/>
    <col min="17" max="17" width="18.7109375" style="0" customWidth="1"/>
    <col min="18" max="18" width="17.421875" style="0" customWidth="1"/>
  </cols>
  <sheetData>
    <row r="1" spans="1:8" ht="15.75">
      <c r="A1" s="168"/>
      <c r="B1" s="477" t="s">
        <v>128</v>
      </c>
      <c r="C1" s="169"/>
      <c r="D1" s="169"/>
      <c r="E1" s="169"/>
      <c r="F1" s="169"/>
      <c r="G1" s="169"/>
      <c r="H1" s="478"/>
    </row>
    <row r="2" spans="1:8" ht="12.75">
      <c r="A2" s="170"/>
      <c r="B2" s="479" t="s">
        <v>147</v>
      </c>
      <c r="C2" s="45"/>
      <c r="D2" s="45"/>
      <c r="E2" s="77" t="s">
        <v>353</v>
      </c>
      <c r="F2" s="698">
        <f>4.2%</f>
        <v>0.042</v>
      </c>
      <c r="G2" s="715" t="s">
        <v>499</v>
      </c>
      <c r="H2" s="480"/>
    </row>
    <row r="3" spans="1:8" ht="13.5" thickBot="1">
      <c r="A3" s="170"/>
      <c r="B3" s="45"/>
      <c r="C3" s="45"/>
      <c r="D3" s="45"/>
      <c r="E3" s="45" t="s">
        <v>470</v>
      </c>
      <c r="F3" s="664">
        <v>0.15</v>
      </c>
      <c r="G3" s="45"/>
      <c r="H3" s="480"/>
    </row>
    <row r="4" spans="1:8" ht="13.5" thickTop="1">
      <c r="A4" s="481"/>
      <c r="B4" s="5"/>
      <c r="C4" s="5"/>
      <c r="D4" s="5"/>
      <c r="E4" s="5"/>
      <c r="F4" s="67"/>
      <c r="G4" s="45"/>
      <c r="H4" s="480"/>
    </row>
    <row r="5" spans="1:8" ht="12.75">
      <c r="A5" s="482"/>
      <c r="B5" s="9"/>
      <c r="C5" s="10"/>
      <c r="D5" s="11" t="s">
        <v>36</v>
      </c>
      <c r="E5" s="64">
        <v>43914</v>
      </c>
      <c r="F5" s="62" t="s">
        <v>498</v>
      </c>
      <c r="G5" s="45"/>
      <c r="H5" s="480"/>
    </row>
    <row r="6" spans="1:21" ht="13.5" thickBot="1">
      <c r="A6" s="483" t="s">
        <v>0</v>
      </c>
      <c r="B6" s="12"/>
      <c r="C6" s="12"/>
      <c r="D6" s="13"/>
      <c r="E6" s="13"/>
      <c r="F6" s="60" t="s">
        <v>0</v>
      </c>
      <c r="G6" s="46"/>
      <c r="H6" s="484"/>
      <c r="I6" s="1"/>
      <c r="J6" s="1"/>
      <c r="K6" s="1"/>
      <c r="L6" s="1"/>
      <c r="M6" s="1"/>
      <c r="N6" s="1"/>
      <c r="O6" s="1"/>
      <c r="P6" s="1"/>
      <c r="Q6" s="1"/>
      <c r="R6" s="1"/>
      <c r="S6" s="1"/>
      <c r="T6" s="1"/>
      <c r="U6" s="1"/>
    </row>
    <row r="7" spans="1:14" ht="24.75" customHeight="1">
      <c r="A7" s="485"/>
      <c r="B7" s="23" t="s">
        <v>357</v>
      </c>
      <c r="C7" s="516">
        <v>0.1</v>
      </c>
      <c r="D7" s="23" t="s">
        <v>97</v>
      </c>
      <c r="E7" s="65">
        <v>10000</v>
      </c>
      <c r="F7" s="223">
        <v>10000</v>
      </c>
      <c r="G7" s="45"/>
      <c r="H7" s="480"/>
      <c r="J7" s="510" t="s">
        <v>358</v>
      </c>
      <c r="K7" s="512" t="s">
        <v>511</v>
      </c>
      <c r="L7" s="512" t="s">
        <v>359</v>
      </c>
      <c r="M7" s="512" t="s">
        <v>360</v>
      </c>
      <c r="N7" s="514" t="s">
        <v>361</v>
      </c>
    </row>
    <row r="8" spans="1:16" ht="15.75" customHeight="1">
      <c r="A8" s="485"/>
      <c r="B8" s="17"/>
      <c r="C8" s="17"/>
      <c r="D8" s="13"/>
      <c r="E8" s="22"/>
      <c r="F8" s="61"/>
      <c r="G8" s="45"/>
      <c r="H8" s="480"/>
      <c r="J8" s="511" t="s">
        <v>362</v>
      </c>
      <c r="K8" s="519">
        <v>116930683.1</v>
      </c>
      <c r="L8" s="513">
        <v>1</v>
      </c>
      <c r="M8" s="519">
        <v>93876659.18</v>
      </c>
      <c r="N8" s="515">
        <v>1</v>
      </c>
      <c r="O8" s="521">
        <f>+(M8-K8)/K8</f>
        <v>-0.19715974720068993</v>
      </c>
      <c r="P8" s="161" t="s">
        <v>368</v>
      </c>
    </row>
    <row r="9" spans="1:16" ht="15" customHeight="1">
      <c r="A9" s="486"/>
      <c r="B9" s="807" t="s">
        <v>35</v>
      </c>
      <c r="C9" s="808"/>
      <c r="D9" s="808"/>
      <c r="E9" s="808"/>
      <c r="F9" s="809"/>
      <c r="G9" s="45"/>
      <c r="H9" s="480"/>
      <c r="J9" s="511" t="s">
        <v>363</v>
      </c>
      <c r="K9" s="519">
        <v>92316214.24</v>
      </c>
      <c r="L9" s="513">
        <v>0.79</v>
      </c>
      <c r="M9" s="519">
        <v>60044334.59</v>
      </c>
      <c r="N9" s="515">
        <v>0.64</v>
      </c>
      <c r="O9" s="521">
        <f>+(M9-K9)/K9</f>
        <v>-0.3495797560123171</v>
      </c>
      <c r="P9" s="161" t="s">
        <v>368</v>
      </c>
    </row>
    <row r="10" spans="1:16" ht="13.5" customHeight="1">
      <c r="A10" s="486"/>
      <c r="B10" s="31"/>
      <c r="C10" s="32"/>
      <c r="D10" s="32"/>
      <c r="E10" s="32"/>
      <c r="F10" s="68"/>
      <c r="G10" s="45"/>
      <c r="H10" s="480"/>
      <c r="J10" s="511" t="s">
        <v>364</v>
      </c>
      <c r="K10" s="519">
        <v>24614468.85</v>
      </c>
      <c r="L10" s="517">
        <v>0.21</v>
      </c>
      <c r="M10" s="519">
        <v>33832324.58</v>
      </c>
      <c r="N10" s="515">
        <v>0.36</v>
      </c>
      <c r="O10" s="522">
        <f>+(M10-K10)/K10</f>
        <v>0.3744893211457616</v>
      </c>
      <c r="P10" s="523" t="s">
        <v>368</v>
      </c>
    </row>
    <row r="11" spans="1:14" ht="15" customHeight="1">
      <c r="A11" s="486" t="s">
        <v>1</v>
      </c>
      <c r="B11" s="14" t="s">
        <v>39</v>
      </c>
      <c r="C11" s="14"/>
      <c r="D11" s="15"/>
      <c r="E11" s="84" t="s">
        <v>460</v>
      </c>
      <c r="F11" s="69" t="s">
        <v>481</v>
      </c>
      <c r="G11" s="45"/>
      <c r="H11" s="480"/>
      <c r="J11" s="815" t="s">
        <v>365</v>
      </c>
      <c r="K11" s="793" t="s">
        <v>509</v>
      </c>
      <c r="L11" s="794"/>
      <c r="M11" s="799" t="s">
        <v>367</v>
      </c>
      <c r="N11" s="800"/>
    </row>
    <row r="12" spans="1:14" ht="13.5" customHeight="1">
      <c r="A12" s="486"/>
      <c r="B12" s="34"/>
      <c r="C12" s="35"/>
      <c r="D12" s="36"/>
      <c r="E12" s="85" t="s">
        <v>260</v>
      </c>
      <c r="F12" s="62" t="s">
        <v>192</v>
      </c>
      <c r="G12" s="45"/>
      <c r="H12" s="487"/>
      <c r="J12" s="816"/>
      <c r="K12" s="795"/>
      <c r="L12" s="796"/>
      <c r="M12" s="801"/>
      <c r="N12" s="802"/>
    </row>
    <row r="13" spans="1:14" ht="12.75">
      <c r="A13" s="486"/>
      <c r="B13" s="38" t="s">
        <v>34</v>
      </c>
      <c r="C13" s="13"/>
      <c r="D13" s="37"/>
      <c r="E13" s="21"/>
      <c r="F13" s="59"/>
      <c r="G13" s="45"/>
      <c r="H13" s="487"/>
      <c r="J13" s="816"/>
      <c r="K13" s="795"/>
      <c r="L13" s="796"/>
      <c r="M13" s="801"/>
      <c r="N13" s="802"/>
    </row>
    <row r="14" spans="1:14" ht="12.75">
      <c r="A14" s="486"/>
      <c r="B14" s="33" t="s">
        <v>297</v>
      </c>
      <c r="C14" s="17"/>
      <c r="D14" s="18"/>
      <c r="E14" s="224">
        <v>1.881</v>
      </c>
      <c r="F14" s="701">
        <f>+E14*F2+E14</f>
        <v>1.960002</v>
      </c>
      <c r="G14" s="58"/>
      <c r="H14" s="487"/>
      <c r="J14" s="817"/>
      <c r="K14" s="797"/>
      <c r="L14" s="798"/>
      <c r="M14" s="803"/>
      <c r="N14" s="804"/>
    </row>
    <row r="15" spans="1:14" ht="12.75" customHeight="1">
      <c r="A15" s="485"/>
      <c r="B15" s="17"/>
      <c r="C15" s="17"/>
      <c r="D15" s="17"/>
      <c r="E15" s="26"/>
      <c r="F15" s="70"/>
      <c r="G15" s="45"/>
      <c r="H15" s="487"/>
      <c r="J15" s="810" t="s">
        <v>366</v>
      </c>
      <c r="K15" s="799"/>
      <c r="L15" s="799"/>
      <c r="M15" s="799"/>
      <c r="N15" s="800"/>
    </row>
    <row r="16" spans="1:14" ht="13.5" customHeight="1">
      <c r="A16" s="486"/>
      <c r="B16" s="807" t="s">
        <v>2</v>
      </c>
      <c r="C16" s="808"/>
      <c r="D16" s="808"/>
      <c r="E16" s="808"/>
      <c r="F16" s="809"/>
      <c r="G16" s="45"/>
      <c r="H16" s="487"/>
      <c r="J16" s="811"/>
      <c r="K16" s="801"/>
      <c r="L16" s="801"/>
      <c r="M16" s="801"/>
      <c r="N16" s="802"/>
    </row>
    <row r="17" spans="1:14" ht="13.5">
      <c r="A17" s="486"/>
      <c r="B17" s="23"/>
      <c r="C17" s="23"/>
      <c r="D17" s="23"/>
      <c r="E17" s="27"/>
      <c r="F17" s="60"/>
      <c r="G17" s="45"/>
      <c r="H17" s="487"/>
      <c r="J17" s="811"/>
      <c r="K17" s="801"/>
      <c r="L17" s="801"/>
      <c r="M17" s="801"/>
      <c r="N17" s="802"/>
    </row>
    <row r="18" spans="1:14" ht="39" thickBot="1">
      <c r="A18" s="486" t="s">
        <v>1</v>
      </c>
      <c r="B18" s="14" t="s">
        <v>39</v>
      </c>
      <c r="C18" s="14"/>
      <c r="D18" s="15"/>
      <c r="E18" s="16" t="str">
        <f>+E11</f>
        <v>2020/2021</v>
      </c>
      <c r="F18" s="71" t="str">
        <f>F$11</f>
        <v>2021/2022</v>
      </c>
      <c r="G18" s="652" t="s">
        <v>501</v>
      </c>
      <c r="H18" s="488" t="s">
        <v>350</v>
      </c>
      <c r="J18" s="812"/>
      <c r="K18" s="813"/>
      <c r="L18" s="813"/>
      <c r="M18" s="813"/>
      <c r="N18" s="814"/>
    </row>
    <row r="19" spans="1:8" ht="28.5" customHeight="1">
      <c r="A19" s="486"/>
      <c r="B19" s="17"/>
      <c r="C19" s="4" t="s">
        <v>87</v>
      </c>
      <c r="D19" s="4"/>
      <c r="E19" s="818" t="s">
        <v>355</v>
      </c>
      <c r="F19" s="818" t="s">
        <v>485</v>
      </c>
      <c r="G19" s="371"/>
      <c r="H19" s="487"/>
    </row>
    <row r="20" spans="1:11" ht="13.5" customHeight="1">
      <c r="A20" s="486"/>
      <c r="B20" s="21" t="s">
        <v>34</v>
      </c>
      <c r="C20" s="23"/>
      <c r="D20" s="23"/>
      <c r="E20" s="819"/>
      <c r="F20" s="819"/>
      <c r="G20" s="371"/>
      <c r="H20" s="487"/>
      <c r="K20" s="520"/>
    </row>
    <row r="21" spans="1:11" ht="12.75">
      <c r="A21" s="716">
        <v>1</v>
      </c>
      <c r="B21" s="717" t="s">
        <v>17</v>
      </c>
      <c r="C21" s="717" t="s">
        <v>89</v>
      </c>
      <c r="D21" s="717"/>
      <c r="E21" s="718">
        <v>113.6449785</v>
      </c>
      <c r="F21" s="719">
        <f>+H21</f>
        <v>260.5</v>
      </c>
      <c r="G21" s="720">
        <v>250</v>
      </c>
      <c r="H21" s="721">
        <f>+MAX(E21,G21)*(1+(F$2*1))</f>
        <v>260.5</v>
      </c>
      <c r="K21" s="518"/>
    </row>
    <row r="22" spans="1:8" ht="12.75">
      <c r="A22" s="722">
        <v>1</v>
      </c>
      <c r="B22" s="723" t="s">
        <v>112</v>
      </c>
      <c r="C22" s="723" t="s">
        <v>173</v>
      </c>
      <c r="D22" s="723"/>
      <c r="E22" s="724">
        <v>28.0644407</v>
      </c>
      <c r="F22" s="725">
        <f aca="true" t="shared" si="0" ref="F22:F72">+H22</f>
        <v>29.56154</v>
      </c>
      <c r="G22" s="726">
        <v>28.37</v>
      </c>
      <c r="H22" s="727">
        <f aca="true" t="shared" si="1" ref="H22:H72">+MAX(E22,G22)*(1+(F$2*1))</f>
        <v>29.56154</v>
      </c>
    </row>
    <row r="23" spans="1:8" ht="12.75">
      <c r="A23" s="722">
        <v>1</v>
      </c>
      <c r="B23" s="723" t="s">
        <v>113</v>
      </c>
      <c r="C23" s="723" t="s">
        <v>173</v>
      </c>
      <c r="D23" s="723"/>
      <c r="E23" s="724">
        <v>13.6587392</v>
      </c>
      <c r="F23" s="725">
        <f t="shared" si="0"/>
        <v>29.68658</v>
      </c>
      <c r="G23" s="726">
        <v>28.49</v>
      </c>
      <c r="H23" s="727">
        <f t="shared" si="1"/>
        <v>29.68658</v>
      </c>
    </row>
    <row r="24" spans="1:8" ht="12.75">
      <c r="A24" s="716">
        <v>1</v>
      </c>
      <c r="B24" s="717" t="s">
        <v>23</v>
      </c>
      <c r="C24" s="717" t="s">
        <v>173</v>
      </c>
      <c r="D24" s="717">
        <v>80200325</v>
      </c>
      <c r="E24" s="718">
        <v>26.463807199999994</v>
      </c>
      <c r="F24" s="719">
        <f t="shared" si="0"/>
        <v>85.444</v>
      </c>
      <c r="G24" s="720">
        <v>82</v>
      </c>
      <c r="H24" s="721">
        <f t="shared" si="1"/>
        <v>85.444</v>
      </c>
    </row>
    <row r="25" spans="1:8" ht="12.75">
      <c r="A25" s="716">
        <v>1</v>
      </c>
      <c r="B25" s="717" t="s">
        <v>10</v>
      </c>
      <c r="C25" s="717" t="s">
        <v>190</v>
      </c>
      <c r="D25" s="717">
        <v>81600717</v>
      </c>
      <c r="E25" s="718">
        <v>985.9902359999999</v>
      </c>
      <c r="F25" s="719">
        <f t="shared" si="0"/>
        <v>1027.4018259119998</v>
      </c>
      <c r="G25" s="720">
        <v>499.99</v>
      </c>
      <c r="H25" s="721">
        <f t="shared" si="1"/>
        <v>1027.4018259119998</v>
      </c>
    </row>
    <row r="26" spans="1:8" ht="12.75">
      <c r="A26" s="716">
        <v>1</v>
      </c>
      <c r="B26" s="717" t="s">
        <v>96</v>
      </c>
      <c r="C26" s="717" t="s">
        <v>158</v>
      </c>
      <c r="D26" s="717">
        <v>80200875</v>
      </c>
      <c r="E26" s="718">
        <v>1568.3007032999997</v>
      </c>
      <c r="F26" s="719">
        <f t="shared" si="0"/>
        <v>1981.7589600000001</v>
      </c>
      <c r="G26" s="720">
        <v>1901.88</v>
      </c>
      <c r="H26" s="721">
        <f t="shared" si="1"/>
        <v>1981.7589600000001</v>
      </c>
    </row>
    <row r="27" spans="1:8" ht="12.75">
      <c r="A27" s="716">
        <v>1</v>
      </c>
      <c r="B27" s="717" t="s">
        <v>9</v>
      </c>
      <c r="C27" s="717" t="s">
        <v>153</v>
      </c>
      <c r="D27" s="717">
        <v>80200969</v>
      </c>
      <c r="E27" s="718">
        <v>3727.3418769999994</v>
      </c>
      <c r="F27" s="719">
        <f t="shared" si="0"/>
        <v>3883.8902358339997</v>
      </c>
      <c r="G27" s="720">
        <v>3187.7</v>
      </c>
      <c r="H27" s="721">
        <f t="shared" si="1"/>
        <v>3883.8902358339997</v>
      </c>
    </row>
    <row r="28" spans="1:8" ht="12.75">
      <c r="A28" s="716">
        <v>1</v>
      </c>
      <c r="B28" s="717" t="s">
        <v>126</v>
      </c>
      <c r="C28" s="717" t="s">
        <v>156</v>
      </c>
      <c r="D28" s="717">
        <v>80200930</v>
      </c>
      <c r="E28" s="718">
        <v>4251.282576</v>
      </c>
      <c r="F28" s="719">
        <f t="shared" si="0"/>
        <v>4645.1213800000005</v>
      </c>
      <c r="G28" s="720">
        <v>4457.89</v>
      </c>
      <c r="H28" s="721">
        <f t="shared" si="1"/>
        <v>4645.1213800000005</v>
      </c>
    </row>
    <row r="29" spans="1:8" ht="12.75">
      <c r="A29" s="716">
        <v>1</v>
      </c>
      <c r="B29" s="717" t="s">
        <v>24</v>
      </c>
      <c r="C29" s="717" t="s">
        <v>154</v>
      </c>
      <c r="D29" s="717">
        <v>80200862</v>
      </c>
      <c r="E29" s="718">
        <v>1900.7416103599999</v>
      </c>
      <c r="F29" s="719">
        <f t="shared" si="0"/>
        <v>1980.57275799512</v>
      </c>
      <c r="G29" s="720">
        <v>1781.25</v>
      </c>
      <c r="H29" s="721">
        <f t="shared" si="1"/>
        <v>1980.57275799512</v>
      </c>
    </row>
    <row r="30" spans="1:8" ht="12.75">
      <c r="A30" s="716">
        <v>1</v>
      </c>
      <c r="B30" s="717" t="s">
        <v>25</v>
      </c>
      <c r="C30" s="717" t="s">
        <v>155</v>
      </c>
      <c r="D30" s="717">
        <v>80200875</v>
      </c>
      <c r="E30" s="718">
        <v>2029.6032779999996</v>
      </c>
      <c r="F30" s="719">
        <f t="shared" si="0"/>
        <v>2114.8466156759996</v>
      </c>
      <c r="G30" s="720">
        <v>1901.88</v>
      </c>
      <c r="H30" s="721">
        <f t="shared" si="1"/>
        <v>2114.8466156759996</v>
      </c>
    </row>
    <row r="31" spans="1:8" ht="12.75">
      <c r="A31" s="716">
        <v>1</v>
      </c>
      <c r="B31" s="717" t="s">
        <v>472</v>
      </c>
      <c r="C31" s="717" t="s">
        <v>473</v>
      </c>
      <c r="D31" s="717">
        <v>51300325</v>
      </c>
      <c r="E31" s="718">
        <v>954.07</v>
      </c>
      <c r="F31" s="719">
        <f t="shared" si="0"/>
        <v>994.1409400000001</v>
      </c>
      <c r="G31" s="720">
        <v>919.49</v>
      </c>
      <c r="H31" s="721">
        <f t="shared" si="1"/>
        <v>994.1409400000001</v>
      </c>
    </row>
    <row r="32" spans="1:8" ht="12.75">
      <c r="A32" s="716">
        <v>1</v>
      </c>
      <c r="B32" s="717" t="s">
        <v>369</v>
      </c>
      <c r="C32" s="717" t="s">
        <v>310</v>
      </c>
      <c r="D32" s="717">
        <v>51300420</v>
      </c>
      <c r="E32" s="718">
        <v>5100.68542</v>
      </c>
      <c r="F32" s="719">
        <f t="shared" si="0"/>
        <v>5314.91420764</v>
      </c>
      <c r="G32" s="720">
        <v>4780</v>
      </c>
      <c r="H32" s="721">
        <f t="shared" si="1"/>
        <v>5314.91420764</v>
      </c>
    </row>
    <row r="33" spans="1:8" ht="12.75">
      <c r="A33" s="722">
        <v>1</v>
      </c>
      <c r="B33" s="723" t="s">
        <v>3</v>
      </c>
      <c r="C33" s="723" t="s">
        <v>149</v>
      </c>
      <c r="D33" s="723" t="s">
        <v>1</v>
      </c>
      <c r="E33" s="724">
        <v>779.1597039447767</v>
      </c>
      <c r="F33" s="725">
        <f t="shared" si="0"/>
        <v>1120.15</v>
      </c>
      <c r="G33" s="726">
        <v>1075</v>
      </c>
      <c r="H33" s="727">
        <f t="shared" si="1"/>
        <v>1120.15</v>
      </c>
    </row>
    <row r="34" spans="1:8" ht="12.75">
      <c r="A34" s="722">
        <v>1</v>
      </c>
      <c r="B34" s="723" t="s">
        <v>228</v>
      </c>
      <c r="C34" s="723" t="s">
        <v>150</v>
      </c>
      <c r="D34" s="723"/>
      <c r="E34" s="724">
        <v>2084.0248169999995</v>
      </c>
      <c r="F34" s="725">
        <f t="shared" si="0"/>
        <v>2171.5538593139995</v>
      </c>
      <c r="G34" s="726">
        <v>1896</v>
      </c>
      <c r="H34" s="727">
        <f t="shared" si="1"/>
        <v>2171.5538593139995</v>
      </c>
    </row>
    <row r="35" spans="1:8" ht="12.75">
      <c r="A35" s="716">
        <v>1</v>
      </c>
      <c r="B35" s="717" t="s">
        <v>229</v>
      </c>
      <c r="C35" s="717" t="s">
        <v>151</v>
      </c>
      <c r="D35" s="717">
        <v>51300330</v>
      </c>
      <c r="E35" s="718">
        <v>6745.069568999999</v>
      </c>
      <c r="F35" s="719">
        <f>+H35</f>
        <v>7028.362490897999</v>
      </c>
      <c r="G35" s="720">
        <v>3600</v>
      </c>
      <c r="H35" s="727">
        <f>+MAX(E35,G35)*(1+(F$2*1))</f>
        <v>7028.362490897999</v>
      </c>
    </row>
    <row r="36" spans="1:8" ht="12.75">
      <c r="A36" s="728">
        <v>1</v>
      </c>
      <c r="B36" s="729" t="s">
        <v>502</v>
      </c>
      <c r="C36" s="729" t="s">
        <v>164</v>
      </c>
      <c r="D36" s="729">
        <v>51800107</v>
      </c>
      <c r="E36" s="730">
        <v>1320.5352907479128</v>
      </c>
      <c r="F36" s="731">
        <f t="shared" si="0"/>
        <v>1375.9977729593252</v>
      </c>
      <c r="G36" s="732" t="s">
        <v>482</v>
      </c>
      <c r="H36" s="733">
        <f t="shared" si="1"/>
        <v>1375.9977729593252</v>
      </c>
    </row>
    <row r="37" spans="1:8" ht="12.75">
      <c r="A37" s="716">
        <v>1</v>
      </c>
      <c r="B37" s="717" t="s">
        <v>514</v>
      </c>
      <c r="C37" s="717" t="s">
        <v>157</v>
      </c>
      <c r="D37" s="717">
        <v>60200891</v>
      </c>
      <c r="E37" s="718">
        <v>1844.9968809999996</v>
      </c>
      <c r="F37" s="719">
        <f t="shared" si="0"/>
        <v>1922.4867500019996</v>
      </c>
      <c r="G37" s="720">
        <v>1477</v>
      </c>
      <c r="H37" s="721">
        <f t="shared" si="1"/>
        <v>1922.4867500019996</v>
      </c>
    </row>
    <row r="38" spans="1:8" ht="12.75">
      <c r="A38" s="716">
        <v>1</v>
      </c>
      <c r="B38" s="717" t="s">
        <v>503</v>
      </c>
      <c r="C38" s="717" t="s">
        <v>165</v>
      </c>
      <c r="D38" s="717">
        <v>60200562</v>
      </c>
      <c r="E38" s="718">
        <v>510.0685419999999</v>
      </c>
      <c r="F38" s="719">
        <f t="shared" si="0"/>
        <v>635.62</v>
      </c>
      <c r="G38" s="720">
        <v>610</v>
      </c>
      <c r="H38" s="721">
        <f t="shared" si="1"/>
        <v>635.62</v>
      </c>
    </row>
    <row r="39" spans="1:8" ht="12.75">
      <c r="A39" s="716">
        <v>1</v>
      </c>
      <c r="B39" s="717" t="s">
        <v>19</v>
      </c>
      <c r="C39" s="717" t="s">
        <v>159</v>
      </c>
      <c r="D39" s="717">
        <v>40200100</v>
      </c>
      <c r="E39" s="718">
        <v>59.09538881999998</v>
      </c>
      <c r="F39" s="719">
        <f t="shared" si="0"/>
        <v>439.724</v>
      </c>
      <c r="G39" s="720">
        <v>422</v>
      </c>
      <c r="H39" s="721">
        <f t="shared" si="1"/>
        <v>439.724</v>
      </c>
    </row>
    <row r="40" spans="1:8" ht="12.75">
      <c r="A40" s="716">
        <v>1</v>
      </c>
      <c r="B40" s="717" t="s">
        <v>20</v>
      </c>
      <c r="C40" s="717" t="s">
        <v>160</v>
      </c>
      <c r="D40" s="717">
        <v>50200562</v>
      </c>
      <c r="E40" s="718">
        <v>86.37018366</v>
      </c>
      <c r="F40" s="719">
        <f t="shared" si="0"/>
        <v>816.928</v>
      </c>
      <c r="G40" s="720">
        <v>784</v>
      </c>
      <c r="H40" s="721">
        <f t="shared" si="1"/>
        <v>816.928</v>
      </c>
    </row>
    <row r="41" spans="1:8" ht="12.75">
      <c r="A41" s="722">
        <v>1</v>
      </c>
      <c r="B41" s="723" t="s">
        <v>6</v>
      </c>
      <c r="C41" s="723" t="s">
        <v>161</v>
      </c>
      <c r="D41" s="723"/>
      <c r="E41" s="724">
        <v>74.90964779999999</v>
      </c>
      <c r="F41" s="725">
        <f t="shared" si="0"/>
        <v>193.812</v>
      </c>
      <c r="G41" s="726">
        <v>186</v>
      </c>
      <c r="H41" s="727">
        <f t="shared" si="1"/>
        <v>193.812</v>
      </c>
    </row>
    <row r="42" spans="1:8" ht="12.75">
      <c r="A42" s="716">
        <v>1</v>
      </c>
      <c r="B42" s="717" t="s">
        <v>99</v>
      </c>
      <c r="C42" s="717" t="s">
        <v>162</v>
      </c>
      <c r="D42" s="717">
        <v>50201684</v>
      </c>
      <c r="E42" s="718">
        <v>180.33804099999998</v>
      </c>
      <c r="F42" s="719">
        <f t="shared" si="0"/>
        <v>187.91223872199998</v>
      </c>
      <c r="G42" s="720" t="s">
        <v>482</v>
      </c>
      <c r="H42" s="721">
        <f t="shared" si="1"/>
        <v>187.91223872199998</v>
      </c>
    </row>
    <row r="43" spans="1:8" ht="12.75">
      <c r="A43" s="716">
        <v>1</v>
      </c>
      <c r="B43" s="717" t="s">
        <v>5</v>
      </c>
      <c r="C43" s="717" t="s">
        <v>163</v>
      </c>
      <c r="D43" s="717">
        <v>50201697</v>
      </c>
      <c r="E43" s="718">
        <v>258.07414078874996</v>
      </c>
      <c r="F43" s="719">
        <f t="shared" si="0"/>
        <v>268.91325470187746</v>
      </c>
      <c r="G43" s="720" t="s">
        <v>482</v>
      </c>
      <c r="H43" s="721">
        <f t="shared" si="1"/>
        <v>268.91325470187746</v>
      </c>
    </row>
    <row r="44" spans="1:8" ht="15">
      <c r="A44" s="486">
        <v>1</v>
      </c>
      <c r="B44" s="739" t="s">
        <v>513</v>
      </c>
      <c r="C44" s="21" t="s">
        <v>299</v>
      </c>
      <c r="D44" s="21">
        <v>51300335</v>
      </c>
      <c r="E44" s="24">
        <v>4588.4827</v>
      </c>
      <c r="F44" s="49">
        <f t="shared" si="0"/>
        <v>4781.1989734</v>
      </c>
      <c r="G44" s="372">
        <v>3100</v>
      </c>
      <c r="H44" s="489">
        <f t="shared" si="1"/>
        <v>4781.1989734</v>
      </c>
    </row>
    <row r="45" spans="1:8" ht="12.75">
      <c r="A45" s="486">
        <v>1</v>
      </c>
      <c r="B45" s="45" t="s">
        <v>314</v>
      </c>
      <c r="C45" s="21" t="s">
        <v>299</v>
      </c>
      <c r="D45" s="21">
        <v>51300420</v>
      </c>
      <c r="E45" s="24">
        <v>5100.68542</v>
      </c>
      <c r="F45" s="49">
        <f t="shared" si="0"/>
        <v>5314.91420764</v>
      </c>
      <c r="G45" s="372">
        <v>4780</v>
      </c>
      <c r="H45" s="489">
        <f t="shared" si="1"/>
        <v>5314.91420764</v>
      </c>
    </row>
    <row r="46" spans="1:8" ht="12.75">
      <c r="A46" s="486">
        <v>1</v>
      </c>
      <c r="B46" s="82" t="s">
        <v>230</v>
      </c>
      <c r="C46" s="82"/>
      <c r="D46" s="82">
        <v>41300100</v>
      </c>
      <c r="E46" s="83">
        <v>3414.6847999999995</v>
      </c>
      <c r="F46" s="49">
        <f t="shared" si="0"/>
        <v>3558.1015615999995</v>
      </c>
      <c r="G46" s="372" t="s">
        <v>482</v>
      </c>
      <c r="H46" s="489">
        <f t="shared" si="1"/>
        <v>3558.1015615999995</v>
      </c>
    </row>
    <row r="47" spans="1:8" ht="12.75">
      <c r="A47" s="728">
        <v>1</v>
      </c>
      <c r="B47" s="729" t="s">
        <v>504</v>
      </c>
      <c r="C47" s="729"/>
      <c r="D47" s="729"/>
      <c r="E47" s="730">
        <v>373.4811499999999</v>
      </c>
      <c r="F47" s="731">
        <f t="shared" si="0"/>
        <v>389.16735829999993</v>
      </c>
      <c r="G47" s="732">
        <v>299.2</v>
      </c>
      <c r="H47" s="733">
        <f t="shared" si="1"/>
        <v>389.16735829999993</v>
      </c>
    </row>
    <row r="48" spans="1:8" ht="12.75">
      <c r="A48" s="734">
        <v>1</v>
      </c>
      <c r="B48" s="735" t="s">
        <v>340</v>
      </c>
      <c r="C48" s="735"/>
      <c r="D48" s="735">
        <v>61601224</v>
      </c>
      <c r="E48" s="736">
        <v>725.6205199999998</v>
      </c>
      <c r="F48" s="725">
        <f t="shared" si="0"/>
        <v>756.0965818399999</v>
      </c>
      <c r="G48" s="737" t="s">
        <v>482</v>
      </c>
      <c r="H48" s="727">
        <f t="shared" si="1"/>
        <v>756.0965818399999</v>
      </c>
    </row>
    <row r="49" spans="1:8" ht="12.75">
      <c r="A49" s="495">
        <v>1</v>
      </c>
      <c r="B49" s="507" t="s">
        <v>188</v>
      </c>
      <c r="C49" s="507" t="s">
        <v>187</v>
      </c>
      <c r="D49" s="507">
        <v>50700305</v>
      </c>
      <c r="E49" s="508">
        <v>28.990834015349993</v>
      </c>
      <c r="F49" s="49">
        <f t="shared" si="0"/>
        <v>30.208449043994694</v>
      </c>
      <c r="G49" s="509">
        <v>26.55</v>
      </c>
      <c r="H49" s="489">
        <f t="shared" si="1"/>
        <v>30.208449043994694</v>
      </c>
    </row>
    <row r="50" spans="1:8" ht="12.75">
      <c r="A50" s="486">
        <v>1</v>
      </c>
      <c r="B50" s="21" t="s">
        <v>189</v>
      </c>
      <c r="C50" s="21" t="s">
        <v>191</v>
      </c>
      <c r="D50" s="21">
        <v>50700321</v>
      </c>
      <c r="E50" s="24">
        <v>48.1627418883</v>
      </c>
      <c r="F50" s="49">
        <f t="shared" si="0"/>
        <v>181.308</v>
      </c>
      <c r="G50" s="372">
        <v>174</v>
      </c>
      <c r="H50" s="489">
        <f t="shared" si="1"/>
        <v>181.308</v>
      </c>
    </row>
    <row r="51" spans="1:8" ht="12.75">
      <c r="A51" s="486">
        <v>1</v>
      </c>
      <c r="B51" s="21" t="s">
        <v>484</v>
      </c>
      <c r="C51" s="21" t="s">
        <v>184</v>
      </c>
      <c r="D51" s="21">
        <v>51900013</v>
      </c>
      <c r="E51" s="24">
        <v>3.2012669999999996</v>
      </c>
      <c r="F51" s="49">
        <f t="shared" si="0"/>
        <v>3.3357202139999997</v>
      </c>
      <c r="G51" s="372" t="s">
        <v>482</v>
      </c>
      <c r="H51" s="489">
        <f t="shared" si="1"/>
        <v>3.3357202139999997</v>
      </c>
    </row>
    <row r="52" spans="1:8" ht="12.75">
      <c r="A52" s="486">
        <v>1</v>
      </c>
      <c r="B52" s="21" t="s">
        <v>483</v>
      </c>
      <c r="C52" s="21" t="s">
        <v>185</v>
      </c>
      <c r="D52" s="39">
        <v>71901303</v>
      </c>
      <c r="E52" s="24">
        <v>25.762739330801</v>
      </c>
      <c r="F52" s="49">
        <f t="shared" si="0"/>
        <v>291.74958000000004</v>
      </c>
      <c r="G52" s="372">
        <v>279.99</v>
      </c>
      <c r="H52" s="489">
        <f t="shared" si="1"/>
        <v>291.74958000000004</v>
      </c>
    </row>
    <row r="53" spans="1:8" ht="12.75">
      <c r="A53" s="486">
        <v>1</v>
      </c>
      <c r="B53" s="21" t="s">
        <v>14</v>
      </c>
      <c r="C53" s="21" t="s">
        <v>178</v>
      </c>
      <c r="D53" s="21">
        <v>80300869</v>
      </c>
      <c r="E53" s="24">
        <v>33.45520359376</v>
      </c>
      <c r="F53" s="49">
        <f t="shared" si="0"/>
        <v>34.86032214469792</v>
      </c>
      <c r="G53" s="372">
        <v>31.35</v>
      </c>
      <c r="H53" s="489">
        <f t="shared" si="1"/>
        <v>34.86032214469792</v>
      </c>
    </row>
    <row r="54" spans="1:8" ht="12.75">
      <c r="A54" s="486">
        <v>1</v>
      </c>
      <c r="B54" s="21" t="s">
        <v>12</v>
      </c>
      <c r="C54" s="21" t="s">
        <v>179</v>
      </c>
      <c r="D54" s="21">
        <v>80300885</v>
      </c>
      <c r="E54" s="24">
        <v>43.75064899999999</v>
      </c>
      <c r="F54" s="49">
        <f t="shared" si="0"/>
        <v>45.58817625799999</v>
      </c>
      <c r="G54" s="372">
        <v>35.48</v>
      </c>
      <c r="H54" s="489">
        <f t="shared" si="1"/>
        <v>45.58817625799999</v>
      </c>
    </row>
    <row r="55" spans="1:8" ht="12.75">
      <c r="A55" s="486">
        <v>1</v>
      </c>
      <c r="B55" s="21" t="s">
        <v>11</v>
      </c>
      <c r="C55" s="21" t="s">
        <v>180</v>
      </c>
      <c r="D55" s="21">
        <v>80300872</v>
      </c>
      <c r="E55" s="24">
        <v>81.44566396300999</v>
      </c>
      <c r="F55" s="49">
        <f t="shared" si="0"/>
        <v>84.86638184945642</v>
      </c>
      <c r="G55" s="372" t="s">
        <v>505</v>
      </c>
      <c r="H55" s="489">
        <f t="shared" si="1"/>
        <v>84.86638184945642</v>
      </c>
    </row>
    <row r="56" spans="1:8" ht="12.75">
      <c r="A56" s="486">
        <v>1</v>
      </c>
      <c r="B56" s="21" t="s">
        <v>111</v>
      </c>
      <c r="C56" s="21" t="s">
        <v>186</v>
      </c>
      <c r="D56" s="21">
        <v>81600526</v>
      </c>
      <c r="E56" s="24">
        <v>394.82292999999993</v>
      </c>
      <c r="F56" s="49">
        <f t="shared" si="0"/>
        <v>411.4054930599999</v>
      </c>
      <c r="G56" s="372" t="s">
        <v>506</v>
      </c>
      <c r="H56" s="489">
        <f t="shared" si="1"/>
        <v>411.4054930599999</v>
      </c>
    </row>
    <row r="57" spans="1:8" ht="12.75">
      <c r="A57" s="486">
        <v>1</v>
      </c>
      <c r="B57" s="21" t="s">
        <v>13</v>
      </c>
      <c r="C57" s="21" t="s">
        <v>181</v>
      </c>
      <c r="D57" s="21">
        <v>51100140</v>
      </c>
      <c r="E57" s="24">
        <v>59.390865764099985</v>
      </c>
      <c r="F57" s="49">
        <f t="shared" si="0"/>
        <v>1271.4692400000001</v>
      </c>
      <c r="G57" s="372">
        <v>1220.22</v>
      </c>
      <c r="H57" s="489">
        <f t="shared" si="1"/>
        <v>1271.4692400000001</v>
      </c>
    </row>
    <row r="58" spans="1:10" ht="12.75">
      <c r="A58" s="486">
        <v>1</v>
      </c>
      <c r="B58" s="21" t="s">
        <v>183</v>
      </c>
      <c r="C58" s="21" t="s">
        <v>182</v>
      </c>
      <c r="D58" s="21">
        <v>50201367</v>
      </c>
      <c r="E58" s="24">
        <v>59.390865764099985</v>
      </c>
      <c r="F58" s="49">
        <f t="shared" si="0"/>
        <v>61.88528212619219</v>
      </c>
      <c r="G58" s="372" t="s">
        <v>482</v>
      </c>
      <c r="H58" s="489">
        <f t="shared" si="1"/>
        <v>61.88528212619219</v>
      </c>
      <c r="J58" s="2"/>
    </row>
    <row r="59" spans="1:8" ht="12.75">
      <c r="A59" s="722">
        <v>1</v>
      </c>
      <c r="B59" s="723" t="s">
        <v>7</v>
      </c>
      <c r="C59" s="723" t="s">
        <v>174</v>
      </c>
      <c r="D59" s="723"/>
      <c r="E59" s="724">
        <v>992.0763781115</v>
      </c>
      <c r="F59" s="725">
        <f t="shared" si="0"/>
        <v>1033.7435859921832</v>
      </c>
      <c r="G59" s="726">
        <v>492.6</v>
      </c>
      <c r="H59" s="727">
        <f t="shared" si="1"/>
        <v>1033.7435859921832</v>
      </c>
    </row>
    <row r="60" spans="1:16" ht="12.75">
      <c r="A60" s="722">
        <v>1</v>
      </c>
      <c r="B60" s="723" t="s">
        <v>93</v>
      </c>
      <c r="C60" s="723" t="s">
        <v>175</v>
      </c>
      <c r="D60" s="723">
        <v>50201396</v>
      </c>
      <c r="E60" s="724">
        <v>229.23205897999998</v>
      </c>
      <c r="F60" s="725">
        <f t="shared" si="0"/>
        <v>544.445</v>
      </c>
      <c r="G60" s="726">
        <v>522.5</v>
      </c>
      <c r="H60" s="727">
        <f t="shared" si="1"/>
        <v>544.445</v>
      </c>
      <c r="L60" s="197"/>
      <c r="M60" s="197"/>
      <c r="N60" s="197"/>
      <c r="O60" s="161"/>
      <c r="P60" s="2"/>
    </row>
    <row r="61" spans="1:16" ht="12.75">
      <c r="A61" s="486">
        <v>1</v>
      </c>
      <c r="B61" s="21" t="s">
        <v>90</v>
      </c>
      <c r="C61" s="21" t="s">
        <v>166</v>
      </c>
      <c r="D61" s="39">
        <v>81601211</v>
      </c>
      <c r="E61" s="24">
        <v>229.23205897999998</v>
      </c>
      <c r="F61" s="49">
        <f t="shared" si="0"/>
        <v>447.9037</v>
      </c>
      <c r="G61" s="372">
        <v>429.85</v>
      </c>
      <c r="H61" s="489">
        <f t="shared" si="1"/>
        <v>447.9037</v>
      </c>
      <c r="L61" s="197"/>
      <c r="M61" s="197"/>
      <c r="N61" s="197"/>
      <c r="O61" s="161"/>
      <c r="P61" s="2"/>
    </row>
    <row r="62" spans="1:15" ht="12.75">
      <c r="A62" s="486">
        <v>1</v>
      </c>
      <c r="B62" s="21" t="s">
        <v>21</v>
      </c>
      <c r="C62" s="21" t="s">
        <v>170</v>
      </c>
      <c r="D62" s="21">
        <v>81601224</v>
      </c>
      <c r="E62" s="24">
        <v>307.52331182099994</v>
      </c>
      <c r="F62" s="49">
        <f t="shared" si="0"/>
        <v>320.43929091748197</v>
      </c>
      <c r="G62" s="372" t="s">
        <v>482</v>
      </c>
      <c r="H62" s="489">
        <f t="shared" si="1"/>
        <v>320.43929091748197</v>
      </c>
      <c r="L62" s="197"/>
      <c r="M62" s="197"/>
      <c r="N62" s="197"/>
      <c r="O62" s="161"/>
    </row>
    <row r="63" spans="1:15" ht="12.75">
      <c r="A63" s="486">
        <v>1</v>
      </c>
      <c r="B63" s="21" t="s">
        <v>18</v>
      </c>
      <c r="C63" s="21" t="s">
        <v>168</v>
      </c>
      <c r="D63" s="21">
        <v>52300554</v>
      </c>
      <c r="E63" s="24">
        <v>126.98359099999998</v>
      </c>
      <c r="F63" s="49">
        <f t="shared" si="0"/>
        <v>132.31690182199998</v>
      </c>
      <c r="G63" s="372" t="s">
        <v>482</v>
      </c>
      <c r="H63" s="489">
        <f t="shared" si="1"/>
        <v>132.31690182199998</v>
      </c>
      <c r="L63" s="197"/>
      <c r="M63" s="197"/>
      <c r="N63" s="197"/>
      <c r="O63" s="161"/>
    </row>
    <row r="64" spans="1:15" ht="12.75">
      <c r="A64" s="486">
        <v>1</v>
      </c>
      <c r="B64" s="21" t="s">
        <v>4</v>
      </c>
      <c r="C64" s="21" t="s">
        <v>152</v>
      </c>
      <c r="D64" s="21">
        <v>52300380</v>
      </c>
      <c r="E64" s="24">
        <v>79.49813049999999</v>
      </c>
      <c r="F64" s="49">
        <f t="shared" si="0"/>
        <v>1834.962</v>
      </c>
      <c r="G64" s="372">
        <v>1761</v>
      </c>
      <c r="H64" s="489">
        <f t="shared" si="1"/>
        <v>1834.962</v>
      </c>
      <c r="L64" s="197"/>
      <c r="M64" s="197"/>
      <c r="N64" s="197"/>
      <c r="O64" s="161"/>
    </row>
    <row r="65" spans="1:15" ht="12.75">
      <c r="A65" s="486">
        <v>1</v>
      </c>
      <c r="B65" s="21" t="s">
        <v>145</v>
      </c>
      <c r="C65" s="21" t="s">
        <v>172</v>
      </c>
      <c r="D65" s="21">
        <v>51400280</v>
      </c>
      <c r="E65" s="24">
        <v>31.991328219999996</v>
      </c>
      <c r="F65" s="49">
        <f t="shared" si="0"/>
        <v>33.334964005239996</v>
      </c>
      <c r="G65" s="372">
        <v>19</v>
      </c>
      <c r="H65" s="489">
        <f t="shared" si="1"/>
        <v>33.334964005239996</v>
      </c>
      <c r="L65" s="197"/>
      <c r="M65" s="197"/>
      <c r="N65" s="197"/>
      <c r="O65" s="161"/>
    </row>
    <row r="66" spans="1:15" ht="12.75">
      <c r="A66" s="486">
        <v>1</v>
      </c>
      <c r="B66" s="21" t="s">
        <v>8</v>
      </c>
      <c r="C66" s="21" t="s">
        <v>176</v>
      </c>
      <c r="D66" s="21">
        <v>50300514</v>
      </c>
      <c r="E66" s="24">
        <v>28.138496676599992</v>
      </c>
      <c r="F66" s="49">
        <f t="shared" si="0"/>
        <v>29.320313537017192</v>
      </c>
      <c r="G66" s="372">
        <v>12.2</v>
      </c>
      <c r="H66" s="489">
        <f t="shared" si="1"/>
        <v>29.320313537017192</v>
      </c>
      <c r="L66" s="197"/>
      <c r="M66" s="197"/>
      <c r="N66" s="197"/>
      <c r="O66" s="161"/>
    </row>
    <row r="67" spans="1:8" ht="12.75">
      <c r="A67" s="486">
        <v>1</v>
      </c>
      <c r="B67" s="21" t="s">
        <v>15</v>
      </c>
      <c r="C67" s="21" t="s">
        <v>167</v>
      </c>
      <c r="D67" s="39">
        <v>80300623</v>
      </c>
      <c r="E67" s="24">
        <v>32.4</v>
      </c>
      <c r="F67" s="49">
        <f t="shared" si="0"/>
        <v>43.190900000000006</v>
      </c>
      <c r="G67" s="372">
        <v>41.45</v>
      </c>
      <c r="H67" s="489">
        <f t="shared" si="1"/>
        <v>43.190900000000006</v>
      </c>
    </row>
    <row r="68" spans="1:8" ht="12.75">
      <c r="A68" s="486">
        <v>1</v>
      </c>
      <c r="B68" s="21" t="s">
        <v>16</v>
      </c>
      <c r="C68" s="21" t="s">
        <v>169</v>
      </c>
      <c r="D68" s="21">
        <v>50300695</v>
      </c>
      <c r="E68" s="24">
        <v>18.284334794971095</v>
      </c>
      <c r="F68" s="49">
        <f t="shared" si="0"/>
        <v>19.05227685635988</v>
      </c>
      <c r="G68" s="372">
        <v>10.5</v>
      </c>
      <c r="H68" s="489">
        <f t="shared" si="1"/>
        <v>19.05227685635988</v>
      </c>
    </row>
    <row r="69" spans="1:8" ht="12.75">
      <c r="A69" s="486">
        <v>1</v>
      </c>
      <c r="B69" s="21" t="s">
        <v>22</v>
      </c>
      <c r="C69" s="21" t="s">
        <v>171</v>
      </c>
      <c r="D69" s="21">
        <v>50300640</v>
      </c>
      <c r="E69" s="24">
        <v>5.99704018</v>
      </c>
      <c r="F69" s="49">
        <f t="shared" si="0"/>
        <v>14.9527</v>
      </c>
      <c r="G69" s="372">
        <v>14.35</v>
      </c>
      <c r="H69" s="489">
        <f t="shared" si="1"/>
        <v>14.9527</v>
      </c>
    </row>
    <row r="70" spans="1:8" ht="12.75">
      <c r="A70" s="486">
        <v>1</v>
      </c>
      <c r="B70" s="21" t="s">
        <v>144</v>
      </c>
      <c r="C70" s="21" t="s">
        <v>177</v>
      </c>
      <c r="D70">
        <v>80302184</v>
      </c>
      <c r="E70" s="24">
        <v>16.006334999999996</v>
      </c>
      <c r="F70" s="49">
        <f t="shared" si="0"/>
        <v>16.678601069999996</v>
      </c>
      <c r="G70" s="372">
        <v>15</v>
      </c>
      <c r="H70" s="489">
        <f t="shared" si="1"/>
        <v>16.678601069999996</v>
      </c>
    </row>
    <row r="71" spans="1:8" ht="12.75">
      <c r="A71" s="486">
        <v>1</v>
      </c>
      <c r="B71" s="21" t="s">
        <v>143</v>
      </c>
      <c r="C71" s="21" t="s">
        <v>88</v>
      </c>
      <c r="D71" s="21">
        <v>50300750</v>
      </c>
      <c r="E71" s="24">
        <v>32.08197743055</v>
      </c>
      <c r="F71" s="49">
        <f t="shared" si="0"/>
        <v>33.4294204826331</v>
      </c>
      <c r="G71" s="372" t="s">
        <v>482</v>
      </c>
      <c r="H71" s="489">
        <f t="shared" si="1"/>
        <v>33.4294204826331</v>
      </c>
    </row>
    <row r="72" spans="1:8" ht="12.75">
      <c r="A72" s="490">
        <v>1</v>
      </c>
      <c r="B72" s="738" t="s">
        <v>508</v>
      </c>
      <c r="C72" s="228" t="s">
        <v>88</v>
      </c>
      <c r="D72" s="738" t="s">
        <v>507</v>
      </c>
      <c r="E72" s="49">
        <v>1280.5067999999999</v>
      </c>
      <c r="F72" s="49">
        <f t="shared" si="0"/>
        <v>1334.2880856</v>
      </c>
      <c r="G72" s="720">
        <f>294.47+393.67+13.29+7.95+535+15.2</f>
        <v>1259.5800000000002</v>
      </c>
      <c r="H72" s="489">
        <f t="shared" si="1"/>
        <v>1334.2880856</v>
      </c>
    </row>
    <row r="73" spans="1:8" ht="13.5" thickBot="1">
      <c r="A73" s="490"/>
      <c r="B73" s="47"/>
      <c r="C73" s="47"/>
      <c r="D73" s="47"/>
      <c r="E73" s="47"/>
      <c r="F73" s="63"/>
      <c r="G73" s="45"/>
      <c r="H73" s="491"/>
    </row>
    <row r="74" spans="1:19" ht="63.75">
      <c r="A74" s="490"/>
      <c r="B74" s="47"/>
      <c r="C74" s="47"/>
      <c r="D74" s="47"/>
      <c r="E74" s="47"/>
      <c r="F74" s="48"/>
      <c r="G74" s="45"/>
      <c r="H74" s="491"/>
      <c r="J74" s="185" t="s">
        <v>474</v>
      </c>
      <c r="K74" s="186"/>
      <c r="L74" s="186"/>
      <c r="M74" s="186"/>
      <c r="N74" s="186"/>
      <c r="O74" s="186"/>
      <c r="P74" s="761" t="s">
        <v>300</v>
      </c>
      <c r="Q74" s="778" t="s">
        <v>624</v>
      </c>
      <c r="R74" s="776" t="s">
        <v>616</v>
      </c>
      <c r="S74" s="770" t="s">
        <v>616</v>
      </c>
    </row>
    <row r="75" spans="1:19" ht="17.25" thickBot="1">
      <c r="A75" s="492"/>
      <c r="B75" s="29"/>
      <c r="C75" s="29"/>
      <c r="D75" s="29"/>
      <c r="E75" s="7"/>
      <c r="F75" s="72"/>
      <c r="G75" s="45"/>
      <c r="H75" s="480"/>
      <c r="J75" s="805" t="s">
        <v>606</v>
      </c>
      <c r="K75" s="806"/>
      <c r="L75" s="806"/>
      <c r="M75" s="806"/>
      <c r="N75" s="187"/>
      <c r="O75" s="187" t="s">
        <v>460</v>
      </c>
      <c r="P75" s="762" t="s">
        <v>481</v>
      </c>
      <c r="Q75" s="779"/>
      <c r="R75" s="771" t="s">
        <v>460</v>
      </c>
      <c r="S75" s="216" t="s">
        <v>481</v>
      </c>
    </row>
    <row r="76" spans="1:19" ht="26.25" thickTop="1">
      <c r="A76" s="493"/>
      <c r="B76" s="30"/>
      <c r="C76" s="30"/>
      <c r="D76" s="30"/>
      <c r="E76" s="8"/>
      <c r="F76" s="73"/>
      <c r="G76" s="45"/>
      <c r="H76" s="494"/>
      <c r="J76" s="751"/>
      <c r="K76" s="188"/>
      <c r="L76" s="188"/>
      <c r="M76" s="188"/>
      <c r="N76" s="189" t="s">
        <v>301</v>
      </c>
      <c r="O76" s="189" t="s">
        <v>302</v>
      </c>
      <c r="P76" s="763">
        <v>0.07</v>
      </c>
      <c r="Q76" s="780"/>
      <c r="R76" s="772"/>
      <c r="S76" s="767"/>
    </row>
    <row r="77" spans="1:19" ht="13.5" customHeight="1">
      <c r="A77" s="495"/>
      <c r="B77" s="807" t="s">
        <v>26</v>
      </c>
      <c r="C77" s="808"/>
      <c r="D77" s="808"/>
      <c r="E77" s="808"/>
      <c r="F77" s="809"/>
      <c r="G77" s="45"/>
      <c r="H77" s="480"/>
      <c r="J77" s="217" t="s">
        <v>208</v>
      </c>
      <c r="K77" s="188" t="s">
        <v>209</v>
      </c>
      <c r="L77" s="188" t="s">
        <v>303</v>
      </c>
      <c r="M77" s="188" t="s">
        <v>210</v>
      </c>
      <c r="N77" s="190" t="s">
        <v>304</v>
      </c>
      <c r="O77" s="190"/>
      <c r="P77" s="764" t="s">
        <v>211</v>
      </c>
      <c r="Q77" s="781"/>
      <c r="R77" s="773"/>
      <c r="S77" s="218" t="s">
        <v>617</v>
      </c>
    </row>
    <row r="78" spans="1:19" ht="16.5">
      <c r="A78" s="486"/>
      <c r="B78" s="21"/>
      <c r="C78" s="21"/>
      <c r="D78" s="21"/>
      <c r="E78" s="28"/>
      <c r="F78" s="59"/>
      <c r="G78" s="45"/>
      <c r="H78" s="480"/>
      <c r="J78" s="219" t="s">
        <v>212</v>
      </c>
      <c r="K78" s="191" t="s">
        <v>213</v>
      </c>
      <c r="L78" s="673">
        <v>164952</v>
      </c>
      <c r="M78" s="674">
        <f>L78*45%</f>
        <v>74228.40000000001</v>
      </c>
      <c r="N78" s="192">
        <f>SUM(L78:M78)</f>
        <v>239180.40000000002</v>
      </c>
      <c r="O78" s="193">
        <f>+N78/(52*40)</f>
        <v>114.99057692307693</v>
      </c>
      <c r="P78" s="765">
        <f>+O78*(1+P$76)</f>
        <v>123.03991730769232</v>
      </c>
      <c r="Q78" s="782" t="s">
        <v>626</v>
      </c>
      <c r="R78" s="777">
        <f>2.4*O78</f>
        <v>275.9773846153846</v>
      </c>
      <c r="S78" s="768">
        <f>P78*2.4</f>
        <v>295.29580153846155</v>
      </c>
    </row>
    <row r="79" spans="1:19" ht="16.5">
      <c r="A79" s="486" t="s">
        <v>1</v>
      </c>
      <c r="B79" s="14" t="s">
        <v>39</v>
      </c>
      <c r="C79" s="14"/>
      <c r="D79" s="15"/>
      <c r="E79" s="16" t="str">
        <f>E$11</f>
        <v>2020/2021</v>
      </c>
      <c r="F79" s="71" t="str">
        <f>F$11</f>
        <v>2021/2022</v>
      </c>
      <c r="G79" s="45"/>
      <c r="H79" s="480"/>
      <c r="J79" s="219" t="s">
        <v>218</v>
      </c>
      <c r="K79" s="191" t="s">
        <v>605</v>
      </c>
      <c r="L79" s="673">
        <v>172320</v>
      </c>
      <c r="M79" s="674">
        <f>L79*45%</f>
        <v>77544</v>
      </c>
      <c r="N79" s="192">
        <f aca="true" t="shared" si="2" ref="N79:N85">SUM(L79:M79)</f>
        <v>249864</v>
      </c>
      <c r="O79" s="193">
        <f aca="true" t="shared" si="3" ref="O79:O85">+N79/(52*40)</f>
        <v>120.12692307692308</v>
      </c>
      <c r="P79" s="765">
        <f aca="true" t="shared" si="4" ref="P79:P85">+O79*(1+P$76)</f>
        <v>128.5358076923077</v>
      </c>
      <c r="Q79" s="782" t="s">
        <v>627</v>
      </c>
      <c r="R79" s="774">
        <f>O79*12.25</f>
        <v>1471.5548076923078</v>
      </c>
      <c r="S79" s="768">
        <f>P79*12.25</f>
        <v>1574.5636442307696</v>
      </c>
    </row>
    <row r="80" spans="1:19" ht="16.5">
      <c r="A80" s="486"/>
      <c r="B80" s="17"/>
      <c r="C80" s="4" t="s">
        <v>37</v>
      </c>
      <c r="D80" s="40" t="s">
        <v>27</v>
      </c>
      <c r="E80" s="41" t="s">
        <v>40</v>
      </c>
      <c r="F80" s="76" t="s">
        <v>476</v>
      </c>
      <c r="G80" s="45"/>
      <c r="H80" s="480"/>
      <c r="J80" s="219" t="s">
        <v>607</v>
      </c>
      <c r="K80" s="191" t="s">
        <v>608</v>
      </c>
      <c r="L80" s="673">
        <f>MAX(17232,158868,197904,225996,252276,289956,31014)</f>
        <v>289956</v>
      </c>
      <c r="M80" s="674">
        <f>L80*45%</f>
        <v>130480.2</v>
      </c>
      <c r="N80" s="192">
        <f>SUM(L80:M80)</f>
        <v>420436.2</v>
      </c>
      <c r="O80" s="193">
        <f>+N80/(52*40)</f>
        <v>202.13278846153847</v>
      </c>
      <c r="P80" s="765">
        <f>+O80*(1+P$76)</f>
        <v>216.28208365384617</v>
      </c>
      <c r="Q80" s="782"/>
      <c r="R80" s="774"/>
      <c r="S80" s="767"/>
    </row>
    <row r="81" spans="1:19" ht="16.5">
      <c r="A81" s="486"/>
      <c r="B81" s="21"/>
      <c r="C81" s="21"/>
      <c r="D81" s="21"/>
      <c r="E81" s="28"/>
      <c r="F81" s="682"/>
      <c r="G81" s="77"/>
      <c r="H81" s="480"/>
      <c r="J81" s="759" t="s">
        <v>609</v>
      </c>
      <c r="K81" s="191" t="s">
        <v>610</v>
      </c>
      <c r="L81" s="673">
        <f>MAXA(31014,378144,432828)</f>
        <v>432828</v>
      </c>
      <c r="M81" s="674">
        <f>L81*45%</f>
        <v>194772.6</v>
      </c>
      <c r="N81" s="192">
        <f t="shared" si="2"/>
        <v>627600.6</v>
      </c>
      <c r="O81" s="193">
        <f t="shared" si="3"/>
        <v>301.7310576923077</v>
      </c>
      <c r="P81" s="765">
        <f t="shared" si="4"/>
        <v>322.85223173076923</v>
      </c>
      <c r="Q81" s="782"/>
      <c r="R81" s="774"/>
      <c r="S81" s="767"/>
    </row>
    <row r="82" spans="1:19" ht="16.5">
      <c r="A82" s="486">
        <v>1</v>
      </c>
      <c r="B82" s="21" t="s">
        <v>604</v>
      </c>
      <c r="C82" s="47" t="s">
        <v>28</v>
      </c>
      <c r="D82" s="47"/>
      <c r="E82" s="24">
        <f>+O78</f>
        <v>114.99057692307693</v>
      </c>
      <c r="F82" s="123">
        <f>+P78</f>
        <v>123.03991730769232</v>
      </c>
      <c r="G82" s="77"/>
      <c r="H82" s="480"/>
      <c r="J82" s="219" t="s">
        <v>214</v>
      </c>
      <c r="K82" s="191" t="s">
        <v>611</v>
      </c>
      <c r="L82">
        <v>432828</v>
      </c>
      <c r="M82" s="674">
        <f>L82*45%</f>
        <v>194772.6</v>
      </c>
      <c r="N82" s="192">
        <f>SUM(L82:M82)</f>
        <v>627600.6</v>
      </c>
      <c r="O82" s="193">
        <f t="shared" si="3"/>
        <v>301.7310576923077</v>
      </c>
      <c r="P82" s="765">
        <f t="shared" si="4"/>
        <v>322.85223173076923</v>
      </c>
      <c r="Q82" s="782"/>
      <c r="R82" s="774"/>
      <c r="S82" s="767"/>
    </row>
    <row r="83" spans="1:19" ht="16.5">
      <c r="A83" s="486">
        <v>1</v>
      </c>
      <c r="B83" s="21" t="s">
        <v>603</v>
      </c>
      <c r="C83" s="47" t="s">
        <v>28</v>
      </c>
      <c r="D83" s="47"/>
      <c r="E83" s="24">
        <f>+O83</f>
        <v>157.1242307692308</v>
      </c>
      <c r="F83" s="123">
        <f>+P83</f>
        <v>168.12292692307696</v>
      </c>
      <c r="G83" s="45"/>
      <c r="H83" s="480"/>
      <c r="J83" s="219" t="s">
        <v>215</v>
      </c>
      <c r="K83" s="191" t="s">
        <v>216</v>
      </c>
      <c r="L83" s="675">
        <f>AVERAGE(197904,225996,252276)</f>
        <v>225392</v>
      </c>
      <c r="M83" s="674">
        <f>L83*45%</f>
        <v>101426.40000000001</v>
      </c>
      <c r="N83" s="192">
        <f t="shared" si="2"/>
        <v>326818.4</v>
      </c>
      <c r="O83" s="193">
        <f t="shared" si="3"/>
        <v>157.1242307692308</v>
      </c>
      <c r="P83" s="765">
        <f t="shared" si="4"/>
        <v>168.12292692307696</v>
      </c>
      <c r="Q83" s="782" t="s">
        <v>626</v>
      </c>
      <c r="R83" s="777">
        <f>O83*0.2</f>
        <v>31.42484615384616</v>
      </c>
      <c r="S83" s="768">
        <f>0.2*P83</f>
        <v>33.62458538461539</v>
      </c>
    </row>
    <row r="84" spans="1:19" ht="16.5">
      <c r="A84" s="486">
        <v>1</v>
      </c>
      <c r="B84" s="21" t="s">
        <v>54</v>
      </c>
      <c r="C84" s="21" t="s">
        <v>28</v>
      </c>
      <c r="D84" s="39"/>
      <c r="E84" s="24">
        <f>+O79</f>
        <v>120.12692307692308</v>
      </c>
      <c r="F84" s="123">
        <f>+P79</f>
        <v>128.5358076923077</v>
      </c>
      <c r="G84" s="45"/>
      <c r="H84" s="480"/>
      <c r="J84" s="219" t="s">
        <v>515</v>
      </c>
      <c r="K84" s="191" t="s">
        <v>516</v>
      </c>
      <c r="L84" s="675">
        <v>584616</v>
      </c>
      <c r="M84" s="674">
        <f>L84*45%</f>
        <v>263077.2</v>
      </c>
      <c r="N84" s="192">
        <f t="shared" si="2"/>
        <v>847693.2</v>
      </c>
      <c r="O84" s="193">
        <f t="shared" si="3"/>
        <v>407.54480769230764</v>
      </c>
      <c r="P84" s="765">
        <f t="shared" si="4"/>
        <v>436.0729442307692</v>
      </c>
      <c r="Q84" s="782" t="s">
        <v>627</v>
      </c>
      <c r="R84" s="774">
        <f>O83*2.1</f>
        <v>329.96088461538466</v>
      </c>
      <c r="S84" s="768">
        <f>P83*2.1</f>
        <v>353.05814653846164</v>
      </c>
    </row>
    <row r="85" spans="1:19" ht="17.25" thickBot="1">
      <c r="A85" s="486">
        <v>1</v>
      </c>
      <c r="B85" s="21" t="s">
        <v>55</v>
      </c>
      <c r="C85" s="21" t="s">
        <v>28</v>
      </c>
      <c r="D85" s="39"/>
      <c r="E85" s="24">
        <f>+O79</f>
        <v>120.12692307692308</v>
      </c>
      <c r="F85" s="123">
        <f>+P79</f>
        <v>128.5358076923077</v>
      </c>
      <c r="G85" s="45"/>
      <c r="H85" s="480"/>
      <c r="J85" s="220" t="s">
        <v>305</v>
      </c>
      <c r="K85" s="221" t="s">
        <v>217</v>
      </c>
      <c r="L85" s="676">
        <v>289956</v>
      </c>
      <c r="M85" s="677">
        <f>L85*45%</f>
        <v>130480.2</v>
      </c>
      <c r="N85" s="760">
        <f t="shared" si="2"/>
        <v>420436.2</v>
      </c>
      <c r="O85" s="222">
        <f t="shared" si="3"/>
        <v>202.13278846153847</v>
      </c>
      <c r="P85" s="766">
        <f t="shared" si="4"/>
        <v>216.28208365384617</v>
      </c>
      <c r="Q85" s="783"/>
      <c r="R85" s="775"/>
      <c r="S85" s="769"/>
    </row>
    <row r="86" spans="1:18" ht="12.75">
      <c r="A86" s="486">
        <v>1</v>
      </c>
      <c r="B86" s="21" t="s">
        <v>92</v>
      </c>
      <c r="C86" s="21" t="s">
        <v>28</v>
      </c>
      <c r="D86" s="39"/>
      <c r="E86" s="123">
        <f>+O80</f>
        <v>202.13278846153847</v>
      </c>
      <c r="F86" s="123">
        <f>+P81</f>
        <v>322.85223173076923</v>
      </c>
      <c r="G86" s="45"/>
      <c r="H86" s="480"/>
      <c r="R86" s="45"/>
    </row>
    <row r="87" spans="1:18" ht="12.75">
      <c r="A87" s="486">
        <v>1</v>
      </c>
      <c r="B87" s="21" t="s">
        <v>602</v>
      </c>
      <c r="C87" s="47" t="s">
        <v>28</v>
      </c>
      <c r="D87" s="47"/>
      <c r="E87" s="123">
        <f>+O81</f>
        <v>301.7310576923077</v>
      </c>
      <c r="F87" s="123">
        <f>+P81</f>
        <v>322.85223173076923</v>
      </c>
      <c r="G87" s="45"/>
      <c r="H87" s="480"/>
      <c r="J87" s="194" t="s">
        <v>308</v>
      </c>
      <c r="R87" s="45"/>
    </row>
    <row r="88" spans="1:18" ht="12.75">
      <c r="A88" s="486">
        <v>1</v>
      </c>
      <c r="B88" s="21" t="s">
        <v>598</v>
      </c>
      <c r="C88" s="21" t="s">
        <v>28</v>
      </c>
      <c r="D88" s="39" t="s">
        <v>146</v>
      </c>
      <c r="E88" s="24">
        <v>248.19259615384615</v>
      </c>
      <c r="F88" s="123">
        <v>265.5660778846154</v>
      </c>
      <c r="G88" s="45"/>
      <c r="H88" s="480"/>
      <c r="J88" s="194" t="s">
        <v>306</v>
      </c>
      <c r="R88" s="45"/>
    </row>
    <row r="89" spans="1:18" ht="12.75">
      <c r="A89" s="486">
        <v>1</v>
      </c>
      <c r="B89" s="21" t="s">
        <v>600</v>
      </c>
      <c r="C89" s="47" t="s">
        <v>28</v>
      </c>
      <c r="D89" s="39" t="s">
        <v>146</v>
      </c>
      <c r="E89" s="758">
        <f>+O82</f>
        <v>301.7310576923077</v>
      </c>
      <c r="F89" s="123">
        <f>+P82</f>
        <v>322.85223173076923</v>
      </c>
      <c r="G89" s="45"/>
      <c r="H89" s="480"/>
      <c r="J89" s="194" t="s">
        <v>307</v>
      </c>
      <c r="R89" s="45"/>
    </row>
    <row r="90" spans="1:18" ht="12.75">
      <c r="A90" s="486">
        <v>1</v>
      </c>
      <c r="B90" s="21" t="s">
        <v>599</v>
      </c>
      <c r="C90" s="21" t="s">
        <v>28</v>
      </c>
      <c r="D90" s="39" t="s">
        <v>146</v>
      </c>
      <c r="E90" s="24">
        <v>319.9257692307692</v>
      </c>
      <c r="F90" s="123">
        <v>342.3205730769231</v>
      </c>
      <c r="G90" s="45"/>
      <c r="H90" s="480"/>
      <c r="J90" s="194"/>
      <c r="R90" s="45"/>
    </row>
    <row r="91" spans="1:18" ht="12.75">
      <c r="A91" s="486">
        <v>1</v>
      </c>
      <c r="B91" s="21" t="s">
        <v>601</v>
      </c>
      <c r="C91" s="21" t="s">
        <v>28</v>
      </c>
      <c r="D91" s="39" t="s">
        <v>146</v>
      </c>
      <c r="E91" s="24">
        <f>+O84</f>
        <v>407.54480769230764</v>
      </c>
      <c r="F91" s="123">
        <f>+P84</f>
        <v>436.0729442307692</v>
      </c>
      <c r="G91" s="45"/>
      <c r="H91" s="480"/>
      <c r="J91" s="194"/>
      <c r="R91" s="45"/>
    </row>
    <row r="92" spans="1:18" ht="12.75">
      <c r="A92" s="486">
        <v>1</v>
      </c>
      <c r="B92" s="21" t="s">
        <v>68</v>
      </c>
      <c r="C92" s="21" t="s">
        <v>28</v>
      </c>
      <c r="D92" s="39" t="s">
        <v>129</v>
      </c>
      <c r="E92" s="24">
        <v>319.9257692307692</v>
      </c>
      <c r="F92" s="123">
        <v>342.3205730769231</v>
      </c>
      <c r="G92" s="45"/>
      <c r="H92" s="480"/>
      <c r="J92" s="194"/>
      <c r="R92" s="45"/>
    </row>
    <row r="93" spans="1:18" ht="12.75">
      <c r="A93" s="486">
        <v>1</v>
      </c>
      <c r="B93" s="21" t="s">
        <v>69</v>
      </c>
      <c r="C93" s="21" t="s">
        <v>28</v>
      </c>
      <c r="D93" s="39" t="s">
        <v>129</v>
      </c>
      <c r="E93" s="24">
        <v>178.6260576923077</v>
      </c>
      <c r="F93" s="123">
        <v>191.12988173076926</v>
      </c>
      <c r="G93" s="45"/>
      <c r="H93" s="480"/>
      <c r="J93" s="194"/>
      <c r="R93" s="45"/>
    </row>
    <row r="94" spans="1:18" ht="12.75">
      <c r="A94" s="486"/>
      <c r="G94" s="45"/>
      <c r="H94" s="480"/>
      <c r="J94" s="194"/>
      <c r="R94" s="45"/>
    </row>
    <row r="95" spans="1:18" ht="12.75">
      <c r="A95" s="486"/>
      <c r="B95" s="21"/>
      <c r="C95" s="21"/>
      <c r="D95" s="39"/>
      <c r="E95" s="757"/>
      <c r="F95" s="184"/>
      <c r="G95" s="45"/>
      <c r="H95" s="480"/>
      <c r="J95" s="194"/>
      <c r="R95" s="45"/>
    </row>
    <row r="96" spans="1:18" ht="12.75">
      <c r="A96" s="486"/>
      <c r="B96" s="21"/>
      <c r="C96" s="21"/>
      <c r="D96" s="39"/>
      <c r="E96" s="757"/>
      <c r="F96" s="184"/>
      <c r="G96" s="45"/>
      <c r="H96" s="480"/>
      <c r="J96" s="194"/>
      <c r="R96" s="45"/>
    </row>
    <row r="97" spans="1:18" ht="12.75">
      <c r="A97" s="486"/>
      <c r="B97" s="21" t="s">
        <v>621</v>
      </c>
      <c r="C97" s="21" t="s">
        <v>622</v>
      </c>
      <c r="D97" s="39" t="s">
        <v>623</v>
      </c>
      <c r="E97" s="757">
        <f>(R78+R83)</f>
        <v>307.40223076923075</v>
      </c>
      <c r="F97" s="184">
        <f>(S78+S83)</f>
        <v>328.92038692307693</v>
      </c>
      <c r="G97" s="45"/>
      <c r="H97" s="480"/>
      <c r="J97" s="194"/>
      <c r="R97" s="45"/>
    </row>
    <row r="98" spans="1:18" ht="12.75">
      <c r="A98" s="486"/>
      <c r="B98" s="21" t="s">
        <v>625</v>
      </c>
      <c r="C98" s="21" t="s">
        <v>622</v>
      </c>
      <c r="D98" s="39" t="s">
        <v>623</v>
      </c>
      <c r="E98" s="757">
        <f>+R79+R84</f>
        <v>1801.5156923076925</v>
      </c>
      <c r="F98" s="184">
        <f>+S79+S84</f>
        <v>1927.6217907692312</v>
      </c>
      <c r="G98" s="45"/>
      <c r="H98" s="480"/>
      <c r="J98" s="194"/>
      <c r="R98" s="45"/>
    </row>
    <row r="99" spans="1:18" ht="12.75">
      <c r="A99" s="486"/>
      <c r="B99" s="21"/>
      <c r="C99" s="21"/>
      <c r="D99" s="39"/>
      <c r="E99" s="757"/>
      <c r="F99" s="184"/>
      <c r="G99" s="45"/>
      <c r="H99" s="480"/>
      <c r="J99" s="194"/>
      <c r="R99" s="45"/>
    </row>
    <row r="100" spans="1:18" ht="12.75">
      <c r="A100" s="486"/>
      <c r="B100" s="21"/>
      <c r="C100" s="21"/>
      <c r="D100" s="39"/>
      <c r="E100" s="757"/>
      <c r="F100" s="184"/>
      <c r="G100" s="45"/>
      <c r="H100" s="480"/>
      <c r="J100" s="194"/>
      <c r="R100" s="45"/>
    </row>
    <row r="101" spans="1:18" ht="12.75">
      <c r="A101" s="486">
        <v>1</v>
      </c>
      <c r="B101" s="21" t="s">
        <v>618</v>
      </c>
      <c r="C101" s="21" t="s">
        <v>29</v>
      </c>
      <c r="D101" s="39" t="s">
        <v>281</v>
      </c>
      <c r="E101" s="25">
        <v>416.11843000000005</v>
      </c>
      <c r="F101" s="160">
        <f>+K123</f>
        <v>867.754623280004</v>
      </c>
      <c r="G101" s="372">
        <v>336.76</v>
      </c>
      <c r="H101" s="489">
        <f>+MAX(E101,G101)*(1+(F$2*1))</f>
        <v>433.5954040600001</v>
      </c>
      <c r="J101" s="194"/>
      <c r="R101" s="45"/>
    </row>
    <row r="102" spans="1:10" ht="23.25">
      <c r="A102" s="486">
        <v>1</v>
      </c>
      <c r="B102" s="21" t="s">
        <v>619</v>
      </c>
      <c r="C102" s="21" t="s">
        <v>29</v>
      </c>
      <c r="D102" s="39" t="s">
        <v>281</v>
      </c>
      <c r="E102" s="25">
        <v>806.2620644</v>
      </c>
      <c r="F102" s="160">
        <f>+P123</f>
        <v>686.0698232800039</v>
      </c>
      <c r="G102" s="372">
        <v>856.72</v>
      </c>
      <c r="H102" s="489">
        <f>+MAX(E102,G102)*(1+(F$2*1))</f>
        <v>892.7022400000001</v>
      </c>
      <c r="J102" s="195" t="s">
        <v>309</v>
      </c>
    </row>
    <row r="103" spans="1:9" ht="12.75">
      <c r="A103" s="486">
        <v>1</v>
      </c>
      <c r="B103" s="21" t="s">
        <v>620</v>
      </c>
      <c r="C103" s="21" t="s">
        <v>30</v>
      </c>
      <c r="D103" s="39" t="s">
        <v>281</v>
      </c>
      <c r="E103" s="25">
        <v>213.20000000000002</v>
      </c>
      <c r="F103" s="160">
        <f>+E103*(1+F$2)</f>
        <v>222.15440000000004</v>
      </c>
      <c r="G103" s="372">
        <v>1320</v>
      </c>
      <c r="H103" s="489">
        <f>+MAX(E103,G103)*(1+(F$2*1))</f>
        <v>1375.44</v>
      </c>
      <c r="I103" s="2" t="s">
        <v>352</v>
      </c>
    </row>
    <row r="104" spans="1:10" ht="13.5" thickBot="1">
      <c r="A104" s="485"/>
      <c r="B104" s="17"/>
      <c r="C104" s="17"/>
      <c r="D104" s="17"/>
      <c r="E104" s="26"/>
      <c r="F104" s="74"/>
      <c r="G104" s="45"/>
      <c r="H104" s="480"/>
      <c r="J104" s="194" t="s">
        <v>517</v>
      </c>
    </row>
    <row r="105" spans="1:17" ht="15.75">
      <c r="A105" s="486"/>
      <c r="B105" s="807" t="s">
        <v>31</v>
      </c>
      <c r="C105" s="808"/>
      <c r="D105" s="808"/>
      <c r="E105" s="808"/>
      <c r="F105" s="809"/>
      <c r="G105" s="45"/>
      <c r="H105" s="480"/>
      <c r="J105" s="168" t="s">
        <v>282</v>
      </c>
      <c r="K105" s="173">
        <v>180.5</v>
      </c>
      <c r="L105" s="173"/>
      <c r="M105" s="169"/>
      <c r="N105" s="169" t="s">
        <v>283</v>
      </c>
      <c r="O105" s="173"/>
      <c r="P105" s="173">
        <v>180.5</v>
      </c>
      <c r="Q105" s="173"/>
    </row>
    <row r="106" spans="1:17" ht="12.75">
      <c r="A106" s="486"/>
      <c r="B106" s="21"/>
      <c r="C106" s="21"/>
      <c r="D106" s="21"/>
      <c r="E106" s="28"/>
      <c r="F106" s="59"/>
      <c r="G106" s="45"/>
      <c r="H106" s="480"/>
      <c r="J106" s="170" t="s">
        <v>290</v>
      </c>
      <c r="K106" s="174"/>
      <c r="L106" s="174">
        <f>1005.513994</f>
        <v>1005.513994</v>
      </c>
      <c r="M106" s="45"/>
      <c r="N106" s="45" t="s">
        <v>290</v>
      </c>
      <c r="O106" s="174"/>
      <c r="P106" s="174"/>
      <c r="Q106" s="174">
        <f>1005.513994</f>
        <v>1005.513994</v>
      </c>
    </row>
    <row r="107" spans="1:17" ht="13.5">
      <c r="A107" s="486" t="s">
        <v>1</v>
      </c>
      <c r="B107" s="14" t="s">
        <v>39</v>
      </c>
      <c r="C107" s="14"/>
      <c r="D107" s="15"/>
      <c r="E107" s="16" t="str">
        <f>E$11</f>
        <v>2020/2021</v>
      </c>
      <c r="F107" s="71" t="str">
        <f>F$11</f>
        <v>2021/2022</v>
      </c>
      <c r="G107" s="45"/>
      <c r="H107" s="480"/>
      <c r="J107" s="170" t="s">
        <v>285</v>
      </c>
      <c r="K107" s="174"/>
      <c r="L107" s="174">
        <v>68.7416666667</v>
      </c>
      <c r="M107" s="45"/>
      <c r="N107" s="45" t="s">
        <v>285</v>
      </c>
      <c r="O107" s="174"/>
      <c r="P107" s="174"/>
      <c r="Q107" s="174">
        <v>68.7416666667</v>
      </c>
    </row>
    <row r="108" spans="1:17" ht="13.5">
      <c r="A108" s="486"/>
      <c r="B108" s="21"/>
      <c r="C108" s="17"/>
      <c r="D108" s="20" t="s">
        <v>27</v>
      </c>
      <c r="E108" s="19" t="s">
        <v>40</v>
      </c>
      <c r="F108" s="361" t="s">
        <v>356</v>
      </c>
      <c r="G108" s="45"/>
      <c r="H108" s="496"/>
      <c r="J108" s="170" t="s">
        <v>284</v>
      </c>
      <c r="K108" s="174">
        <v>154.29</v>
      </c>
      <c r="L108" s="174">
        <v>528.5537</v>
      </c>
      <c r="M108" s="45"/>
      <c r="N108" s="45" t="s">
        <v>284</v>
      </c>
      <c r="O108" s="174"/>
      <c r="P108" s="174">
        <v>154.29</v>
      </c>
      <c r="Q108" s="174">
        <v>528.5537</v>
      </c>
    </row>
    <row r="109" spans="1:17" ht="12.75">
      <c r="A109" s="486"/>
      <c r="B109" s="21"/>
      <c r="C109" s="21"/>
      <c r="D109" s="39"/>
      <c r="E109" s="651"/>
      <c r="F109" s="166">
        <f>+F2</f>
        <v>0.042</v>
      </c>
      <c r="G109" s="45"/>
      <c r="H109" s="480"/>
      <c r="J109" s="170" t="s">
        <v>291</v>
      </c>
      <c r="K109" s="200"/>
      <c r="L109" s="200">
        <v>510.5</v>
      </c>
      <c r="M109" s="45"/>
      <c r="N109" s="45" t="s">
        <v>291</v>
      </c>
      <c r="O109" s="174"/>
      <c r="P109" s="200"/>
      <c r="Q109" s="200">
        <v>510.5</v>
      </c>
    </row>
    <row r="110" spans="1:17" ht="12.75">
      <c r="A110" s="486">
        <v>1</v>
      </c>
      <c r="B110" s="21" t="s">
        <v>46</v>
      </c>
      <c r="C110" s="21" t="s">
        <v>32</v>
      </c>
      <c r="D110" s="39">
        <v>2302</v>
      </c>
      <c r="E110" s="83">
        <v>38.7934242393</v>
      </c>
      <c r="F110" s="167">
        <f>+E110*(1+F$109)</f>
        <v>40.4227480573506</v>
      </c>
      <c r="G110" s="607"/>
      <c r="H110" s="480"/>
      <c r="J110" s="171"/>
      <c r="K110" s="174">
        <f>SUM(K105:K109)</f>
        <v>334.78999999999996</v>
      </c>
      <c r="L110" s="174">
        <f>SUM(L106:L109)</f>
        <v>2113.3093606667003</v>
      </c>
      <c r="M110" s="178" t="s">
        <v>289</v>
      </c>
      <c r="N110" s="178"/>
      <c r="O110" s="174"/>
      <c r="P110" s="174">
        <f>SUM(P105:P109)</f>
        <v>334.78999999999996</v>
      </c>
      <c r="Q110" s="176">
        <f>SUM(Q106:Q109)</f>
        <v>2113.3093606667003</v>
      </c>
    </row>
    <row r="111" spans="1:17" ht="13.5" thickBot="1">
      <c r="A111" s="486">
        <v>1</v>
      </c>
      <c r="B111" s="21" t="s">
        <v>47</v>
      </c>
      <c r="C111" s="21" t="s">
        <v>28</v>
      </c>
      <c r="D111" s="39">
        <v>1302</v>
      </c>
      <c r="E111" s="83">
        <v>188.792792275</v>
      </c>
      <c r="F111" s="167">
        <f>+E111*(1+F$109)</f>
        <v>196.72208955055</v>
      </c>
      <c r="G111" s="45"/>
      <c r="H111" s="480"/>
      <c r="J111" s="170"/>
      <c r="K111" s="363">
        <v>100</v>
      </c>
      <c r="L111" s="363">
        <v>12</v>
      </c>
      <c r="M111" s="45" t="s">
        <v>289</v>
      </c>
      <c r="N111" s="45"/>
      <c r="O111" s="680"/>
      <c r="P111" s="202">
        <v>88</v>
      </c>
      <c r="Q111" s="678">
        <v>12</v>
      </c>
    </row>
    <row r="112" spans="1:17" ht="12.75">
      <c r="A112" s="486"/>
      <c r="B112" s="21"/>
      <c r="C112" s="21"/>
      <c r="D112" s="39"/>
      <c r="E112" s="83"/>
      <c r="F112" s="167"/>
      <c r="G112" s="45"/>
      <c r="H112" s="480"/>
      <c r="J112" s="179" t="s">
        <v>293</v>
      </c>
      <c r="K112" s="180">
        <f>+K111*K110</f>
        <v>33479</v>
      </c>
      <c r="L112" s="180">
        <f>+L110*L111</f>
        <v>25359.7123280004</v>
      </c>
      <c r="M112" s="46"/>
      <c r="N112" s="179" t="s">
        <v>293</v>
      </c>
      <c r="O112" s="180"/>
      <c r="P112" s="180">
        <f>+P111*P110</f>
        <v>29461.519999999997</v>
      </c>
      <c r="Q112" s="181">
        <f>+Q110*Q111</f>
        <v>25359.7123280004</v>
      </c>
    </row>
    <row r="113" spans="1:17" ht="12.75">
      <c r="A113" s="486"/>
      <c r="B113" s="21"/>
      <c r="C113" s="21"/>
      <c r="D113" s="39"/>
      <c r="E113" s="83"/>
      <c r="F113" s="167"/>
      <c r="G113" s="45"/>
      <c r="H113" s="480"/>
      <c r="J113" s="170"/>
      <c r="K113" s="174"/>
      <c r="L113" s="174"/>
      <c r="M113" s="45"/>
      <c r="N113" s="45"/>
      <c r="O113" s="174"/>
      <c r="P113" s="174"/>
      <c r="Q113" s="176"/>
    </row>
    <row r="114" spans="1:17" ht="12.75">
      <c r="A114" s="486">
        <v>1</v>
      </c>
      <c r="B114" s="21" t="s">
        <v>48</v>
      </c>
      <c r="C114" s="21" t="s">
        <v>32</v>
      </c>
      <c r="D114" s="39">
        <v>2309</v>
      </c>
      <c r="E114" s="83">
        <v>21.5567151689</v>
      </c>
      <c r="F114" s="167">
        <f>+E114*(1+F$109)</f>
        <v>22.4620972059938</v>
      </c>
      <c r="G114" s="45"/>
      <c r="H114" s="480"/>
      <c r="J114" s="170" t="s">
        <v>286</v>
      </c>
      <c r="K114" s="174">
        <v>157.5</v>
      </c>
      <c r="L114" s="174"/>
      <c r="M114" s="45"/>
      <c r="N114" s="45" t="s">
        <v>286</v>
      </c>
      <c r="O114" s="174"/>
      <c r="P114" s="174">
        <v>15.99</v>
      </c>
      <c r="Q114" s="176"/>
    </row>
    <row r="115" spans="1:17" ht="12.75">
      <c r="A115" s="486">
        <v>1</v>
      </c>
      <c r="B115" s="21" t="s">
        <v>49</v>
      </c>
      <c r="C115" s="21" t="s">
        <v>28</v>
      </c>
      <c r="D115" s="39">
        <v>1309</v>
      </c>
      <c r="E115" s="83">
        <v>188.403346576</v>
      </c>
      <c r="F115" s="167">
        <f>+E115*(1+F$109)</f>
        <v>196.316287132192</v>
      </c>
      <c r="G115" s="45"/>
      <c r="H115" s="480"/>
      <c r="J115" s="170" t="s">
        <v>287</v>
      </c>
      <c r="K115" s="200">
        <v>32.72</v>
      </c>
      <c r="L115" s="174"/>
      <c r="M115" s="45"/>
      <c r="N115" s="45" t="s">
        <v>287</v>
      </c>
      <c r="O115" s="174"/>
      <c r="P115" s="200">
        <v>32.72</v>
      </c>
      <c r="Q115" s="176"/>
    </row>
    <row r="116" spans="1:17" ht="12.75">
      <c r="A116" s="486"/>
      <c r="B116" s="21"/>
      <c r="C116" s="21"/>
      <c r="D116" s="39"/>
      <c r="E116" s="83"/>
      <c r="F116" s="167"/>
      <c r="G116" s="45"/>
      <c r="H116" s="480"/>
      <c r="J116" s="170"/>
      <c r="K116" s="174">
        <f>SUM(K113:K115)</f>
        <v>190.22</v>
      </c>
      <c r="L116" s="175"/>
      <c r="M116" s="45"/>
      <c r="N116" s="45"/>
      <c r="O116" s="174"/>
      <c r="P116" s="174">
        <f>SUM(P113:P115)</f>
        <v>48.71</v>
      </c>
      <c r="Q116" s="177"/>
    </row>
    <row r="117" spans="1:17" ht="13.5" thickBot="1">
      <c r="A117" s="486">
        <v>1</v>
      </c>
      <c r="B117" s="21" t="s">
        <v>50</v>
      </c>
      <c r="C117" s="21" t="s">
        <v>32</v>
      </c>
      <c r="D117" s="39">
        <v>2309</v>
      </c>
      <c r="E117" s="83">
        <v>22.5567151689</v>
      </c>
      <c r="F117" s="167">
        <f>+E117*(1+F$109)</f>
        <v>23.504097205993798</v>
      </c>
      <c r="G117" s="45"/>
      <c r="H117" s="480"/>
      <c r="J117" s="170"/>
      <c r="K117" s="202">
        <v>100</v>
      </c>
      <c r="L117" s="174" t="s">
        <v>289</v>
      </c>
      <c r="M117" s="45"/>
      <c r="N117" s="45"/>
      <c r="O117" s="680"/>
      <c r="P117" s="202">
        <v>100</v>
      </c>
      <c r="Q117" s="176" t="s">
        <v>289</v>
      </c>
    </row>
    <row r="118" spans="1:17" ht="13.5" thickBot="1">
      <c r="A118" s="486">
        <v>1</v>
      </c>
      <c r="B118" s="21" t="s">
        <v>51</v>
      </c>
      <c r="C118" s="21" t="s">
        <v>28</v>
      </c>
      <c r="D118" s="39">
        <v>1309</v>
      </c>
      <c r="E118" s="83">
        <v>188.403346576</v>
      </c>
      <c r="F118" s="167">
        <f>+E118*(1+F$109)</f>
        <v>196.316287132192</v>
      </c>
      <c r="G118" s="45"/>
      <c r="H118" s="480"/>
      <c r="J118" s="179" t="s">
        <v>294</v>
      </c>
      <c r="K118" s="203">
        <f>+K117*K116</f>
        <v>19022</v>
      </c>
      <c r="L118" s="180"/>
      <c r="M118" s="46"/>
      <c r="N118" s="179" t="s">
        <v>294</v>
      </c>
      <c r="O118" s="180"/>
      <c r="P118" s="203">
        <f>+P117*P116</f>
        <v>4871</v>
      </c>
      <c r="Q118" s="181"/>
    </row>
    <row r="119" spans="1:17" ht="13.5" thickBot="1">
      <c r="A119" s="486"/>
      <c r="B119" s="21"/>
      <c r="C119" s="21"/>
      <c r="D119" s="39"/>
      <c r="E119" s="24"/>
      <c r="F119" s="167"/>
      <c r="G119" s="45"/>
      <c r="H119" s="480"/>
      <c r="J119" s="179" t="s">
        <v>44</v>
      </c>
      <c r="K119" s="203">
        <f>+K118+K112+L112</f>
        <v>77860.7123280004</v>
      </c>
      <c r="L119" s="180"/>
      <c r="M119" s="46"/>
      <c r="N119" s="179" t="s">
        <v>44</v>
      </c>
      <c r="O119" s="180"/>
      <c r="P119" s="203">
        <f>+P118+P112+Q112</f>
        <v>59692.2323280004</v>
      </c>
      <c r="Q119" s="181"/>
    </row>
    <row r="120" spans="1:17" ht="13.5" thickBot="1">
      <c r="A120" s="486"/>
      <c r="B120" s="21"/>
      <c r="C120" s="21"/>
      <c r="D120" s="39"/>
      <c r="E120" s="24"/>
      <c r="F120" s="167"/>
      <c r="G120" s="45"/>
      <c r="H120" s="480"/>
      <c r="J120" s="170" t="s">
        <v>292</v>
      </c>
      <c r="K120" s="204">
        <v>8914.75</v>
      </c>
      <c r="L120" s="174"/>
      <c r="M120" s="45"/>
      <c r="N120" s="45" t="s">
        <v>292</v>
      </c>
      <c r="O120" s="174"/>
      <c r="P120" s="204">
        <v>8914.75</v>
      </c>
      <c r="Q120" s="176"/>
    </row>
    <row r="121" spans="1:17" ht="13.5" thickTop="1">
      <c r="A121" s="486">
        <v>1</v>
      </c>
      <c r="B121" s="21" t="s">
        <v>52</v>
      </c>
      <c r="C121" s="21" t="s">
        <v>33</v>
      </c>
      <c r="D121" s="39">
        <v>2312</v>
      </c>
      <c r="E121" s="24">
        <v>150.96243675</v>
      </c>
      <c r="F121" s="167">
        <f>+E121*(1+F$109)</f>
        <v>157.3028590935</v>
      </c>
      <c r="G121" s="45"/>
      <c r="H121" s="480"/>
      <c r="J121" s="171" t="s">
        <v>295</v>
      </c>
      <c r="K121" s="200">
        <f>SUM(K119:K120)</f>
        <v>86775.4623280004</v>
      </c>
      <c r="L121" s="174"/>
      <c r="M121" s="45"/>
      <c r="N121" s="45"/>
      <c r="O121" s="174"/>
      <c r="P121" s="200">
        <f>SUM(P119:P120)</f>
        <v>68606.98232800039</v>
      </c>
      <c r="Q121" s="176"/>
    </row>
    <row r="122" spans="1:17" ht="13.5" thickBot="1">
      <c r="A122" s="486">
        <v>1</v>
      </c>
      <c r="B122" s="21" t="s">
        <v>53</v>
      </c>
      <c r="C122" s="21" t="s">
        <v>38</v>
      </c>
      <c r="D122" s="39">
        <v>1312</v>
      </c>
      <c r="E122" s="24">
        <v>25.9849442075</v>
      </c>
      <c r="F122" s="167">
        <f>+E122*(1+F$109)</f>
        <v>27.076311864215</v>
      </c>
      <c r="G122" s="45"/>
      <c r="H122" s="480"/>
      <c r="J122" s="679" t="s">
        <v>475</v>
      </c>
      <c r="K122" s="201">
        <v>100</v>
      </c>
      <c r="L122" s="174" t="s">
        <v>289</v>
      </c>
      <c r="M122" s="45"/>
      <c r="N122" s="679" t="s">
        <v>475</v>
      </c>
      <c r="O122" s="174"/>
      <c r="P122" s="201">
        <v>100</v>
      </c>
      <c r="Q122" s="176" t="s">
        <v>289</v>
      </c>
    </row>
    <row r="123" spans="1:17" ht="13.5" thickBot="1">
      <c r="A123" s="483"/>
      <c r="B123" s="13"/>
      <c r="C123" s="13"/>
      <c r="D123" s="13"/>
      <c r="E123" s="42"/>
      <c r="F123" s="75"/>
      <c r="G123" s="45"/>
      <c r="H123" s="480"/>
      <c r="J123" s="172"/>
      <c r="K123" s="182">
        <f>+K121/K122</f>
        <v>867.754623280004</v>
      </c>
      <c r="L123" s="182" t="s">
        <v>288</v>
      </c>
      <c r="M123" s="182"/>
      <c r="N123" s="182"/>
      <c r="O123" s="182"/>
      <c r="P123" s="182">
        <f>+P121/P122</f>
        <v>686.0698232800039</v>
      </c>
      <c r="Q123" s="183" t="s">
        <v>288</v>
      </c>
    </row>
    <row r="124" spans="1:8" ht="15.75">
      <c r="A124" s="486"/>
      <c r="B124" s="807" t="s">
        <v>94</v>
      </c>
      <c r="C124" s="808"/>
      <c r="D124" s="808"/>
      <c r="E124" s="808"/>
      <c r="F124" s="809"/>
      <c r="G124" s="45"/>
      <c r="H124" s="480"/>
    </row>
    <row r="125" spans="1:8" ht="12.75">
      <c r="A125" s="486"/>
      <c r="B125" s="21"/>
      <c r="C125" s="21"/>
      <c r="D125" s="21"/>
      <c r="E125" s="28"/>
      <c r="F125" s="59"/>
      <c r="G125" s="45"/>
      <c r="H125" s="480"/>
    </row>
    <row r="126" spans="1:10" ht="14.25" thickBot="1">
      <c r="A126" s="486" t="s">
        <v>1</v>
      </c>
      <c r="B126" s="14" t="s">
        <v>39</v>
      </c>
      <c r="C126" s="14"/>
      <c r="D126" s="15"/>
      <c r="E126" s="16" t="str">
        <f>E$11</f>
        <v>2020/2021</v>
      </c>
      <c r="F126" s="71" t="str">
        <f>F$11</f>
        <v>2021/2022</v>
      </c>
      <c r="G126" s="45"/>
      <c r="H126" s="480"/>
      <c r="J126" s="653">
        <v>42675</v>
      </c>
    </row>
    <row r="127" spans="1:23" ht="14.25" thickBot="1">
      <c r="A127" s="486"/>
      <c r="B127" s="14"/>
      <c r="C127" s="14"/>
      <c r="D127" s="15"/>
      <c r="E127" s="16"/>
      <c r="F127" s="166" t="s">
        <v>356</v>
      </c>
      <c r="G127" s="45"/>
      <c r="H127" s="480"/>
      <c r="J127" s="562"/>
      <c r="S127" s="564" t="s">
        <v>383</v>
      </c>
      <c r="T127" s="564" t="s">
        <v>384</v>
      </c>
      <c r="U127" s="564" t="s">
        <v>385</v>
      </c>
      <c r="V127" s="564" t="s">
        <v>386</v>
      </c>
      <c r="W127" s="564" t="s">
        <v>387</v>
      </c>
    </row>
    <row r="128" spans="1:23" ht="14.25" thickBot="1">
      <c r="A128" s="486"/>
      <c r="B128" s="21"/>
      <c r="C128" s="17"/>
      <c r="D128" s="20"/>
      <c r="E128" s="19"/>
      <c r="F128" s="166">
        <v>0.1</v>
      </c>
      <c r="G128" s="45"/>
      <c r="H128" s="480"/>
      <c r="J128" s="563" t="s">
        <v>374</v>
      </c>
      <c r="K128" s="564" t="s">
        <v>375</v>
      </c>
      <c r="L128" s="564" t="s">
        <v>376</v>
      </c>
      <c r="M128" s="564" t="s">
        <v>377</v>
      </c>
      <c r="N128" s="564" t="s">
        <v>378</v>
      </c>
      <c r="O128" s="564" t="s">
        <v>379</v>
      </c>
      <c r="P128" s="564" t="s">
        <v>380</v>
      </c>
      <c r="Q128" s="564" t="s">
        <v>381</v>
      </c>
      <c r="R128" s="564" t="s">
        <v>382</v>
      </c>
      <c r="S128" s="566" t="s">
        <v>394</v>
      </c>
      <c r="T128" s="566" t="s">
        <v>395</v>
      </c>
      <c r="U128" s="567">
        <v>14072</v>
      </c>
      <c r="V128" s="567">
        <v>2091.75</v>
      </c>
      <c r="W128" s="567">
        <v>0.148646</v>
      </c>
    </row>
    <row r="129" spans="1:23" ht="13.5" thickBot="1">
      <c r="A129" s="486"/>
      <c r="B129" s="23" t="s">
        <v>204</v>
      </c>
      <c r="C129" s="21"/>
      <c r="D129" s="39"/>
      <c r="E129" s="24"/>
      <c r="F129" s="59"/>
      <c r="G129" s="45"/>
      <c r="H129" s="480"/>
      <c r="J129" s="565" t="s">
        <v>388</v>
      </c>
      <c r="K129" s="566" t="s">
        <v>389</v>
      </c>
      <c r="L129" s="566" t="s">
        <v>390</v>
      </c>
      <c r="M129" s="566" t="s">
        <v>391</v>
      </c>
      <c r="N129" s="566" t="s">
        <v>392</v>
      </c>
      <c r="O129" s="566" t="s">
        <v>393</v>
      </c>
      <c r="P129" s="567">
        <v>65830</v>
      </c>
      <c r="Q129" s="567">
        <v>112.25</v>
      </c>
      <c r="R129" s="567">
        <v>1421.15</v>
      </c>
      <c r="S129" s="566" t="s">
        <v>394</v>
      </c>
      <c r="T129" s="566" t="s">
        <v>400</v>
      </c>
      <c r="U129" s="567">
        <v>208</v>
      </c>
      <c r="V129" s="567">
        <v>1023.51</v>
      </c>
      <c r="W129" s="567">
        <v>4.920721</v>
      </c>
    </row>
    <row r="130" spans="1:23" ht="13.5" thickBot="1">
      <c r="A130" s="486">
        <v>4.1</v>
      </c>
      <c r="B130" s="21" t="s">
        <v>119</v>
      </c>
      <c r="C130" s="21" t="s">
        <v>95</v>
      </c>
      <c r="D130" s="39"/>
      <c r="E130" s="24">
        <v>1049.94</v>
      </c>
      <c r="F130" s="606">
        <f>+E130*(1+F$128)</f>
        <v>1154.9340000000002</v>
      </c>
      <c r="G130" s="681"/>
      <c r="H130" s="480"/>
      <c r="J130" s="565" t="s">
        <v>396</v>
      </c>
      <c r="K130" s="566" t="s">
        <v>397</v>
      </c>
      <c r="L130" s="566" t="s">
        <v>390</v>
      </c>
      <c r="M130" s="566" t="s">
        <v>398</v>
      </c>
      <c r="N130" s="566" t="s">
        <v>399</v>
      </c>
      <c r="O130" s="566" t="s">
        <v>393</v>
      </c>
      <c r="P130" s="567">
        <v>155227</v>
      </c>
      <c r="Q130" s="567">
        <v>50.24</v>
      </c>
      <c r="R130" s="567">
        <v>647.71</v>
      </c>
      <c r="S130" s="566" t="s">
        <v>394</v>
      </c>
      <c r="T130" s="566" t="s">
        <v>404</v>
      </c>
      <c r="U130" s="567">
        <v>2397</v>
      </c>
      <c r="V130" s="567">
        <v>7074.95</v>
      </c>
      <c r="W130" s="567">
        <v>2.951585</v>
      </c>
    </row>
    <row r="131" spans="1:23" ht="13.5" thickBot="1">
      <c r="A131" s="486">
        <v>4.2</v>
      </c>
      <c r="B131" s="21" t="s">
        <v>120</v>
      </c>
      <c r="C131" s="21" t="s">
        <v>95</v>
      </c>
      <c r="D131" s="39"/>
      <c r="E131" s="24">
        <v>804.25</v>
      </c>
      <c r="F131" s="606">
        <f>+E131*(1+F$128)</f>
        <v>884.6750000000001</v>
      </c>
      <c r="G131" s="45"/>
      <c r="H131" s="480"/>
      <c r="J131" s="565" t="s">
        <v>401</v>
      </c>
      <c r="K131" s="566" t="s">
        <v>402</v>
      </c>
      <c r="L131" s="566" t="s">
        <v>390</v>
      </c>
      <c r="M131" s="566" t="s">
        <v>398</v>
      </c>
      <c r="N131" s="566" t="s">
        <v>403</v>
      </c>
      <c r="O131" s="566" t="s">
        <v>393</v>
      </c>
      <c r="P131" s="567">
        <v>370378</v>
      </c>
      <c r="Q131" s="567">
        <v>60.85</v>
      </c>
      <c r="R131" s="567">
        <v>747.85</v>
      </c>
      <c r="S131" s="566" t="s">
        <v>394</v>
      </c>
      <c r="T131" s="566" t="s">
        <v>408</v>
      </c>
      <c r="U131" s="567">
        <v>341</v>
      </c>
      <c r="V131" s="567">
        <v>4035.2</v>
      </c>
      <c r="W131" s="567">
        <v>11.83343</v>
      </c>
    </row>
    <row r="132" spans="1:18" ht="13.5" thickBot="1">
      <c r="A132" s="486">
        <v>4.2</v>
      </c>
      <c r="B132" s="21" t="s">
        <v>121</v>
      </c>
      <c r="C132" s="21" t="s">
        <v>95</v>
      </c>
      <c r="D132" s="39"/>
      <c r="E132" s="24">
        <v>904.23</v>
      </c>
      <c r="F132" s="606">
        <f>+E132*(1+F$128)</f>
        <v>994.6530000000001</v>
      </c>
      <c r="G132" s="45"/>
      <c r="H132" s="480"/>
      <c r="J132" s="565" t="s">
        <v>405</v>
      </c>
      <c r="K132" s="566" t="s">
        <v>406</v>
      </c>
      <c r="L132" s="566" t="s">
        <v>390</v>
      </c>
      <c r="M132" s="566" t="s">
        <v>407</v>
      </c>
      <c r="N132" s="566" t="s">
        <v>403</v>
      </c>
      <c r="O132" s="566" t="s">
        <v>393</v>
      </c>
      <c r="P132" s="567">
        <v>177285</v>
      </c>
      <c r="Q132" s="567">
        <v>66.69</v>
      </c>
      <c r="R132" s="567">
        <v>861.65</v>
      </c>
    </row>
    <row r="133" spans="1:10" ht="18.75" customHeight="1">
      <c r="A133" s="486">
        <v>4.3</v>
      </c>
      <c r="B133" s="21" t="s">
        <v>122</v>
      </c>
      <c r="C133" s="21" t="s">
        <v>95</v>
      </c>
      <c r="D133" s="39"/>
      <c r="E133" s="24">
        <v>376.14</v>
      </c>
      <c r="F133" s="606">
        <f>+E133*(1+F$128)</f>
        <v>413.754</v>
      </c>
      <c r="G133" s="45"/>
      <c r="H133" s="480"/>
      <c r="J133" s="562"/>
    </row>
    <row r="134" spans="1:14" ht="12.75">
      <c r="A134" s="486"/>
      <c r="B134" s="21"/>
      <c r="C134" s="21"/>
      <c r="D134" s="39"/>
      <c r="E134" s="24"/>
      <c r="F134" s="606"/>
      <c r="G134" s="45"/>
      <c r="H134" s="480"/>
      <c r="J134" s="792" t="s">
        <v>409</v>
      </c>
      <c r="K134" s="792"/>
      <c r="L134" s="792"/>
      <c r="M134" s="792"/>
      <c r="N134" s="792"/>
    </row>
    <row r="135" spans="1:14" ht="12.75">
      <c r="A135" s="486"/>
      <c r="B135" s="23" t="s">
        <v>203</v>
      </c>
      <c r="C135" s="21"/>
      <c r="D135" s="39"/>
      <c r="E135" s="24"/>
      <c r="F135" s="606"/>
      <c r="G135" s="45"/>
      <c r="H135" s="480"/>
      <c r="J135" s="792"/>
      <c r="K135" s="792"/>
      <c r="L135" s="792"/>
      <c r="M135" s="792"/>
      <c r="N135" s="792"/>
    </row>
    <row r="136" spans="1:14" ht="12.75">
      <c r="A136" s="497">
        <v>4.1</v>
      </c>
      <c r="B136" s="21" t="s">
        <v>123</v>
      </c>
      <c r="C136" s="43" t="s">
        <v>95</v>
      </c>
      <c r="D136" s="44"/>
      <c r="E136" s="24">
        <v>1049.94</v>
      </c>
      <c r="F136" s="606">
        <f>+E136*(1+F$128)</f>
        <v>1154.9340000000002</v>
      </c>
      <c r="G136" s="45"/>
      <c r="H136" s="480"/>
      <c r="J136" s="792"/>
      <c r="K136" s="792"/>
      <c r="L136" s="792"/>
      <c r="M136" s="792"/>
      <c r="N136" s="792"/>
    </row>
    <row r="137" spans="1:14" ht="12.75">
      <c r="A137" s="497">
        <v>4.2</v>
      </c>
      <c r="B137" s="21" t="s">
        <v>124</v>
      </c>
      <c r="C137" s="43" t="s">
        <v>95</v>
      </c>
      <c r="D137" s="44"/>
      <c r="E137" s="24">
        <v>883.55</v>
      </c>
      <c r="F137" s="606">
        <f>+E137*(1+F$128)</f>
        <v>971.905</v>
      </c>
      <c r="G137" s="45"/>
      <c r="H137" s="480"/>
      <c r="J137" s="792"/>
      <c r="K137" s="792"/>
      <c r="L137" s="792"/>
      <c r="M137" s="792"/>
      <c r="N137" s="792"/>
    </row>
    <row r="138" spans="1:14" ht="12.75">
      <c r="A138" s="497">
        <v>4.2</v>
      </c>
      <c r="B138" s="21" t="s">
        <v>125</v>
      </c>
      <c r="C138" s="43" t="s">
        <v>95</v>
      </c>
      <c r="D138" s="44"/>
      <c r="E138" s="24">
        <v>1449.44</v>
      </c>
      <c r="F138" s="606">
        <f>+E138*(1+F$128)</f>
        <v>1594.3840000000002</v>
      </c>
      <c r="G138" s="45"/>
      <c r="H138" s="480"/>
      <c r="J138" s="792"/>
      <c r="K138" s="792"/>
      <c r="L138" s="792"/>
      <c r="M138" s="792"/>
      <c r="N138" s="792"/>
    </row>
    <row r="139" spans="1:14" ht="13.5">
      <c r="A139" s="498"/>
      <c r="B139" s="21"/>
      <c r="C139" s="21"/>
      <c r="D139" s="21"/>
      <c r="E139" s="24"/>
      <c r="F139" s="25"/>
      <c r="G139" s="45"/>
      <c r="H139" s="480"/>
      <c r="J139" s="792"/>
      <c r="K139" s="792"/>
      <c r="L139" s="792"/>
      <c r="M139" s="792"/>
      <c r="N139" s="792"/>
    </row>
    <row r="140" spans="1:8" ht="12.75">
      <c r="A140" s="482"/>
      <c r="B140" s="6"/>
      <c r="C140" s="6">
        <f>+'Unit tariffs'!B46:F46</f>
        <v>0</v>
      </c>
      <c r="D140" s="162"/>
      <c r="E140" s="6"/>
      <c r="F140" s="163"/>
      <c r="G140" s="45"/>
      <c r="H140" s="480"/>
    </row>
    <row r="141" spans="1:8" ht="17.25" customHeight="1" thickBot="1">
      <c r="A141" s="288" t="s">
        <v>193</v>
      </c>
      <c r="B141" s="49"/>
      <c r="C141" s="50"/>
      <c r="D141" s="21" t="s">
        <v>1</v>
      </c>
      <c r="E141" s="21"/>
      <c r="F141" s="59"/>
      <c r="G141" s="45"/>
      <c r="H141" s="480"/>
    </row>
    <row r="142" spans="1:14" ht="12.75">
      <c r="A142" s="499"/>
      <c r="B142" s="54"/>
      <c r="C142" s="53" t="str">
        <f>F126</f>
        <v>2021/2022</v>
      </c>
      <c r="D142" s="21"/>
      <c r="E142" s="21"/>
      <c r="F142" s="59"/>
      <c r="G142" s="45"/>
      <c r="H142" s="480"/>
      <c r="J142" s="568"/>
      <c r="K142" s="569" t="s">
        <v>410</v>
      </c>
      <c r="L142" s="569" t="s">
        <v>411</v>
      </c>
      <c r="M142" s="569" t="s">
        <v>412</v>
      </c>
      <c r="N142" s="569" t="s">
        <v>413</v>
      </c>
    </row>
    <row r="143" spans="1:14" ht="13.5" thickBot="1">
      <c r="A143" s="500" t="s">
        <v>194</v>
      </c>
      <c r="B143" s="51"/>
      <c r="C143" s="57" t="s">
        <v>201</v>
      </c>
      <c r="D143" s="55" t="s">
        <v>200</v>
      </c>
      <c r="E143" s="55" t="s">
        <v>108</v>
      </c>
      <c r="F143" s="164" t="s">
        <v>138</v>
      </c>
      <c r="G143" s="45"/>
      <c r="H143" s="480"/>
      <c r="J143" s="570" t="s">
        <v>414</v>
      </c>
      <c r="K143" s="571" t="s">
        <v>415</v>
      </c>
      <c r="L143" s="571" t="s">
        <v>416</v>
      </c>
      <c r="M143" s="571" t="s">
        <v>416</v>
      </c>
      <c r="N143" s="571" t="s">
        <v>416</v>
      </c>
    </row>
    <row r="144" spans="1:14" ht="14.25" thickBot="1" thickTop="1">
      <c r="A144" s="170"/>
      <c r="B144" s="79" t="s">
        <v>220</v>
      </c>
      <c r="C144" s="49">
        <f>F130+F132+F133</f>
        <v>2563.3410000000003</v>
      </c>
      <c r="D144" s="56">
        <f>C144*5</f>
        <v>12816.705000000002</v>
      </c>
      <c r="E144" s="56">
        <f>D144*F$3</f>
        <v>1922.5057500000003</v>
      </c>
      <c r="F144" s="165">
        <f>SUM(D144:E144)</f>
        <v>14739.210750000002</v>
      </c>
      <c r="G144" s="45"/>
      <c r="H144" s="480"/>
      <c r="J144" s="572" t="s">
        <v>417</v>
      </c>
      <c r="K144" s="573"/>
      <c r="L144" s="573"/>
      <c r="M144" s="573"/>
      <c r="N144" s="573"/>
    </row>
    <row r="145" spans="1:14" ht="13.5" thickBot="1">
      <c r="A145" s="170"/>
      <c r="B145" s="79" t="s">
        <v>221</v>
      </c>
      <c r="C145" s="49">
        <f>F132+F133</f>
        <v>1408.4070000000002</v>
      </c>
      <c r="D145" s="56">
        <f>C145*5</f>
        <v>7042.035000000001</v>
      </c>
      <c r="E145" s="56">
        <f>D145*F$3</f>
        <v>1056.3052500000001</v>
      </c>
      <c r="F145" s="165">
        <f>SUM(D145:E145)</f>
        <v>8098.340250000001</v>
      </c>
      <c r="G145" s="45"/>
      <c r="H145" s="480"/>
      <c r="J145" s="574" t="s">
        <v>418</v>
      </c>
      <c r="K145" s="575">
        <v>82.5</v>
      </c>
      <c r="L145" s="575">
        <v>65</v>
      </c>
      <c r="M145" s="575">
        <v>16.77</v>
      </c>
      <c r="N145" s="575">
        <v>11.8</v>
      </c>
    </row>
    <row r="146" spans="1:14" ht="13.5" thickBot="1">
      <c r="A146" s="500" t="s">
        <v>195</v>
      </c>
      <c r="B146" s="52"/>
      <c r="C146" s="49"/>
      <c r="D146" s="56"/>
      <c r="E146" s="56"/>
      <c r="F146" s="165"/>
      <c r="G146" s="45"/>
      <c r="H146" s="480"/>
      <c r="J146" s="574" t="s">
        <v>419</v>
      </c>
      <c r="K146" s="575">
        <v>107</v>
      </c>
      <c r="L146" s="573"/>
      <c r="M146" s="573"/>
      <c r="N146" s="573"/>
    </row>
    <row r="147" spans="1:14" ht="13.5" thickBot="1">
      <c r="A147" s="170"/>
      <c r="B147" s="79" t="s">
        <v>222</v>
      </c>
      <c r="C147" s="49">
        <f>F130+F131</f>
        <v>2039.6090000000004</v>
      </c>
      <c r="D147" s="56">
        <f>C147*5</f>
        <v>10198.045000000002</v>
      </c>
      <c r="E147" s="56">
        <f>D147*F$3</f>
        <v>1529.7067500000003</v>
      </c>
      <c r="F147" s="165">
        <f>SUM(D147:E147)</f>
        <v>11727.751750000003</v>
      </c>
      <c r="G147" s="45"/>
      <c r="H147" s="480"/>
      <c r="J147" s="574" t="s">
        <v>420</v>
      </c>
      <c r="K147" s="575">
        <v>80</v>
      </c>
      <c r="L147" s="575">
        <v>75</v>
      </c>
      <c r="M147" s="575">
        <v>18</v>
      </c>
      <c r="N147" s="575">
        <v>11.8</v>
      </c>
    </row>
    <row r="148" spans="1:14" ht="13.5" thickBot="1">
      <c r="A148" s="170"/>
      <c r="B148" s="79" t="s">
        <v>223</v>
      </c>
      <c r="C148" s="49">
        <f>F131</f>
        <v>884.6750000000001</v>
      </c>
      <c r="D148" s="56">
        <f>C148*5</f>
        <v>4423.375</v>
      </c>
      <c r="E148" s="56">
        <f>D148*F$3</f>
        <v>663.50625</v>
      </c>
      <c r="F148" s="165">
        <f>SUM(D148:E148)</f>
        <v>5086.88125</v>
      </c>
      <c r="G148" s="45"/>
      <c r="H148" s="480"/>
      <c r="J148" s="574" t="s">
        <v>421</v>
      </c>
      <c r="K148" s="575">
        <v>0</v>
      </c>
      <c r="L148" s="573"/>
      <c r="M148" s="573"/>
      <c r="N148" s="573"/>
    </row>
    <row r="149" spans="1:14" ht="13.5" thickBot="1">
      <c r="A149" s="500" t="s">
        <v>196</v>
      </c>
      <c r="B149" s="52"/>
      <c r="C149" s="49"/>
      <c r="D149" s="56"/>
      <c r="E149" s="56"/>
      <c r="F149" s="165"/>
      <c r="G149" s="45"/>
      <c r="H149" s="480"/>
      <c r="J149" s="574" t="s">
        <v>422</v>
      </c>
      <c r="K149" s="575">
        <v>100</v>
      </c>
      <c r="L149" s="575">
        <v>90</v>
      </c>
      <c r="M149" s="575">
        <v>19.66</v>
      </c>
      <c r="N149" s="575">
        <v>11.8</v>
      </c>
    </row>
    <row r="150" spans="1:14" ht="13.5" thickBot="1">
      <c r="A150" s="170"/>
      <c r="B150" s="79" t="s">
        <v>224</v>
      </c>
      <c r="C150" s="49">
        <f>F136+F138</f>
        <v>2749.318</v>
      </c>
      <c r="D150" s="56">
        <f>C150*5</f>
        <v>13746.59</v>
      </c>
      <c r="E150" s="56">
        <f>D150*F$3</f>
        <v>2061.9885</v>
      </c>
      <c r="F150" s="165">
        <f>SUM(D150:E150)</f>
        <v>15808.5785</v>
      </c>
      <c r="G150" s="45"/>
      <c r="H150" s="480"/>
      <c r="J150" s="574" t="s">
        <v>421</v>
      </c>
      <c r="K150" s="575">
        <v>140</v>
      </c>
      <c r="L150" s="573"/>
      <c r="M150" s="573"/>
      <c r="N150" s="573"/>
    </row>
    <row r="151" spans="1:14" ht="13.5" thickBot="1">
      <c r="A151" s="170"/>
      <c r="B151" s="79" t="s">
        <v>225</v>
      </c>
      <c r="C151" s="49">
        <f>F138</f>
        <v>1594.3840000000002</v>
      </c>
      <c r="D151" s="56">
        <f>C151*5</f>
        <v>7971.920000000001</v>
      </c>
      <c r="E151" s="56">
        <f>D151*F$3</f>
        <v>1195.788</v>
      </c>
      <c r="F151" s="165">
        <f>SUM(D151:E151)</f>
        <v>9167.708</v>
      </c>
      <c r="G151" s="45"/>
      <c r="H151" s="480"/>
      <c r="J151" s="574" t="s">
        <v>423</v>
      </c>
      <c r="K151" s="575">
        <v>82.4</v>
      </c>
      <c r="L151" s="575">
        <v>60</v>
      </c>
      <c r="M151" s="575">
        <v>2.68</v>
      </c>
      <c r="N151" s="575">
        <v>12.93</v>
      </c>
    </row>
    <row r="152" spans="1:14" ht="13.5" thickBot="1">
      <c r="A152" s="500" t="s">
        <v>197</v>
      </c>
      <c r="B152" s="52"/>
      <c r="C152" s="49"/>
      <c r="D152" s="56"/>
      <c r="E152" s="56"/>
      <c r="F152" s="165"/>
      <c r="G152" s="45"/>
      <c r="H152" s="480"/>
      <c r="J152" s="574" t="s">
        <v>421</v>
      </c>
      <c r="K152" s="575">
        <v>80</v>
      </c>
      <c r="L152" s="573"/>
      <c r="M152" s="573"/>
      <c r="N152" s="573"/>
    </row>
    <row r="153" spans="1:10" ht="12.75">
      <c r="A153" s="170"/>
      <c r="B153" s="79" t="s">
        <v>226</v>
      </c>
      <c r="C153" s="49">
        <f>F136+F137</f>
        <v>2126.839</v>
      </c>
      <c r="D153" s="56">
        <f>C153*5</f>
        <v>10634.195</v>
      </c>
      <c r="E153" s="56">
        <f>D153*F$3</f>
        <v>1595.12925</v>
      </c>
      <c r="F153" s="165">
        <f>SUM(D153:E153)</f>
        <v>12229.32425</v>
      </c>
      <c r="G153" s="45"/>
      <c r="H153" s="480"/>
      <c r="J153" s="562"/>
    </row>
    <row r="154" spans="1:10" ht="39.75" thickBot="1">
      <c r="A154" s="172"/>
      <c r="B154" s="501" t="s">
        <v>227</v>
      </c>
      <c r="C154" s="502">
        <f>F137</f>
        <v>971.905</v>
      </c>
      <c r="D154" s="503">
        <f>C154*5</f>
        <v>4859.525</v>
      </c>
      <c r="E154" s="56">
        <f>D154*F$3</f>
        <v>728.9287499999999</v>
      </c>
      <c r="F154" s="504">
        <f>SUM(D154:E154)</f>
        <v>5588.45375</v>
      </c>
      <c r="G154" s="505"/>
      <c r="H154" s="506"/>
      <c r="J154" s="562" t="s">
        <v>424</v>
      </c>
    </row>
    <row r="155" spans="1:10" ht="26.25">
      <c r="A155" s="3"/>
      <c r="B155" s="3"/>
      <c r="C155" s="3"/>
      <c r="D155" s="3"/>
      <c r="E155" s="3"/>
      <c r="F155" s="3"/>
      <c r="J155" s="562" t="s">
        <v>425</v>
      </c>
    </row>
    <row r="156" spans="1:6" ht="12.75">
      <c r="A156" s="3"/>
      <c r="B156" s="3"/>
      <c r="C156" s="3"/>
      <c r="D156" s="3"/>
      <c r="E156" s="3"/>
      <c r="F156" s="3"/>
    </row>
    <row r="157" spans="1:6" ht="12.75">
      <c r="A157" s="3"/>
      <c r="B157" s="3"/>
      <c r="C157" s="3"/>
      <c r="E157" s="3"/>
      <c r="F157" s="3"/>
    </row>
    <row r="158" spans="1:6" ht="12.75">
      <c r="A158" s="3"/>
      <c r="B158" s="3"/>
      <c r="C158" s="3"/>
      <c r="D158" s="3"/>
      <c r="E158" s="3"/>
      <c r="F158" s="3"/>
    </row>
    <row r="159" spans="1:6" ht="13.5">
      <c r="A159" s="3"/>
      <c r="B159" s="3"/>
      <c r="C159" s="3"/>
      <c r="D159" s="3"/>
      <c r="E159" s="16" t="str">
        <f>E$11</f>
        <v>2020/2021</v>
      </c>
      <c r="F159" s="71" t="str">
        <f>F$11</f>
        <v>2021/2022</v>
      </c>
    </row>
    <row r="160" spans="1:6" ht="15">
      <c r="A160" s="3"/>
      <c r="B160" s="659" t="s">
        <v>461</v>
      </c>
      <c r="C160" s="654"/>
      <c r="D160" s="654"/>
      <c r="E160" s="654" t="s">
        <v>463</v>
      </c>
      <c r="F160" s="656">
        <v>0.0723</v>
      </c>
    </row>
    <row r="161" spans="1:6" ht="12.75">
      <c r="A161" s="3"/>
      <c r="B161" s="3"/>
      <c r="C161" s="3"/>
      <c r="D161" s="3"/>
      <c r="E161" s="3"/>
      <c r="F161" s="3"/>
    </row>
    <row r="162" spans="1:6" ht="12.75">
      <c r="A162" s="3"/>
      <c r="B162" s="3" t="s">
        <v>462</v>
      </c>
      <c r="C162" s="3"/>
      <c r="D162" s="3"/>
      <c r="E162" s="657">
        <v>1.557404</v>
      </c>
      <c r="F162" s="657">
        <f>+E162*(1+$F$160)</f>
        <v>1.6700043092</v>
      </c>
    </row>
    <row r="163" spans="1:6" ht="12.75">
      <c r="A163" s="3"/>
      <c r="B163" s="3"/>
      <c r="C163" s="3"/>
      <c r="D163" s="3"/>
      <c r="E163" s="657"/>
      <c r="F163" s="657"/>
    </row>
    <row r="164" spans="1:6" ht="12.75">
      <c r="A164" s="3"/>
      <c r="B164" s="78" t="s">
        <v>456</v>
      </c>
      <c r="C164" s="3" t="s">
        <v>466</v>
      </c>
      <c r="D164" s="3"/>
      <c r="E164" s="657">
        <v>1.915186</v>
      </c>
      <c r="F164" s="657">
        <f>+E164*(1+$F$160)</f>
        <v>2.0536539478</v>
      </c>
    </row>
    <row r="165" spans="1:4" ht="12.75">
      <c r="A165" s="3"/>
      <c r="B165" s="3"/>
      <c r="C165" s="3"/>
      <c r="D165" s="3"/>
    </row>
    <row r="166" spans="1:6" ht="12.75">
      <c r="A166" s="3"/>
      <c r="B166" s="621" t="s">
        <v>458</v>
      </c>
      <c r="C166" s="621" t="s">
        <v>467</v>
      </c>
      <c r="E166" s="685">
        <v>1559.035065</v>
      </c>
      <c r="F166" s="686">
        <f>+E166*(1+$F$160)</f>
        <v>1671.7533001995</v>
      </c>
    </row>
    <row r="167" spans="1:6" ht="12.75">
      <c r="A167" s="3"/>
      <c r="B167" s="3"/>
      <c r="C167" s="3" t="s">
        <v>465</v>
      </c>
      <c r="D167" s="3"/>
      <c r="E167" s="686">
        <v>180.648341</v>
      </c>
      <c r="F167" s="686">
        <f>+E167*(1+$F$160)</f>
        <v>193.7092160543</v>
      </c>
    </row>
    <row r="168" spans="1:6" ht="12.75">
      <c r="A168" s="3"/>
      <c r="B168" s="3"/>
      <c r="C168" s="3" t="s">
        <v>466</v>
      </c>
      <c r="D168" s="3"/>
      <c r="E168" s="686">
        <v>1.2511847</v>
      </c>
      <c r="F168" s="686">
        <f>+E168*(1+$F$160)</f>
        <v>1.3416453538100002</v>
      </c>
    </row>
    <row r="169" spans="1:6" ht="12.75">
      <c r="A169" s="3"/>
      <c r="B169" s="3"/>
      <c r="C169" s="3"/>
      <c r="D169" s="3"/>
      <c r="E169" s="3"/>
      <c r="F169" s="3"/>
    </row>
    <row r="170" spans="1:6" ht="12.75">
      <c r="A170" s="3"/>
      <c r="B170" s="3"/>
      <c r="C170" s="3"/>
      <c r="D170" s="3"/>
      <c r="E170" s="3"/>
      <c r="F170" s="3"/>
    </row>
    <row r="171" spans="1:6" ht="12.75">
      <c r="A171" s="3"/>
      <c r="B171" s="3"/>
      <c r="C171" s="3"/>
      <c r="D171" s="3"/>
      <c r="E171" s="3"/>
      <c r="F171" s="3"/>
    </row>
    <row r="172" spans="1:6" ht="12.75">
      <c r="A172" s="3"/>
      <c r="B172" s="3"/>
      <c r="C172" s="3"/>
      <c r="D172" s="3"/>
      <c r="E172" s="3"/>
      <c r="F172" s="3"/>
    </row>
    <row r="173" spans="1:6" ht="12.75">
      <c r="A173" s="3"/>
      <c r="B173" s="3"/>
      <c r="C173" s="3"/>
      <c r="D173" s="3"/>
      <c r="E173" s="3"/>
      <c r="F173" s="3"/>
    </row>
    <row r="174" spans="1:6" ht="12.75">
      <c r="A174" s="3"/>
      <c r="B174" s="3"/>
      <c r="C174" s="3"/>
      <c r="D174" s="3"/>
      <c r="E174" s="3"/>
      <c r="F174" s="3"/>
    </row>
    <row r="175" spans="1:6" ht="12.75">
      <c r="A175" s="3"/>
      <c r="B175" s="3"/>
      <c r="C175" s="3"/>
      <c r="D175" s="3"/>
      <c r="E175" s="3"/>
      <c r="F175" s="3"/>
    </row>
    <row r="176" spans="1:6" ht="12.75">
      <c r="A176" s="3"/>
      <c r="B176" s="3"/>
      <c r="C176" s="3"/>
      <c r="D176" s="3"/>
      <c r="E176" s="3"/>
      <c r="F176" s="3"/>
    </row>
    <row r="177" spans="1:6" ht="12.75">
      <c r="A177" s="3"/>
      <c r="B177" s="3"/>
      <c r="C177" s="3"/>
      <c r="D177" s="3"/>
      <c r="E177" s="3"/>
      <c r="F177" s="3"/>
    </row>
    <row r="178" spans="1:6" ht="12.75">
      <c r="A178" s="3"/>
      <c r="B178" s="3"/>
      <c r="C178" s="3"/>
      <c r="D178" s="3"/>
      <c r="E178" s="3"/>
      <c r="F178" s="3"/>
    </row>
    <row r="179" spans="1:6" ht="12.75">
      <c r="A179" s="3"/>
      <c r="B179" s="3"/>
      <c r="C179" s="3"/>
      <c r="D179" s="3"/>
      <c r="E179" s="3"/>
      <c r="F179" s="3"/>
    </row>
    <row r="180" spans="1:6" ht="12.75">
      <c r="A180" s="3"/>
      <c r="B180" s="3"/>
      <c r="C180" s="3"/>
      <c r="D180" s="3"/>
      <c r="E180" s="3"/>
      <c r="F180" s="3"/>
    </row>
  </sheetData>
  <sheetProtection/>
  <autoFilter ref="A18:H72"/>
  <mergeCells count="13">
    <mergeCell ref="J134:N139"/>
    <mergeCell ref="K11:L14"/>
    <mergeCell ref="M11:N14"/>
    <mergeCell ref="J75:M75"/>
    <mergeCell ref="B9:F9"/>
    <mergeCell ref="B16:F16"/>
    <mergeCell ref="J15:N18"/>
    <mergeCell ref="J11:J14"/>
    <mergeCell ref="B124:F124"/>
    <mergeCell ref="B105:F105"/>
    <mergeCell ref="B77:F77"/>
    <mergeCell ref="F19:F20"/>
    <mergeCell ref="E19:E20"/>
  </mergeCells>
  <hyperlinks>
    <hyperlink ref="G2" r:id="rId1" display="https://tradingeconomics.com/south-africa/inflation-cpi"/>
  </hyperlinks>
  <printOptions/>
  <pageMargins left="0.5118110236220472" right="0.2362204724409449" top="0.31496062992125984" bottom="0.4724409448818898" header="0.2755905511811024" footer="0.4724409448818898"/>
  <pageSetup fitToHeight="0" fitToWidth="1" horizontalDpi="300" verticalDpi="300" orientation="landscape" paperSize="9" r:id="rId4"/>
  <headerFooter alignWithMargins="0">
    <oddFooter>&amp;C&amp;P of &amp;N</oddFooter>
  </headerFooter>
  <rowBreaks count="5" manualBreakCount="5">
    <brk id="33" min="1" max="7" man="1"/>
    <brk id="58" min="1" max="7" man="1"/>
    <brk id="100" min="1" max="7" man="1"/>
    <brk id="141" min="1" max="7" man="1"/>
    <brk id="154" max="7" man="1"/>
  </rowBreaks>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X2220"/>
  <sheetViews>
    <sheetView zoomScale="70" zoomScaleNormal="70" zoomScaleSheetLayoutView="25" zoomScalePageLayoutView="0" workbookViewId="0" topLeftCell="A607">
      <selection activeCell="B623" sqref="B623"/>
    </sheetView>
  </sheetViews>
  <sheetFormatPr defaultColWidth="9.140625" defaultRowHeight="12.75"/>
  <cols>
    <col min="1" max="1" width="8.00390625" style="92" customWidth="1"/>
    <col min="2" max="2" width="11.28125" style="92" customWidth="1"/>
    <col min="3" max="3" width="40.140625" style="92" bestFit="1" customWidth="1"/>
    <col min="4" max="4" width="14.57421875" style="92" customWidth="1"/>
    <col min="5" max="5" width="9.140625" style="92" customWidth="1"/>
    <col min="6" max="6" width="12.8515625" style="92" customWidth="1"/>
    <col min="7" max="7" width="20.57421875" style="92" customWidth="1"/>
    <col min="8" max="8" width="20.28125" style="92" customWidth="1"/>
    <col min="9" max="9" width="20.7109375" style="92" customWidth="1"/>
    <col min="10" max="10" width="10.7109375" style="92" hidden="1" customWidth="1"/>
    <col min="11" max="11" width="11.57421875" style="92" bestFit="1" customWidth="1"/>
    <col min="12" max="12" width="9.57421875" style="92" bestFit="1" customWidth="1"/>
    <col min="13" max="17" width="9.140625" style="92" customWidth="1"/>
    <col min="18" max="18" width="8.8515625" style="92" bestFit="1" customWidth="1"/>
    <col min="19" max="19" width="13.7109375" style="92" bestFit="1" customWidth="1"/>
    <col min="20" max="20" width="11.7109375" style="92" bestFit="1" customWidth="1"/>
    <col min="21" max="21" width="9.140625" style="92" customWidth="1"/>
    <col min="22" max="22" width="13.7109375" style="92" bestFit="1" customWidth="1"/>
    <col min="23" max="16384" width="9.140625" style="92" customWidth="1"/>
  </cols>
  <sheetData>
    <row r="1" spans="1:2" ht="16.5" thickBot="1">
      <c r="A1" s="92" t="s">
        <v>1</v>
      </c>
      <c r="B1" s="93" t="s">
        <v>1</v>
      </c>
    </row>
    <row r="2" spans="1:10" ht="12.75">
      <c r="A2" s="452"/>
      <c r="B2" s="453" t="s">
        <v>147</v>
      </c>
      <c r="C2" s="454"/>
      <c r="D2" s="455"/>
      <c r="E2" s="455"/>
      <c r="F2" s="455"/>
      <c r="G2" s="455"/>
      <c r="H2" s="455"/>
      <c r="I2" s="455"/>
      <c r="J2" s="456"/>
    </row>
    <row r="3" spans="1:10" ht="13.5" thickBot="1">
      <c r="A3" s="457"/>
      <c r="B3" s="121"/>
      <c r="C3" s="121"/>
      <c r="D3" s="121"/>
      <c r="E3" s="121"/>
      <c r="F3" s="121"/>
      <c r="G3" s="121"/>
      <c r="H3" s="121"/>
      <c r="I3" s="121"/>
      <c r="J3" s="122"/>
    </row>
    <row r="4" spans="1:10" ht="12.75">
      <c r="A4" s="94"/>
      <c r="B4" s="95" t="s">
        <v>1</v>
      </c>
      <c r="C4" s="95"/>
      <c r="D4" s="95"/>
      <c r="E4" s="95"/>
      <c r="F4" s="95"/>
      <c r="G4" s="95"/>
      <c r="H4" s="95"/>
      <c r="I4" s="95"/>
      <c r="J4" s="96"/>
    </row>
    <row r="5" spans="1:10" ht="12.75">
      <c r="A5" s="97"/>
      <c r="B5" s="98" t="s">
        <v>109</v>
      </c>
      <c r="C5" s="99"/>
      <c r="D5" s="99"/>
      <c r="E5" s="99"/>
      <c r="F5" s="99"/>
      <c r="G5" s="99"/>
      <c r="H5" s="99"/>
      <c r="I5" s="100"/>
      <c r="J5" s="101"/>
    </row>
    <row r="6" spans="1:10" ht="12.75">
      <c r="A6" s="97"/>
      <c r="B6" s="78"/>
      <c r="C6" s="78"/>
      <c r="D6" s="78"/>
      <c r="E6" s="78"/>
      <c r="F6" s="78"/>
      <c r="G6" s="78"/>
      <c r="H6" s="78"/>
      <c r="I6" s="78"/>
      <c r="J6" s="101"/>
    </row>
    <row r="7" spans="1:10" ht="12.75">
      <c r="A7" s="97"/>
      <c r="B7" s="102" t="s">
        <v>98</v>
      </c>
      <c r="C7" s="103"/>
      <c r="D7" s="103"/>
      <c r="E7" s="103"/>
      <c r="F7" s="103"/>
      <c r="G7" s="103"/>
      <c r="H7" s="146"/>
      <c r="I7" s="104"/>
      <c r="J7" s="101"/>
    </row>
    <row r="8" spans="1:10" ht="13.5" thickBot="1">
      <c r="A8" s="97"/>
      <c r="B8" s="105"/>
      <c r="C8" s="106"/>
      <c r="D8" s="106"/>
      <c r="E8" s="106"/>
      <c r="F8" s="106"/>
      <c r="G8" s="106"/>
      <c r="H8" s="106"/>
      <c r="I8" s="107"/>
      <c r="J8" s="101"/>
    </row>
    <row r="9" spans="1:10" ht="13.5" thickBot="1">
      <c r="A9" s="97"/>
      <c r="B9" s="78"/>
      <c r="C9" s="78"/>
      <c r="D9" s="78"/>
      <c r="E9" s="78"/>
      <c r="F9" s="78"/>
      <c r="G9" s="78"/>
      <c r="H9" s="78"/>
      <c r="I9" s="108" t="s">
        <v>240</v>
      </c>
      <c r="J9" s="101"/>
    </row>
    <row r="10" spans="1:10" ht="12.75">
      <c r="A10" s="97"/>
      <c r="B10" s="78"/>
      <c r="C10" s="78"/>
      <c r="D10" s="78"/>
      <c r="E10" s="78"/>
      <c r="F10" s="78"/>
      <c r="G10" s="78"/>
      <c r="H10" s="78"/>
      <c r="I10" s="78"/>
      <c r="J10" s="101"/>
    </row>
    <row r="11" spans="1:10" ht="12.75">
      <c r="A11" s="97"/>
      <c r="B11" s="78"/>
      <c r="C11" s="78"/>
      <c r="D11" s="78"/>
      <c r="E11" s="78"/>
      <c r="F11" s="78"/>
      <c r="G11" s="78"/>
      <c r="H11" s="109" t="s">
        <v>460</v>
      </c>
      <c r="I11" s="109" t="str">
        <f>+'Unit tariffs'!F11</f>
        <v>2021/2022</v>
      </c>
      <c r="J11" s="458" t="s">
        <v>315</v>
      </c>
    </row>
    <row r="12" spans="1:10" ht="12.75">
      <c r="A12" s="97"/>
      <c r="B12" s="110" t="s">
        <v>41</v>
      </c>
      <c r="C12" s="78"/>
      <c r="D12" s="78"/>
      <c r="E12" s="78"/>
      <c r="F12" s="78"/>
      <c r="G12" s="78"/>
      <c r="H12" s="78"/>
      <c r="I12" s="78"/>
      <c r="J12" s="101"/>
    </row>
    <row r="13" spans="1:10" ht="12.75">
      <c r="A13" s="97"/>
      <c r="B13" s="78"/>
      <c r="C13" s="78"/>
      <c r="D13" s="78"/>
      <c r="E13" s="78"/>
      <c r="F13" s="78"/>
      <c r="G13" s="78"/>
      <c r="H13" s="78"/>
      <c r="I13" s="78"/>
      <c r="J13" s="101"/>
    </row>
    <row r="14" spans="1:11" ht="12.75">
      <c r="A14" s="97"/>
      <c r="B14" s="78">
        <v>37</v>
      </c>
      <c r="C14" s="78" t="str">
        <f>'Unit tariffs'!B67</f>
        <v>10 mm Copper Airdac cable</v>
      </c>
      <c r="D14" s="78"/>
      <c r="E14" s="78"/>
      <c r="F14" s="78"/>
      <c r="G14" s="78"/>
      <c r="H14" s="80">
        <v>1620</v>
      </c>
      <c r="I14" s="80">
        <f>VLOOKUP($C14,'Unit tariffs'!$B$21:$F$122,5,FALSE)*$B14</f>
        <v>1598.0633000000003</v>
      </c>
      <c r="J14" s="471" t="e">
        <f>IF(+I14*'Unit tariffs'!#REF!&gt;'Unit tariffs'!#REF!,'Unit tariffs'!#REF!,+I14*'Unit tariffs'!#REF!)</f>
        <v>#REF!</v>
      </c>
      <c r="K14" s="667">
        <f aca="true" t="shared" si="0" ref="K14:K20">+(I14-H14)/H14</f>
        <v>-0.013541172839506016</v>
      </c>
    </row>
    <row r="15" spans="1:11" ht="12.75">
      <c r="A15" s="97"/>
      <c r="B15" s="78">
        <v>2</v>
      </c>
      <c r="C15" s="78" t="str">
        <f>'Unit tariffs'!B68</f>
        <v>Strain clamp - Airdac</v>
      </c>
      <c r="D15" s="78"/>
      <c r="E15" s="78"/>
      <c r="F15" s="78"/>
      <c r="G15" s="78"/>
      <c r="H15" s="80">
        <v>36.56866958994219</v>
      </c>
      <c r="I15" s="80">
        <f>VLOOKUP($C15,'Unit tariffs'!$B$21:$F$122,5,FALSE)*$B15</f>
        <v>38.10455371271976</v>
      </c>
      <c r="J15" s="471" t="e">
        <f>IF(+I15*'Unit tariffs'!#REF!&gt;'Unit tariffs'!#REF!,'Unit tariffs'!#REF!,+I15*'Unit tariffs'!#REF!)</f>
        <v>#REF!</v>
      </c>
      <c r="K15" s="667">
        <f t="shared" si="0"/>
        <v>0.04200000000000006</v>
      </c>
    </row>
    <row r="16" spans="1:11" ht="12.75">
      <c r="A16" s="97"/>
      <c r="B16" s="78">
        <v>1</v>
      </c>
      <c r="C16" s="78" t="str">
        <f>'Unit tariffs'!B34</f>
        <v>Prepaid meter (Split) 1 phase 59A Unique Mbani</v>
      </c>
      <c r="D16" s="78"/>
      <c r="E16" s="78"/>
      <c r="F16" s="78"/>
      <c r="G16" s="78"/>
      <c r="H16" s="80">
        <v>2084.0248169999995</v>
      </c>
      <c r="I16" s="80">
        <f>VLOOKUP($C16,'Unit tariffs'!$B$21:$F$122,5,FALSE)*$B16</f>
        <v>2171.5538593139995</v>
      </c>
      <c r="J16" s="471" t="e">
        <f>IF(+I16*'Unit tariffs'!#REF!&gt;'Unit tariffs'!#REF!,'Unit tariffs'!#REF!,+I16*'Unit tariffs'!#REF!)</f>
        <v>#REF!</v>
      </c>
      <c r="K16" s="667">
        <f t="shared" si="0"/>
        <v>0.042</v>
      </c>
    </row>
    <row r="17" spans="1:11" ht="12.75">
      <c r="A17" s="97"/>
      <c r="B17" s="78">
        <v>1</v>
      </c>
      <c r="C17" s="78" t="str">
        <f>+'Unit tariffs'!B39</f>
        <v>Baseplate - PP only</v>
      </c>
      <c r="D17" s="78"/>
      <c r="E17" s="78"/>
      <c r="F17" s="78"/>
      <c r="G17" s="78"/>
      <c r="H17" s="80">
        <v>59.09538881999998</v>
      </c>
      <c r="I17" s="80">
        <f>VLOOKUP($C17,'Unit tariffs'!$B$21:$F$122,5,FALSE)*$B17</f>
        <v>439.724</v>
      </c>
      <c r="J17" s="471" t="e">
        <f>IF(+I17*'Unit tariffs'!#REF!&gt;'Unit tariffs'!#REF!,'Unit tariffs'!#REF!,+I17*'Unit tariffs'!#REF!)</f>
        <v>#REF!</v>
      </c>
      <c r="K17" s="667">
        <f t="shared" si="0"/>
        <v>6.440918974902856</v>
      </c>
    </row>
    <row r="18" spans="1:11" ht="12.75">
      <c r="A18" s="97"/>
      <c r="B18" s="78">
        <v>1</v>
      </c>
      <c r="C18" s="78" t="str">
        <f>'Unit tariffs'!B21</f>
        <v>Installation material</v>
      </c>
      <c r="D18" s="78"/>
      <c r="E18" s="78"/>
      <c r="F18" s="78"/>
      <c r="G18" s="78"/>
      <c r="H18" s="80">
        <v>113.6449785</v>
      </c>
      <c r="I18" s="80">
        <f>VLOOKUP($C18,'Unit tariffs'!$B$21:$F$122,5,FALSE)*$B18</f>
        <v>260.5</v>
      </c>
      <c r="J18" s="471" t="e">
        <f>IF(+I18*'Unit tariffs'!#REF!&gt;'Unit tariffs'!#REF!,'Unit tariffs'!#REF!,+I18*'Unit tariffs'!#REF!)</f>
        <v>#REF!</v>
      </c>
      <c r="K18" s="667">
        <f t="shared" si="0"/>
        <v>1.2922262244961402</v>
      </c>
    </row>
    <row r="19" spans="1:11" ht="12.75">
      <c r="A19" s="97"/>
      <c r="B19" s="78">
        <v>1</v>
      </c>
      <c r="C19" s="78" t="str">
        <f>'Unit tariffs'!B24</f>
        <v>L-Bracket</v>
      </c>
      <c r="D19" s="78"/>
      <c r="E19" s="78"/>
      <c r="F19" s="78"/>
      <c r="G19" s="78"/>
      <c r="H19" s="80">
        <v>26.463807199999994</v>
      </c>
      <c r="I19" s="80">
        <f>VLOOKUP($C19,'Unit tariffs'!$B$21:$F$122,5,FALSE)*$B19</f>
        <v>85.444</v>
      </c>
      <c r="J19" s="471" t="e">
        <f>IF(+I19*'Unit tariffs'!#REF!&gt;'Unit tariffs'!#REF!,'Unit tariffs'!#REF!,+I19*'Unit tariffs'!#REF!)</f>
        <v>#REF!</v>
      </c>
      <c r="K19" s="667">
        <f t="shared" si="0"/>
        <v>2.228711551374967</v>
      </c>
    </row>
    <row r="20" spans="1:11" ht="12.75">
      <c r="A20" s="97"/>
      <c r="B20" s="78">
        <v>1</v>
      </c>
      <c r="C20" s="78" t="str">
        <f>'Unit tariffs'!B22</f>
        <v>25 mm bend</v>
      </c>
      <c r="D20" s="78"/>
      <c r="E20" s="78"/>
      <c r="F20" s="78"/>
      <c r="G20" s="78"/>
      <c r="H20" s="87">
        <v>28.0644407</v>
      </c>
      <c r="I20" s="87">
        <f>VLOOKUP($C20,'Unit tariffs'!$B$21:$F$122,5,FALSE)*$B20</f>
        <v>29.56154</v>
      </c>
      <c r="J20" s="471" t="e">
        <f>IF(+I20*'Unit tariffs'!#REF!&gt;'Unit tariffs'!#REF!,'Unit tariffs'!#REF!,+I20*'Unit tariffs'!#REF!)</f>
        <v>#REF!</v>
      </c>
      <c r="K20" s="667">
        <f t="shared" si="0"/>
        <v>0.05334506096178864</v>
      </c>
    </row>
    <row r="21" spans="1:10" ht="12.75">
      <c r="A21" s="97"/>
      <c r="B21" s="78"/>
      <c r="C21" s="78"/>
      <c r="D21" s="78"/>
      <c r="E21" s="78"/>
      <c r="F21" s="78"/>
      <c r="G21" s="78"/>
      <c r="H21" s="80">
        <f>SUM(H14:H20)</f>
        <v>3967.8621018099416</v>
      </c>
      <c r="I21" s="80">
        <f>SUM(I14:I20)</f>
        <v>4622.951253026719</v>
      </c>
      <c r="J21" s="111"/>
    </row>
    <row r="22" spans="1:11" ht="12.75">
      <c r="A22" s="97"/>
      <c r="B22" s="78"/>
      <c r="C22" s="78"/>
      <c r="D22" s="78"/>
      <c r="E22" s="78"/>
      <c r="F22" s="78"/>
      <c r="G22" s="78"/>
      <c r="H22" s="80"/>
      <c r="I22" s="80"/>
      <c r="J22" s="111"/>
      <c r="K22" s="667"/>
    </row>
    <row r="23" spans="1:10" ht="12.75">
      <c r="A23" s="97"/>
      <c r="B23" s="110" t="s">
        <v>42</v>
      </c>
      <c r="C23" s="78"/>
      <c r="D23" s="78"/>
      <c r="E23" s="78"/>
      <c r="F23" s="78"/>
      <c r="G23" s="78"/>
      <c r="H23" s="78"/>
      <c r="I23" s="78"/>
      <c r="J23" s="101"/>
    </row>
    <row r="24" spans="1:10" ht="12.75">
      <c r="A24" s="97"/>
      <c r="B24" s="78"/>
      <c r="C24" s="78"/>
      <c r="D24" s="78"/>
      <c r="E24" s="78"/>
      <c r="F24" s="78"/>
      <c r="G24" s="78"/>
      <c r="H24" s="78"/>
      <c r="I24" s="78"/>
      <c r="J24" s="101"/>
    </row>
    <row r="25" spans="1:10" ht="12.75">
      <c r="A25" s="97"/>
      <c r="B25" s="78">
        <v>0.8</v>
      </c>
      <c r="C25" s="78" t="str">
        <f>'Unit tariffs'!B$86</f>
        <v>hour-artisan </v>
      </c>
      <c r="D25" s="78"/>
      <c r="E25" s="78"/>
      <c r="F25" s="78"/>
      <c r="G25" s="78"/>
      <c r="H25" s="80">
        <v>144.04698605067694</v>
      </c>
      <c r="I25" s="80">
        <f>VLOOKUP($C25,'Unit tariffs'!$B$21:$F$122,5,FALSE)*$B25</f>
        <v>258.2817853846154</v>
      </c>
      <c r="J25" s="111"/>
    </row>
    <row r="26" spans="1:10" ht="12.75">
      <c r="A26" s="97"/>
      <c r="B26" s="78">
        <v>1.6</v>
      </c>
      <c r="C26" s="78" t="str">
        <f>'Unit tariffs'!B$84</f>
        <v>hour-artisan assistant</v>
      </c>
      <c r="D26" s="78"/>
      <c r="E26" s="78"/>
      <c r="F26" s="78"/>
      <c r="G26" s="78"/>
      <c r="H26" s="87">
        <v>127.36488947748924</v>
      </c>
      <c r="I26" s="87">
        <f>VLOOKUP($C26,'Unit tariffs'!$B$21:$F$122,5,FALSE)*$B26</f>
        <v>205.65729230769236</v>
      </c>
      <c r="J26" s="111"/>
    </row>
    <row r="27" spans="1:11" ht="12.75">
      <c r="A27" s="97"/>
      <c r="B27" s="78"/>
      <c r="C27" s="78"/>
      <c r="D27" s="78"/>
      <c r="E27" s="78"/>
      <c r="F27" s="78"/>
      <c r="G27" s="78"/>
      <c r="H27" s="80">
        <f>SUM(H25:H26)</f>
        <v>271.4118755281662</v>
      </c>
      <c r="I27" s="80">
        <f>SUM(I25:I26)</f>
        <v>463.9390776923077</v>
      </c>
      <c r="J27" s="111"/>
      <c r="K27" s="667">
        <f>+(I27-H27)/H27</f>
        <v>0.709354378062804</v>
      </c>
    </row>
    <row r="28" spans="1:10" ht="12.75">
      <c r="A28" s="97"/>
      <c r="B28" s="110" t="s">
        <v>43</v>
      </c>
      <c r="C28" s="78"/>
      <c r="D28" s="78"/>
      <c r="E28" s="78"/>
      <c r="F28" s="78"/>
      <c r="G28" s="78"/>
      <c r="H28" s="78"/>
      <c r="I28" s="78"/>
      <c r="J28" s="101"/>
    </row>
    <row r="29" spans="1:10" ht="12.75">
      <c r="A29" s="97"/>
      <c r="B29" s="78"/>
      <c r="C29" s="78"/>
      <c r="D29" s="78"/>
      <c r="E29" s="78"/>
      <c r="F29" s="78"/>
      <c r="G29" s="78"/>
      <c r="H29" s="78"/>
      <c r="I29" s="78"/>
      <c r="J29" s="101"/>
    </row>
    <row r="30" spans="1:10" ht="12.75">
      <c r="A30" s="97"/>
      <c r="B30" s="78">
        <v>24</v>
      </c>
      <c r="C30" s="78" t="str">
        <f>'Unit tariffs'!B$110</f>
        <v>km-truck with platform</v>
      </c>
      <c r="D30" s="78"/>
      <c r="E30" s="78"/>
      <c r="F30" s="78"/>
      <c r="G30" s="78"/>
      <c r="H30" s="80">
        <v>779.1765820800001</v>
      </c>
      <c r="I30" s="80">
        <f>VLOOKUP($C30,'Unit tariffs'!$B$21:$F$122,5,FALSE)*$B30</f>
        <v>970.1459533764145</v>
      </c>
      <c r="J30" s="111"/>
    </row>
    <row r="31" spans="1:10" ht="12.75">
      <c r="A31" s="97"/>
      <c r="B31" s="78">
        <v>1</v>
      </c>
      <c r="C31" s="78" t="str">
        <f>'Unit tariffs'!B$111</f>
        <v>hour-truck with platform</v>
      </c>
      <c r="D31" s="78"/>
      <c r="E31" s="78"/>
      <c r="F31" s="78"/>
      <c r="G31" s="78"/>
      <c r="H31" s="87">
        <v>134.090008</v>
      </c>
      <c r="I31" s="87">
        <f>VLOOKUP($C31,'Unit tariffs'!$B$21:$F$122,5,FALSE)*$B31</f>
        <v>196.72208955055</v>
      </c>
      <c r="J31" s="111"/>
    </row>
    <row r="32" spans="1:10" ht="13.5" thickBot="1">
      <c r="A32" s="97"/>
      <c r="B32" s="78"/>
      <c r="C32" s="78"/>
      <c r="D32" s="78"/>
      <c r="E32" s="78"/>
      <c r="F32" s="78"/>
      <c r="G32" s="78"/>
      <c r="H32" s="113">
        <f>SUM(H30:H31)</f>
        <v>913.2665900800001</v>
      </c>
      <c r="I32" s="113">
        <f>SUM(I30:I31)</f>
        <v>1166.8680429269646</v>
      </c>
      <c r="J32" s="111"/>
    </row>
    <row r="33" spans="1:10" ht="13.5" thickTop="1">
      <c r="A33" s="97"/>
      <c r="B33" s="78"/>
      <c r="C33" s="78"/>
      <c r="D33" s="78"/>
      <c r="E33" s="78"/>
      <c r="F33" s="78"/>
      <c r="G33" s="78"/>
      <c r="H33" s="80">
        <f>H32+H27+H21</f>
        <v>5152.5405674181075</v>
      </c>
      <c r="I33" s="80">
        <f>I32+I27+I21</f>
        <v>6253.758373645991</v>
      </c>
      <c r="J33" s="111"/>
    </row>
    <row r="34" spans="1:10" ht="13.5" thickBot="1">
      <c r="A34" s="97"/>
      <c r="B34" s="110" t="str">
        <f>'Unit tariffs'!$B$7</f>
        <v>Administration Levy (Indirect Cost)</v>
      </c>
      <c r="C34" s="78"/>
      <c r="D34" s="112">
        <f>'Unit tariffs'!$C$7</f>
        <v>0.1</v>
      </c>
      <c r="E34" s="78" t="s">
        <v>312</v>
      </c>
      <c r="F34" s="196">
        <f>+'Unit tariffs'!$F$7</f>
        <v>10000</v>
      </c>
      <c r="G34" s="78"/>
      <c r="H34" s="114">
        <f>H33*0.2636</f>
        <v>1358.209693571413</v>
      </c>
      <c r="I34" s="114">
        <f>IF(I33*$D34&gt;='Unit tariffs'!$E$7,'Unit tariffs'!$E$7,I33*$D34)</f>
        <v>625.3758373645992</v>
      </c>
      <c r="J34" s="111"/>
    </row>
    <row r="35" spans="1:11" ht="13.5" thickTop="1">
      <c r="A35" s="97"/>
      <c r="B35" s="110" t="s">
        <v>44</v>
      </c>
      <c r="C35" s="78"/>
      <c r="D35" s="78"/>
      <c r="E35" s="78"/>
      <c r="F35" s="78"/>
      <c r="G35" s="78"/>
      <c r="H35" s="115">
        <f>SUM(H33:H34)</f>
        <v>6510.75026098952</v>
      </c>
      <c r="I35" s="115">
        <f>SUM(I33:I34)</f>
        <v>6879.134211010591</v>
      </c>
      <c r="J35" s="111"/>
      <c r="K35" s="667">
        <f>+(I35-H35)/H35</f>
        <v>0.056580875514196535</v>
      </c>
    </row>
    <row r="36" spans="1:10" ht="12.75">
      <c r="A36" s="97"/>
      <c r="B36" s="78"/>
      <c r="C36" s="78"/>
      <c r="D36" s="78"/>
      <c r="E36" s="78"/>
      <c r="F36" s="78"/>
      <c r="G36" s="78"/>
      <c r="H36" s="78"/>
      <c r="I36" s="78"/>
      <c r="J36" s="101"/>
    </row>
    <row r="37" spans="1:11" ht="12.75">
      <c r="A37" s="97"/>
      <c r="B37" s="110" t="s">
        <v>45</v>
      </c>
      <c r="C37" s="78"/>
      <c r="D37" s="78"/>
      <c r="E37" s="78"/>
      <c r="F37" s="78"/>
      <c r="G37" s="78"/>
      <c r="H37" s="90">
        <f>ROUND(H35,-1)</f>
        <v>6510</v>
      </c>
      <c r="I37" s="90">
        <f>ROUND(I35,-1)</f>
        <v>6880</v>
      </c>
      <c r="J37" s="116"/>
      <c r="K37" s="117"/>
    </row>
    <row r="38" spans="1:10" ht="12.75">
      <c r="A38" s="97"/>
      <c r="B38" s="78"/>
      <c r="C38" s="78"/>
      <c r="D38" s="78"/>
      <c r="E38" s="78"/>
      <c r="F38" s="78"/>
      <c r="G38" s="78"/>
      <c r="H38" s="80"/>
      <c r="I38" s="80"/>
      <c r="J38" s="111"/>
    </row>
    <row r="39" spans="1:10" ht="12.75">
      <c r="A39" s="97"/>
      <c r="B39" s="78"/>
      <c r="C39" s="78"/>
      <c r="D39" s="78"/>
      <c r="E39" s="78"/>
      <c r="F39" s="78"/>
      <c r="G39" s="78"/>
      <c r="H39" s="118">
        <v>0.02996845425867508</v>
      </c>
      <c r="I39" s="118">
        <f>+(I37-H37)/H37</f>
        <v>0.05683563748079877</v>
      </c>
      <c r="J39" s="119"/>
    </row>
    <row r="40" spans="1:10" ht="12.75">
      <c r="A40" s="97"/>
      <c r="B40" s="78"/>
      <c r="C40" s="78"/>
      <c r="D40" s="78"/>
      <c r="E40" s="78"/>
      <c r="F40" s="78"/>
      <c r="G40" s="78"/>
      <c r="H40" s="78"/>
      <c r="I40" s="118"/>
      <c r="J40" s="119"/>
    </row>
    <row r="41" spans="1:10" ht="26.25" hidden="1">
      <c r="A41" s="97"/>
      <c r="B41" s="120" t="s">
        <v>56</v>
      </c>
      <c r="C41" s="120" t="s">
        <v>115</v>
      </c>
      <c r="D41" s="120" t="s">
        <v>116</v>
      </c>
      <c r="E41" s="120" t="s">
        <v>57</v>
      </c>
      <c r="F41" s="78"/>
      <c r="G41" s="121"/>
      <c r="H41" s="121"/>
      <c r="I41" s="121"/>
      <c r="J41" s="122"/>
    </row>
    <row r="42" spans="1:10" ht="12.75" hidden="1">
      <c r="A42" s="97"/>
      <c r="B42" s="848" t="s">
        <v>114</v>
      </c>
      <c r="C42" s="849"/>
      <c r="D42" s="849"/>
      <c r="E42" s="850"/>
      <c r="F42" s="78"/>
      <c r="G42" s="78"/>
      <c r="H42" s="121"/>
      <c r="I42" s="121"/>
      <c r="J42" s="122"/>
    </row>
    <row r="43" spans="1:10" ht="12.75" hidden="1">
      <c r="A43" s="97"/>
      <c r="B43" s="123">
        <v>964.91</v>
      </c>
      <c r="C43" s="123">
        <f>1.21*30</f>
        <v>36.3</v>
      </c>
      <c r="D43" s="123">
        <f>0.95*30</f>
        <v>28.5</v>
      </c>
      <c r="E43" s="123">
        <v>0.2646</v>
      </c>
      <c r="F43" s="78"/>
      <c r="G43" s="78"/>
      <c r="H43" s="121"/>
      <c r="I43" s="121"/>
      <c r="J43" s="122"/>
    </row>
    <row r="44" spans="1:10" ht="12.75" hidden="1">
      <c r="A44" s="97"/>
      <c r="B44" s="848" t="s">
        <v>207</v>
      </c>
      <c r="C44" s="849"/>
      <c r="D44" s="849"/>
      <c r="E44" s="850"/>
      <c r="F44" s="78"/>
      <c r="G44" s="78"/>
      <c r="H44" s="78"/>
      <c r="I44" s="118"/>
      <c r="J44" s="119"/>
    </row>
    <row r="45" spans="1:10" ht="12.75" hidden="1">
      <c r="A45" s="97"/>
      <c r="B45" s="123">
        <f>I37</f>
        <v>6880</v>
      </c>
      <c r="C45" s="123">
        <v>0</v>
      </c>
      <c r="D45" s="123">
        <v>0</v>
      </c>
      <c r="E45" s="123">
        <v>0.37</v>
      </c>
      <c r="F45" s="78"/>
      <c r="G45" s="78"/>
      <c r="H45" s="78"/>
      <c r="I45" s="118"/>
      <c r="J45" s="119"/>
    </row>
    <row r="46" spans="1:10" ht="13.5" thickBot="1">
      <c r="A46" s="124"/>
      <c r="B46" s="125"/>
      <c r="C46" s="125"/>
      <c r="D46" s="125"/>
      <c r="E46" s="125"/>
      <c r="F46" s="125"/>
      <c r="G46" s="125"/>
      <c r="H46" s="125"/>
      <c r="I46" s="125"/>
      <c r="J46" s="126"/>
    </row>
    <row r="47" spans="1:10" ht="12.75">
      <c r="A47" s="97"/>
      <c r="B47" s="78"/>
      <c r="C47" s="78"/>
      <c r="D47" s="78"/>
      <c r="E47" s="78"/>
      <c r="F47" s="78"/>
      <c r="G47" s="78"/>
      <c r="H47" s="78"/>
      <c r="I47" s="78"/>
      <c r="J47" s="101"/>
    </row>
    <row r="48" spans="1:10" ht="13.5" thickBot="1">
      <c r="A48" s="97"/>
      <c r="B48" s="78"/>
      <c r="C48" s="78"/>
      <c r="D48" s="78"/>
      <c r="E48" s="78"/>
      <c r="F48" s="78"/>
      <c r="G48" s="78"/>
      <c r="H48" s="78"/>
      <c r="I48" s="78"/>
      <c r="J48" s="101"/>
    </row>
    <row r="49" spans="1:10" ht="13.5" thickTop="1">
      <c r="A49" s="459"/>
      <c r="B49" s="127" t="s">
        <v>1</v>
      </c>
      <c r="C49" s="127"/>
      <c r="D49" s="127"/>
      <c r="E49" s="127"/>
      <c r="F49" s="127"/>
      <c r="G49" s="127"/>
      <c r="H49" s="127"/>
      <c r="I49" s="127"/>
      <c r="J49" s="460"/>
    </row>
    <row r="50" spans="1:10" ht="12.75">
      <c r="A50" s="97"/>
      <c r="B50" s="102" t="s">
        <v>487</v>
      </c>
      <c r="C50" s="103"/>
      <c r="D50" s="103"/>
      <c r="E50" s="103"/>
      <c r="F50" s="103"/>
      <c r="G50" s="103"/>
      <c r="H50" s="103"/>
      <c r="I50" s="104"/>
      <c r="J50" s="101"/>
    </row>
    <row r="51" spans="1:10" ht="13.5" thickBot="1">
      <c r="A51" s="97"/>
      <c r="B51" s="105"/>
      <c r="C51" s="106"/>
      <c r="D51" s="106"/>
      <c r="E51" s="106"/>
      <c r="F51" s="106"/>
      <c r="G51" s="106"/>
      <c r="H51" s="106"/>
      <c r="I51" s="128"/>
      <c r="J51" s="101"/>
    </row>
    <row r="52" spans="1:10" ht="13.5" thickBot="1">
      <c r="A52" s="97"/>
      <c r="B52" s="129"/>
      <c r="C52" s="78"/>
      <c r="D52" s="78"/>
      <c r="E52" s="78"/>
      <c r="F52" s="78"/>
      <c r="G52" s="78"/>
      <c r="H52" s="78"/>
      <c r="I52" s="108" t="s">
        <v>240</v>
      </c>
      <c r="J52" s="101"/>
    </row>
    <row r="53" spans="1:10" ht="12.75">
      <c r="A53" s="97"/>
      <c r="B53" s="129"/>
      <c r="C53" s="78"/>
      <c r="D53" s="78"/>
      <c r="E53" s="78" t="s">
        <v>1</v>
      </c>
      <c r="F53" s="78"/>
      <c r="G53" s="78"/>
      <c r="H53" s="78"/>
      <c r="I53" s="78"/>
      <c r="J53" s="458"/>
    </row>
    <row r="54" spans="1:10" ht="12.75">
      <c r="A54" s="97"/>
      <c r="B54" s="78"/>
      <c r="C54" s="78"/>
      <c r="D54" s="78"/>
      <c r="E54" s="78"/>
      <c r="F54" s="78"/>
      <c r="G54" s="78"/>
      <c r="H54" s="109" t="str">
        <f>+H$11</f>
        <v>2020/2021</v>
      </c>
      <c r="I54" s="109" t="str">
        <f>+'Unit tariffs'!$F$11</f>
        <v>2021/2022</v>
      </c>
      <c r="J54" s="458" t="s">
        <v>315</v>
      </c>
    </row>
    <row r="55" spans="1:10" ht="12.75">
      <c r="A55" s="97"/>
      <c r="B55" s="110" t="s">
        <v>41</v>
      </c>
      <c r="C55" s="78"/>
      <c r="D55" s="78"/>
      <c r="E55" s="78"/>
      <c r="F55" s="78"/>
      <c r="G55" s="78"/>
      <c r="H55" s="78"/>
      <c r="I55" s="80"/>
      <c r="J55" s="101"/>
    </row>
    <row r="56" spans="1:10" ht="12.75">
      <c r="A56" s="97"/>
      <c r="B56" s="110"/>
      <c r="C56" s="78"/>
      <c r="D56" s="78"/>
      <c r="E56" s="78"/>
      <c r="F56" s="78"/>
      <c r="G56" s="78"/>
      <c r="H56" s="78"/>
      <c r="I56" s="80"/>
      <c r="J56" s="101"/>
    </row>
    <row r="57" spans="1:10" ht="12.75">
      <c r="A57" s="97"/>
      <c r="B57" s="78">
        <v>37</v>
      </c>
      <c r="C57" s="78" t="str">
        <f>'Unit tariffs'!B67</f>
        <v>10 mm Copper Airdac cable</v>
      </c>
      <c r="D57" s="78"/>
      <c r="E57" s="78"/>
      <c r="F57" s="78"/>
      <c r="G57" s="78"/>
      <c r="H57" s="80">
        <v>1620</v>
      </c>
      <c r="I57" s="80">
        <f>VLOOKUP($C57,'Unit tariffs'!$B$21:$F$122,5,FALSE)*$B57</f>
        <v>1598.0633000000003</v>
      </c>
      <c r="J57" s="101"/>
    </row>
    <row r="58" spans="1:10" ht="12.75">
      <c r="A58" s="97"/>
      <c r="B58" s="78">
        <v>2</v>
      </c>
      <c r="C58" s="78" t="str">
        <f>'Unit tariffs'!B68</f>
        <v>Strain clamp - Airdac</v>
      </c>
      <c r="D58" s="78"/>
      <c r="E58" s="78"/>
      <c r="F58" s="78"/>
      <c r="G58" s="78"/>
      <c r="H58" s="80">
        <v>36.56866958994219</v>
      </c>
      <c r="I58" s="80">
        <f>VLOOKUP($C58,'Unit tariffs'!$B$21:$F$122,5,FALSE)*$B58</f>
        <v>38.10455371271976</v>
      </c>
      <c r="J58" s="101"/>
    </row>
    <row r="59" spans="1:10" ht="12.75">
      <c r="A59" s="97"/>
      <c r="B59" s="78">
        <v>1</v>
      </c>
      <c r="C59" s="78" t="str">
        <f>'Unit tariffs'!B34</f>
        <v>Prepaid meter (Split) 1 phase 59A Unique Mbani</v>
      </c>
      <c r="D59" s="78"/>
      <c r="E59" s="78"/>
      <c r="F59" s="78"/>
      <c r="G59" s="78"/>
      <c r="H59" s="80">
        <v>2084.0248169999995</v>
      </c>
      <c r="I59" s="80">
        <f>VLOOKUP($C59,'Unit tariffs'!$B$21:$F$122,5,FALSE)*$B59</f>
        <v>2171.5538593139995</v>
      </c>
      <c r="J59" s="101"/>
    </row>
    <row r="60" spans="1:10" ht="12.75">
      <c r="A60" s="97"/>
      <c r="B60" s="78">
        <v>1</v>
      </c>
      <c r="C60" s="78" t="str">
        <f>'Unit tariffs'!B38</f>
        <v>Ready board only</v>
      </c>
      <c r="D60" s="78"/>
      <c r="E60" s="78"/>
      <c r="F60" s="78"/>
      <c r="G60" s="78"/>
      <c r="H60" s="80">
        <v>784.1503516499998</v>
      </c>
      <c r="I60" s="80">
        <f>VLOOKUP($C60,'Unit tariffs'!$B$21:$F$122,5,FALSE)*$B60</f>
        <v>635.62</v>
      </c>
      <c r="J60" s="471" t="e">
        <f>IF(+I60*'Unit tariffs'!#REF!&gt;'Unit tariffs'!#REF!,'Unit tariffs'!#REF!,+I60*'Unit tariffs'!#REF!)</f>
        <v>#REF!</v>
      </c>
    </row>
    <row r="61" spans="1:10" ht="12.75">
      <c r="A61" s="97"/>
      <c r="B61" s="78">
        <v>1</v>
      </c>
      <c r="C61" s="78" t="str">
        <f>'Unit tariffs'!B21</f>
        <v>Installation material</v>
      </c>
      <c r="D61" s="78"/>
      <c r="E61" s="78"/>
      <c r="F61" s="78"/>
      <c r="G61" s="78"/>
      <c r="H61" s="80">
        <v>175.00259599999995</v>
      </c>
      <c r="I61" s="80">
        <f>VLOOKUP($C61,'Unit tariffs'!$B$21:$F$122,5,FALSE)*$B61</f>
        <v>260.5</v>
      </c>
      <c r="J61" s="471" t="e">
        <f>IF(+I61*'Unit tariffs'!#REF!&gt;'Unit tariffs'!#REF!,'Unit tariffs'!#REF!,+I61*'Unit tariffs'!#REF!)</f>
        <v>#REF!</v>
      </c>
    </row>
    <row r="62" spans="1:10" ht="12.75">
      <c r="A62" s="97"/>
      <c r="B62" s="78">
        <v>1</v>
      </c>
      <c r="C62" s="78" t="str">
        <f>'Unit tariffs'!B24</f>
        <v>L-Bracket</v>
      </c>
      <c r="D62" s="78"/>
      <c r="E62" s="78"/>
      <c r="F62" s="78"/>
      <c r="G62" s="78"/>
      <c r="H62" s="80">
        <v>113.6449785</v>
      </c>
      <c r="I62" s="80">
        <f>VLOOKUP($C62,'Unit tariffs'!$B$21:$F$122,5,FALSE)*$B62</f>
        <v>85.444</v>
      </c>
      <c r="J62" s="471" t="e">
        <f>IF(+I62*'Unit tariffs'!#REF!&gt;'Unit tariffs'!#REF!,'Unit tariffs'!#REF!,+I62*'Unit tariffs'!#REF!)</f>
        <v>#REF!</v>
      </c>
    </row>
    <row r="63" spans="1:12" ht="12.75">
      <c r="A63" s="97"/>
      <c r="B63" s="78">
        <v>1</v>
      </c>
      <c r="C63" s="78" t="str">
        <f>'Unit tariffs'!B22</f>
        <v>25 mm bend</v>
      </c>
      <c r="D63" s="78"/>
      <c r="E63" s="78"/>
      <c r="F63" s="78"/>
      <c r="G63" s="78"/>
      <c r="H63" s="80">
        <v>28.0644407</v>
      </c>
      <c r="I63" s="80">
        <f>VLOOKUP($C63,'Unit tariffs'!$B$21:$F$122,5,FALSE)*$B63</f>
        <v>29.56154</v>
      </c>
      <c r="J63" s="471"/>
      <c r="L63" s="668" t="s">
        <v>490</v>
      </c>
    </row>
    <row r="64" spans="1:10" ht="12.75">
      <c r="A64" s="97"/>
      <c r="B64" s="78">
        <v>0.5</v>
      </c>
      <c r="C64" s="78" t="str">
        <f>'Unit tariffs'!B29</f>
        <v>One way Stubby box</v>
      </c>
      <c r="D64" s="78"/>
      <c r="E64" s="78"/>
      <c r="F64" s="78"/>
      <c r="G64" s="78"/>
      <c r="H64" s="80">
        <v>493.77</v>
      </c>
      <c r="I64" s="80">
        <f>VLOOKUP($C64,'Unit tariffs'!$B$21:$F$122,5,FALSE)*$B64</f>
        <v>990.28637899756</v>
      </c>
      <c r="J64" s="471"/>
    </row>
    <row r="65" spans="1:10" ht="12.75">
      <c r="A65" s="97"/>
      <c r="B65" s="78">
        <v>1</v>
      </c>
      <c r="C65" s="78" t="str">
        <f>'Unit tariffs'!B38</f>
        <v>Ready board only</v>
      </c>
      <c r="D65" s="78"/>
      <c r="E65" s="78"/>
      <c r="F65" s="78"/>
      <c r="G65" s="80"/>
      <c r="H65" s="87">
        <v>1072.7979261499997</v>
      </c>
      <c r="I65" s="87">
        <f>SUM(I60:I62)</f>
        <v>981.564</v>
      </c>
      <c r="J65" s="111"/>
    </row>
    <row r="66" spans="1:10" ht="12.75">
      <c r="A66" s="97"/>
      <c r="B66" s="78"/>
      <c r="C66" s="78"/>
      <c r="D66" s="78"/>
      <c r="E66" s="78"/>
      <c r="F66" s="78"/>
      <c r="G66" s="80"/>
      <c r="H66" s="80">
        <f>SUM(H57:H65)</f>
        <v>6408.023779589942</v>
      </c>
      <c r="I66" s="80">
        <f>SUM(I57:I65)</f>
        <v>6790.69763202428</v>
      </c>
      <c r="J66" s="111"/>
    </row>
    <row r="67" spans="1:10" ht="12.75">
      <c r="A67" s="97"/>
      <c r="B67" s="78"/>
      <c r="C67" s="78"/>
      <c r="D67" s="78"/>
      <c r="E67" s="78"/>
      <c r="F67" s="78"/>
      <c r="G67" s="80"/>
      <c r="H67" s="80"/>
      <c r="I67" s="80"/>
      <c r="J67" s="111"/>
    </row>
    <row r="68" spans="1:10" ht="12.75">
      <c r="A68" s="97"/>
      <c r="B68" s="110" t="s">
        <v>42</v>
      </c>
      <c r="C68" s="78"/>
      <c r="D68" s="78"/>
      <c r="E68" s="78"/>
      <c r="F68" s="78"/>
      <c r="G68" s="78"/>
      <c r="H68" s="78"/>
      <c r="I68" s="78"/>
      <c r="J68" s="101"/>
    </row>
    <row r="69" spans="1:10" ht="12.75">
      <c r="A69" s="97"/>
      <c r="B69" s="78"/>
      <c r="C69" s="78"/>
      <c r="D69" s="78"/>
      <c r="E69" s="78"/>
      <c r="F69" s="78"/>
      <c r="G69" s="78"/>
      <c r="H69" s="78"/>
      <c r="I69" s="78"/>
      <c r="J69" s="101"/>
    </row>
    <row r="70" spans="1:10" ht="12.75">
      <c r="A70" s="97"/>
      <c r="B70" s="78">
        <v>0.25</v>
      </c>
      <c r="C70" s="78" t="str">
        <f>'Unit tariffs'!B$86</f>
        <v>hour-artisan </v>
      </c>
      <c r="D70" s="78"/>
      <c r="E70" s="78"/>
      <c r="F70" s="78"/>
      <c r="G70" s="78"/>
      <c r="H70" s="80">
        <v>36.011746512669234</v>
      </c>
      <c r="I70" s="80">
        <f>VLOOKUP($C70,'Unit tariffs'!$B$21:$F$122,5,FALSE)*$B70</f>
        <v>80.71305793269231</v>
      </c>
      <c r="J70" s="111"/>
    </row>
    <row r="71" spans="1:10" ht="12.75">
      <c r="A71" s="97"/>
      <c r="B71" s="78">
        <v>0.51</v>
      </c>
      <c r="C71" s="78" t="str">
        <f>'Unit tariffs'!B$84</f>
        <v>hour-artisan assistant</v>
      </c>
      <c r="D71" s="78"/>
      <c r="E71" s="78"/>
      <c r="F71" s="78"/>
      <c r="G71" s="78"/>
      <c r="H71" s="87">
        <v>31.84122236937231</v>
      </c>
      <c r="I71" s="87">
        <f>VLOOKUP($C71,'Unit tariffs'!$B$21:$F$122,5,FALSE)*$B71</f>
        <v>65.55326192307693</v>
      </c>
      <c r="J71" s="111"/>
    </row>
    <row r="72" spans="1:10" ht="12.75">
      <c r="A72" s="97"/>
      <c r="B72" s="78"/>
      <c r="C72" s="78"/>
      <c r="D72" s="78"/>
      <c r="E72" s="78"/>
      <c r="F72" s="78"/>
      <c r="G72" s="78"/>
      <c r="H72" s="80">
        <f>SUM(H70:H71)</f>
        <v>67.85296888204155</v>
      </c>
      <c r="I72" s="80">
        <f>SUM(I70:I71)</f>
        <v>146.26631985576924</v>
      </c>
      <c r="J72" s="111"/>
    </row>
    <row r="73" spans="1:10" ht="12.75">
      <c r="A73" s="97"/>
      <c r="B73" s="110" t="s">
        <v>43</v>
      </c>
      <c r="C73" s="78"/>
      <c r="D73" s="78"/>
      <c r="E73" s="78"/>
      <c r="F73" s="78"/>
      <c r="G73" s="78"/>
      <c r="H73" s="78"/>
      <c r="I73" s="78"/>
      <c r="J73" s="101"/>
    </row>
    <row r="74" spans="1:10" ht="12.75">
      <c r="A74" s="97"/>
      <c r="B74" s="78"/>
      <c r="C74" s="78"/>
      <c r="D74" s="78"/>
      <c r="E74" s="78"/>
      <c r="F74" s="78"/>
      <c r="G74" s="78"/>
      <c r="H74" s="78"/>
      <c r="I74" s="78"/>
      <c r="J74" s="101"/>
    </row>
    <row r="75" spans="1:10" ht="12.75">
      <c r="A75" s="97"/>
      <c r="B75" s="78">
        <v>24</v>
      </c>
      <c r="C75" s="78" t="str">
        <f>'Unit tariffs'!B$110</f>
        <v>km-truck with platform</v>
      </c>
      <c r="D75" s="78"/>
      <c r="E75" s="78"/>
      <c r="F75" s="78"/>
      <c r="G75" s="78"/>
      <c r="H75" s="80">
        <v>0</v>
      </c>
      <c r="I75" s="80">
        <f>VLOOKUP($C75,'Unit tariffs'!$B$21:$F$122,5,FALSE)*$B75</f>
        <v>970.1459533764145</v>
      </c>
      <c r="J75" s="111"/>
    </row>
    <row r="76" spans="1:10" ht="12.75">
      <c r="A76" s="97"/>
      <c r="B76" s="78">
        <v>1</v>
      </c>
      <c r="C76" s="78" t="str">
        <f>'Unit tariffs'!B$111</f>
        <v>hour-truck with platform</v>
      </c>
      <c r="D76" s="78"/>
      <c r="E76" s="78"/>
      <c r="F76" s="78"/>
      <c r="G76" s="78"/>
      <c r="H76" s="80">
        <v>33.522502</v>
      </c>
      <c r="I76" s="80">
        <f>VLOOKUP($C76,'Unit tariffs'!$B$21:$F$122,5,FALSE)*$B76</f>
        <v>196.72208955055</v>
      </c>
      <c r="J76" s="111"/>
    </row>
    <row r="77" spans="1:10" ht="13.5" thickBot="1">
      <c r="A77" s="97"/>
      <c r="B77" s="78"/>
      <c r="C77" s="78"/>
      <c r="D77" s="78"/>
      <c r="E77" s="78"/>
      <c r="F77" s="78"/>
      <c r="G77" s="78"/>
      <c r="H77" s="113">
        <v>33.522502</v>
      </c>
      <c r="I77" s="113">
        <f>SUM(I75:I76)</f>
        <v>1166.8680429269646</v>
      </c>
      <c r="J77" s="111"/>
    </row>
    <row r="78" spans="1:10" ht="13.5" thickTop="1">
      <c r="A78" s="97"/>
      <c r="B78" s="78"/>
      <c r="C78" s="78"/>
      <c r="D78" s="78"/>
      <c r="E78" s="78"/>
      <c r="F78" s="78"/>
      <c r="G78" s="80"/>
      <c r="H78" s="80">
        <f>H77+H72+H66</f>
        <v>6509.399250471984</v>
      </c>
      <c r="I78" s="80">
        <f>I77+I72+I66</f>
        <v>8103.831994807014</v>
      </c>
      <c r="J78" s="111"/>
    </row>
    <row r="79" spans="1:10" ht="13.5" thickBot="1">
      <c r="A79" s="97"/>
      <c r="B79" s="110" t="str">
        <f>'Unit tariffs'!$B$7</f>
        <v>Administration Levy (Indirect Cost)</v>
      </c>
      <c r="C79" s="78"/>
      <c r="D79" s="112">
        <f>'Unit tariffs'!$C$7</f>
        <v>0.1</v>
      </c>
      <c r="E79" s="78" t="s">
        <v>312</v>
      </c>
      <c r="F79" s="196">
        <f>+'Unit tariffs'!$F$7</f>
        <v>10000</v>
      </c>
      <c r="G79" s="80"/>
      <c r="H79" s="114">
        <f>H78*0.2636</f>
        <v>1715.877642424415</v>
      </c>
      <c r="I79" s="114">
        <f>IF(I78*$D79&gt;='Unit tariffs'!$E$7,'Unit tariffs'!$E$7,I78*$D79)</f>
        <v>810.3831994807015</v>
      </c>
      <c r="J79" s="111"/>
    </row>
    <row r="80" spans="1:10" ht="13.5" thickTop="1">
      <c r="A80" s="97"/>
      <c r="B80" s="110" t="s">
        <v>44</v>
      </c>
      <c r="C80" s="78"/>
      <c r="D80" s="78"/>
      <c r="E80" s="78"/>
      <c r="F80" s="78"/>
      <c r="G80" s="80"/>
      <c r="H80" s="115">
        <f>SUM(H78:H79)</f>
        <v>8225.276892896398</v>
      </c>
      <c r="I80" s="115">
        <f>SUM(I78:I79)</f>
        <v>8914.215194287715</v>
      </c>
      <c r="J80" s="111"/>
    </row>
    <row r="81" spans="1:10" ht="12.75">
      <c r="A81" s="97"/>
      <c r="B81" s="110"/>
      <c r="C81" s="78"/>
      <c r="D81" s="78"/>
      <c r="E81" s="78"/>
      <c r="F81" s="78"/>
      <c r="G81" s="80"/>
      <c r="H81" s="80"/>
      <c r="I81" s="80"/>
      <c r="J81" s="111"/>
    </row>
    <row r="82" spans="1:10" ht="12.75">
      <c r="A82" s="97"/>
      <c r="B82" s="110" t="s">
        <v>45</v>
      </c>
      <c r="C82" s="78"/>
      <c r="D82" s="78"/>
      <c r="E82" s="78"/>
      <c r="F82" s="78"/>
      <c r="G82" s="78"/>
      <c r="H82" s="90">
        <f>ROUND(H80,-1)</f>
        <v>8230</v>
      </c>
      <c r="I82" s="90">
        <f>ROUND(I80,-1)</f>
        <v>8910</v>
      </c>
      <c r="J82" s="116"/>
    </row>
    <row r="83" spans="1:10" ht="12.75">
      <c r="A83" s="97"/>
      <c r="B83" s="78"/>
      <c r="C83" s="78"/>
      <c r="D83" s="78"/>
      <c r="E83" s="78"/>
      <c r="F83" s="78"/>
      <c r="G83" s="78"/>
      <c r="H83" s="80"/>
      <c r="I83" s="80"/>
      <c r="J83" s="111"/>
    </row>
    <row r="84" spans="1:10" ht="12.75">
      <c r="A84" s="97"/>
      <c r="B84" s="78"/>
      <c r="C84" s="78"/>
      <c r="D84" s="78"/>
      <c r="E84" s="78"/>
      <c r="F84" s="78"/>
      <c r="G84" s="78"/>
      <c r="H84" s="118">
        <v>0.034722222222222224</v>
      </c>
      <c r="I84" s="118">
        <f>(+I82-H82)/H82</f>
        <v>0.08262454434993925</v>
      </c>
      <c r="J84" s="119"/>
    </row>
    <row r="85" spans="1:10" ht="13.5" thickBot="1">
      <c r="A85" s="462"/>
      <c r="B85" s="130"/>
      <c r="C85" s="130"/>
      <c r="D85" s="130"/>
      <c r="E85" s="130"/>
      <c r="F85" s="130"/>
      <c r="G85" s="130"/>
      <c r="H85" s="130"/>
      <c r="I85" s="130"/>
      <c r="J85" s="463"/>
    </row>
    <row r="86" spans="1:10" ht="13.5" thickTop="1">
      <c r="A86" s="97"/>
      <c r="B86" s="102" t="s">
        <v>561</v>
      </c>
      <c r="C86" s="103"/>
      <c r="D86" s="103"/>
      <c r="E86" s="103"/>
      <c r="F86" s="103"/>
      <c r="G86" s="103"/>
      <c r="H86" s="103"/>
      <c r="I86" s="104"/>
      <c r="J86" s="101"/>
    </row>
    <row r="87" spans="1:10" ht="13.5" thickBot="1">
      <c r="A87" s="97"/>
      <c r="B87" s="105"/>
      <c r="C87" s="106"/>
      <c r="D87" s="106"/>
      <c r="E87" s="106"/>
      <c r="F87" s="106"/>
      <c r="G87" s="106"/>
      <c r="H87" s="106"/>
      <c r="I87" s="128"/>
      <c r="J87" s="101"/>
    </row>
    <row r="88" spans="1:10" ht="13.5" thickBot="1">
      <c r="A88" s="97"/>
      <c r="B88" s="129"/>
      <c r="C88" s="78"/>
      <c r="D88" s="78"/>
      <c r="E88" s="78"/>
      <c r="F88" s="78"/>
      <c r="G88" s="78"/>
      <c r="H88" s="78"/>
      <c r="I88" s="108" t="s">
        <v>240</v>
      </c>
      <c r="J88" s="101"/>
    </row>
    <row r="89" spans="1:10" ht="12.75">
      <c r="A89" s="97"/>
      <c r="B89" s="129"/>
      <c r="C89" s="78"/>
      <c r="D89" s="78"/>
      <c r="E89" s="78" t="s">
        <v>1</v>
      </c>
      <c r="F89" s="78"/>
      <c r="G89" s="78"/>
      <c r="H89" s="78"/>
      <c r="I89" s="78"/>
      <c r="J89" s="458"/>
    </row>
    <row r="90" spans="1:10" ht="12.75">
      <c r="A90" s="97"/>
      <c r="B90" s="78"/>
      <c r="C90" s="78"/>
      <c r="D90" s="78"/>
      <c r="E90" s="78"/>
      <c r="F90" s="78"/>
      <c r="G90" s="78"/>
      <c r="H90" s="109" t="str">
        <f>+H$11</f>
        <v>2020/2021</v>
      </c>
      <c r="I90" s="109" t="str">
        <f>+'Unit tariffs'!$F$11</f>
        <v>2021/2022</v>
      </c>
      <c r="J90" s="458" t="s">
        <v>315</v>
      </c>
    </row>
    <row r="91" spans="1:10" ht="12.75">
      <c r="A91" s="97"/>
      <c r="B91" s="110" t="s">
        <v>41</v>
      </c>
      <c r="C91" s="78"/>
      <c r="D91" s="78"/>
      <c r="E91" s="78"/>
      <c r="F91" s="78"/>
      <c r="G91" s="78"/>
      <c r="H91" s="78"/>
      <c r="I91" s="80"/>
      <c r="J91" s="101"/>
    </row>
    <row r="92" spans="1:10" ht="12.75">
      <c r="A92" s="97"/>
      <c r="B92" s="110"/>
      <c r="C92" s="78"/>
      <c r="D92" s="78"/>
      <c r="E92" s="78"/>
      <c r="F92" s="78"/>
      <c r="G92" s="78"/>
      <c r="H92" s="78"/>
      <c r="I92" s="80"/>
      <c r="J92" s="101"/>
    </row>
    <row r="93" spans="1:10" ht="12.75">
      <c r="A93" s="97"/>
      <c r="B93" s="78">
        <v>37</v>
      </c>
      <c r="C93" s="78" t="str">
        <f>'Unit tariffs'!B55</f>
        <v>m 16 mm x 4 Cu cable</v>
      </c>
      <c r="D93" s="78"/>
      <c r="E93" s="78"/>
      <c r="F93" s="78"/>
      <c r="G93" s="78"/>
      <c r="H93" s="80">
        <v>1620</v>
      </c>
      <c r="I93" s="80">
        <f>VLOOKUP($C93,'Unit tariffs'!$B$21:$F$122,5,FALSE)*$B93</f>
        <v>3140.0561284298874</v>
      </c>
      <c r="J93" s="101"/>
    </row>
    <row r="94" spans="1:10" ht="12.75">
      <c r="A94" s="97"/>
      <c r="B94" s="78">
        <v>0.5</v>
      </c>
      <c r="C94" s="78" t="str">
        <f>'Unit tariffs'!B30</f>
        <v>Two way Stubby box</v>
      </c>
      <c r="D94" s="78"/>
      <c r="E94" s="78"/>
      <c r="F94" s="78"/>
      <c r="G94" s="78"/>
      <c r="H94" s="80">
        <v>3608.27</v>
      </c>
      <c r="I94" s="80">
        <f>VLOOKUP($C94,'Unit tariffs'!$B$21:$F$122,5,FALSE)*$B94</f>
        <v>1057.4233078379998</v>
      </c>
      <c r="J94" s="101"/>
    </row>
    <row r="95" spans="1:10" ht="12.75">
      <c r="A95" s="97"/>
      <c r="B95" s="78">
        <v>0.5</v>
      </c>
      <c r="C95" s="78" t="str">
        <f>'Unit tariffs'!B25</f>
        <v>Cement base for meter box</v>
      </c>
      <c r="D95" s="78"/>
      <c r="E95" s="78"/>
      <c r="F95" s="78"/>
      <c r="G95" s="78"/>
      <c r="H95" s="80">
        <v>2084.0248169999995</v>
      </c>
      <c r="I95" s="80">
        <f>VLOOKUP($C95,'Unit tariffs'!$B$21:$F$122,5,FALSE)*$B95</f>
        <v>513.7009129559999</v>
      </c>
      <c r="J95" s="101"/>
    </row>
    <row r="96" spans="1:10" ht="12.75">
      <c r="A96" s="97"/>
      <c r="B96" s="78">
        <v>1</v>
      </c>
      <c r="C96" s="78" t="str">
        <f>'Unit tariffs'!B42</f>
        <v>x 80 A circuit breaker (5kA) - Orange</v>
      </c>
      <c r="D96" s="78"/>
      <c r="E96" s="78"/>
      <c r="F96" s="78"/>
      <c r="G96" s="78"/>
      <c r="H96" s="80">
        <v>784.1503516499998</v>
      </c>
      <c r="I96" s="80">
        <f>VLOOKUP($C96,'Unit tariffs'!$B$21:$F$122,5,FALSE)*$B96</f>
        <v>187.91223872199998</v>
      </c>
      <c r="J96" s="471" t="e">
        <f>IF(+I96*'Unit tariffs'!#REF!&gt;'Unit tariffs'!#REF!,'Unit tariffs'!#REF!,+I96*'Unit tariffs'!#REF!)</f>
        <v>#REF!</v>
      </c>
    </row>
    <row r="97" spans="1:10" ht="12.75">
      <c r="A97" s="97"/>
      <c r="B97" s="78">
        <v>1</v>
      </c>
      <c r="C97" s="78" t="str">
        <f>'Unit tariffs'!B34</f>
        <v>Prepaid meter (Split) 1 phase 59A Unique Mbani</v>
      </c>
      <c r="D97" s="78"/>
      <c r="E97" s="78"/>
      <c r="F97" s="78"/>
      <c r="G97" s="78"/>
      <c r="H97" s="80">
        <v>175.00259599999995</v>
      </c>
      <c r="I97" s="80">
        <f>VLOOKUP($C97,'Unit tariffs'!$B$21:$F$122,5,FALSE)*$B97</f>
        <v>2171.5538593139995</v>
      </c>
      <c r="J97" s="471" t="e">
        <f>IF(+I97*'Unit tariffs'!#REF!&gt;'Unit tariffs'!#REF!,'Unit tariffs'!#REF!,+I97*'Unit tariffs'!#REF!)</f>
        <v>#REF!</v>
      </c>
    </row>
    <row r="98" spans="1:10" ht="12.75">
      <c r="A98" s="97"/>
      <c r="B98" s="78">
        <v>1</v>
      </c>
      <c r="C98" s="78" t="str">
        <f>'Unit tariffs'!B21</f>
        <v>Installation material</v>
      </c>
      <c r="D98" s="78"/>
      <c r="E98" s="78"/>
      <c r="F98" s="78"/>
      <c r="G98" s="78"/>
      <c r="H98" s="87">
        <v>113.6449785</v>
      </c>
      <c r="I98" s="87">
        <f>VLOOKUP($C98,'Unit tariffs'!$B$21:$F$122,5,FALSE)*$B98</f>
        <v>260.5</v>
      </c>
      <c r="J98" s="471" t="e">
        <f>IF(+I98*'Unit tariffs'!#REF!&gt;'Unit tariffs'!#REF!,'Unit tariffs'!#REF!,+I98*'Unit tariffs'!#REF!)</f>
        <v>#REF!</v>
      </c>
    </row>
    <row r="99" spans="1:10" ht="12.75">
      <c r="A99" s="97"/>
      <c r="B99" s="78"/>
      <c r="C99" s="78"/>
      <c r="D99" s="78"/>
      <c r="E99" s="78"/>
      <c r="F99" s="78"/>
      <c r="G99" s="80"/>
      <c r="H99" s="80">
        <f>SUM(H93:H98)</f>
        <v>8385.09274315</v>
      </c>
      <c r="I99" s="80">
        <f>SUM(I93:I98)</f>
        <v>7331.146447259887</v>
      </c>
      <c r="J99" s="111"/>
    </row>
    <row r="100" spans="1:10" ht="12.75">
      <c r="A100" s="97"/>
      <c r="B100" s="78"/>
      <c r="C100" s="78"/>
      <c r="D100" s="78"/>
      <c r="E100" s="78"/>
      <c r="F100" s="78"/>
      <c r="G100" s="80"/>
      <c r="H100" s="80"/>
      <c r="I100" s="80"/>
      <c r="J100" s="111"/>
    </row>
    <row r="101" spans="1:10" ht="12.75">
      <c r="A101" s="97"/>
      <c r="B101" s="110" t="s">
        <v>42</v>
      </c>
      <c r="C101" s="78"/>
      <c r="D101" s="78"/>
      <c r="E101" s="78"/>
      <c r="F101" s="78"/>
      <c r="G101" s="78"/>
      <c r="H101" s="78"/>
      <c r="I101" s="78"/>
      <c r="J101" s="101"/>
    </row>
    <row r="102" spans="1:10" ht="12.75">
      <c r="A102" s="97"/>
      <c r="B102" s="78"/>
      <c r="C102" s="78"/>
      <c r="D102" s="78"/>
      <c r="E102" s="78"/>
      <c r="F102" s="78"/>
      <c r="G102" s="78"/>
      <c r="H102" s="78"/>
      <c r="I102" s="78"/>
      <c r="J102" s="101"/>
    </row>
    <row r="103" spans="1:10" ht="12.75">
      <c r="A103" s="97"/>
      <c r="B103" s="78">
        <v>0.25</v>
      </c>
      <c r="C103" s="78" t="str">
        <f>'Unit tariffs'!B$86</f>
        <v>hour-artisan </v>
      </c>
      <c r="D103" s="78"/>
      <c r="E103" s="78"/>
      <c r="F103" s="78"/>
      <c r="G103" s="78"/>
      <c r="H103" s="80">
        <v>36.011746512669234</v>
      </c>
      <c r="I103" s="80">
        <f>VLOOKUP($C103,'Unit tariffs'!$B$21:$F$122,5,FALSE)*$B103</f>
        <v>80.71305793269231</v>
      </c>
      <c r="J103" s="111"/>
    </row>
    <row r="104" spans="1:10" ht="12.75">
      <c r="A104" s="97"/>
      <c r="B104" s="78">
        <v>0.51</v>
      </c>
      <c r="C104" s="78" t="str">
        <f>'Unit tariffs'!B$84</f>
        <v>hour-artisan assistant</v>
      </c>
      <c r="D104" s="78"/>
      <c r="E104" s="78"/>
      <c r="F104" s="78"/>
      <c r="G104" s="78"/>
      <c r="H104" s="87">
        <v>31.84122236937231</v>
      </c>
      <c r="I104" s="87">
        <f>VLOOKUP($C104,'Unit tariffs'!$B$21:$F$122,5,FALSE)*$B104</f>
        <v>65.55326192307693</v>
      </c>
      <c r="J104" s="111"/>
    </row>
    <row r="105" spans="1:10" ht="12.75">
      <c r="A105" s="97"/>
      <c r="B105" s="78"/>
      <c r="C105" s="78"/>
      <c r="D105" s="78"/>
      <c r="E105" s="78"/>
      <c r="F105" s="78"/>
      <c r="G105" s="78"/>
      <c r="H105" s="80">
        <f>SUM(H103:H104)</f>
        <v>67.85296888204155</v>
      </c>
      <c r="I105" s="80">
        <f>SUM(I103:I104)</f>
        <v>146.26631985576924</v>
      </c>
      <c r="J105" s="111"/>
    </row>
    <row r="106" spans="1:10" ht="12.75">
      <c r="A106" s="97"/>
      <c r="B106" s="110" t="s">
        <v>43</v>
      </c>
      <c r="C106" s="78"/>
      <c r="D106" s="78"/>
      <c r="E106" s="78"/>
      <c r="F106" s="78"/>
      <c r="G106" s="78"/>
      <c r="H106" s="78"/>
      <c r="I106" s="78"/>
      <c r="J106" s="101"/>
    </row>
    <row r="107" spans="1:10" ht="12.75">
      <c r="A107" s="97"/>
      <c r="B107" s="78"/>
      <c r="C107" s="78"/>
      <c r="D107" s="78"/>
      <c r="E107" s="78"/>
      <c r="F107" s="78"/>
      <c r="G107" s="78"/>
      <c r="H107" s="78"/>
      <c r="I107" s="78"/>
      <c r="J107" s="101"/>
    </row>
    <row r="108" spans="1:10" ht="12.75">
      <c r="A108" s="97"/>
      <c r="B108" s="78">
        <v>24</v>
      </c>
      <c r="C108" s="78" t="str">
        <f>'Unit tariffs'!B$110</f>
        <v>km-truck with platform</v>
      </c>
      <c r="D108" s="78"/>
      <c r="E108" s="78"/>
      <c r="F108" s="78"/>
      <c r="G108" s="78"/>
      <c r="H108" s="80">
        <v>0</v>
      </c>
      <c r="I108" s="80">
        <f>VLOOKUP($C108,'Unit tariffs'!$B$21:$F$122,5,FALSE)*$B108</f>
        <v>970.1459533764145</v>
      </c>
      <c r="J108" s="111"/>
    </row>
    <row r="109" spans="1:10" ht="12.75">
      <c r="A109" s="97"/>
      <c r="B109" s="78">
        <v>1</v>
      </c>
      <c r="C109" s="78" t="str">
        <f>'Unit tariffs'!B$111</f>
        <v>hour-truck with platform</v>
      </c>
      <c r="D109" s="78"/>
      <c r="E109" s="78"/>
      <c r="F109" s="78"/>
      <c r="G109" s="78"/>
      <c r="H109" s="80">
        <v>33.522502</v>
      </c>
      <c r="I109" s="80">
        <f>VLOOKUP($C109,'Unit tariffs'!$B$21:$F$122,5,FALSE)*$B109</f>
        <v>196.72208955055</v>
      </c>
      <c r="J109" s="111"/>
    </row>
    <row r="110" spans="1:10" ht="13.5" thickBot="1">
      <c r="A110" s="97"/>
      <c r="B110" s="78"/>
      <c r="C110" s="78"/>
      <c r="D110" s="78"/>
      <c r="E110" s="78"/>
      <c r="F110" s="78"/>
      <c r="G110" s="78"/>
      <c r="H110" s="113">
        <f>SUM(H108:H109)</f>
        <v>33.522502</v>
      </c>
      <c r="I110" s="113">
        <f>SUM(I108:I109)</f>
        <v>1166.8680429269646</v>
      </c>
      <c r="J110" s="111"/>
    </row>
    <row r="111" spans="1:10" ht="13.5" thickTop="1">
      <c r="A111" s="97"/>
      <c r="B111" s="78"/>
      <c r="C111" s="78"/>
      <c r="D111" s="78"/>
      <c r="E111" s="78"/>
      <c r="F111" s="78"/>
      <c r="G111" s="80"/>
      <c r="H111" s="80">
        <f>H110+H105+H99</f>
        <v>8486.468214032042</v>
      </c>
      <c r="I111" s="80">
        <f>I110+I105+I99</f>
        <v>8644.280810042621</v>
      </c>
      <c r="J111" s="111"/>
    </row>
    <row r="112" spans="1:10" ht="13.5" thickBot="1">
      <c r="A112" s="97"/>
      <c r="B112" s="110" t="str">
        <f>'Unit tariffs'!$B$7</f>
        <v>Administration Levy (Indirect Cost)</v>
      </c>
      <c r="C112" s="78"/>
      <c r="D112" s="112">
        <f>'Unit tariffs'!$C$7</f>
        <v>0.1</v>
      </c>
      <c r="E112" s="78" t="s">
        <v>312</v>
      </c>
      <c r="F112" s="196">
        <f>+'Unit tariffs'!$F$7</f>
        <v>10000</v>
      </c>
      <c r="G112" s="80"/>
      <c r="H112" s="114">
        <f>H111*0.2636</f>
        <v>2237.0330212188464</v>
      </c>
      <c r="I112" s="114">
        <f>IF(I111*$D112&gt;='Unit tariffs'!$E$7,'Unit tariffs'!$E$7,I111*$D112)</f>
        <v>864.4280810042621</v>
      </c>
      <c r="J112" s="111"/>
    </row>
    <row r="113" spans="1:10" ht="13.5" thickTop="1">
      <c r="A113" s="97"/>
      <c r="B113" s="110" t="s">
        <v>44</v>
      </c>
      <c r="C113" s="78"/>
      <c r="D113" s="78"/>
      <c r="E113" s="78"/>
      <c r="F113" s="78"/>
      <c r="G113" s="80"/>
      <c r="H113" s="115">
        <f>SUM(H111:H112)</f>
        <v>10723.50123525089</v>
      </c>
      <c r="I113" s="115">
        <f>SUM(I111:I112)</f>
        <v>9508.708891046883</v>
      </c>
      <c r="J113" s="111"/>
    </row>
    <row r="114" spans="1:10" ht="12.75">
      <c r="A114" s="97"/>
      <c r="B114" s="110"/>
      <c r="C114" s="78"/>
      <c r="D114" s="78"/>
      <c r="E114" s="78"/>
      <c r="F114" s="78"/>
      <c r="G114" s="80"/>
      <c r="H114" s="80"/>
      <c r="I114" s="80"/>
      <c r="J114" s="111"/>
    </row>
    <row r="115" spans="1:10" ht="12.75">
      <c r="A115" s="97"/>
      <c r="B115" s="110" t="s">
        <v>45</v>
      </c>
      <c r="C115" s="78"/>
      <c r="D115" s="78"/>
      <c r="E115" s="78"/>
      <c r="F115" s="78"/>
      <c r="G115" s="78"/>
      <c r="H115" s="90">
        <f>ROUND(H113,-1)</f>
        <v>10720</v>
      </c>
      <c r="I115" s="90">
        <f>ROUND(I113,-1)</f>
        <v>9510</v>
      </c>
      <c r="J115" s="116"/>
    </row>
    <row r="116" spans="1:10" ht="12.75">
      <c r="A116" s="97"/>
      <c r="B116" s="78"/>
      <c r="C116" s="78"/>
      <c r="D116" s="78"/>
      <c r="E116" s="78"/>
      <c r="F116" s="78"/>
      <c r="G116" s="78"/>
      <c r="H116" s="80"/>
      <c r="I116" s="80"/>
      <c r="J116" s="111"/>
    </row>
    <row r="117" spans="1:10" ht="13.5" thickBot="1">
      <c r="A117" s="97"/>
      <c r="B117" s="78"/>
      <c r="C117" s="78"/>
      <c r="D117" s="78"/>
      <c r="E117" s="78"/>
      <c r="F117" s="78"/>
      <c r="G117" s="78"/>
      <c r="H117" s="118">
        <v>0.034722222222222224</v>
      </c>
      <c r="I117" s="118">
        <f>(+I115-H115)/H115</f>
        <v>-0.11287313432835822</v>
      </c>
      <c r="J117" s="101"/>
    </row>
    <row r="118" spans="1:10" ht="13.5" thickTop="1">
      <c r="A118" s="459"/>
      <c r="B118" s="127" t="s">
        <v>1</v>
      </c>
      <c r="C118" s="127"/>
      <c r="D118" s="127"/>
      <c r="E118" s="127"/>
      <c r="F118" s="127"/>
      <c r="G118" s="127"/>
      <c r="H118" s="127"/>
      <c r="I118" s="127"/>
      <c r="J118" s="460"/>
    </row>
    <row r="119" spans="1:10" ht="27" customHeight="1" thickBot="1">
      <c r="A119" s="97"/>
      <c r="B119" s="820" t="s">
        <v>491</v>
      </c>
      <c r="C119" s="821"/>
      <c r="D119" s="821"/>
      <c r="E119" s="821"/>
      <c r="F119" s="821"/>
      <c r="G119" s="822"/>
      <c r="H119" s="78"/>
      <c r="I119" s="78"/>
      <c r="J119" s="101"/>
    </row>
    <row r="120" spans="1:10" ht="13.5" customHeight="1" thickBot="1">
      <c r="A120" s="97"/>
      <c r="B120" s="131"/>
      <c r="C120" s="851"/>
      <c r="D120" s="851"/>
      <c r="E120" s="851"/>
      <c r="F120" s="851"/>
      <c r="G120" s="851"/>
      <c r="H120" s="78"/>
      <c r="I120" s="108" t="s">
        <v>240</v>
      </c>
      <c r="J120" s="101"/>
    </row>
    <row r="121" spans="1:10" ht="13.5" customHeight="1">
      <c r="A121" s="97"/>
      <c r="B121" s="131"/>
      <c r="C121" s="131"/>
      <c r="D121" s="131"/>
      <c r="E121" s="131"/>
      <c r="F121" s="131"/>
      <c r="G121" s="131"/>
      <c r="H121" s="78"/>
      <c r="I121" s="78"/>
      <c r="J121" s="101"/>
    </row>
    <row r="122" spans="1:10" ht="12.75">
      <c r="A122" s="97"/>
      <c r="B122" s="78"/>
      <c r="C122" s="78"/>
      <c r="D122" s="78"/>
      <c r="E122" s="78"/>
      <c r="F122" s="78"/>
      <c r="G122" s="78"/>
      <c r="H122" s="109" t="str">
        <f>+H$11</f>
        <v>2020/2021</v>
      </c>
      <c r="I122" s="109" t="str">
        <f>+'Unit tariffs'!$F$11</f>
        <v>2021/2022</v>
      </c>
      <c r="J122" s="458" t="s">
        <v>315</v>
      </c>
    </row>
    <row r="123" spans="1:10" ht="12.75">
      <c r="A123" s="97"/>
      <c r="B123" s="110" t="s">
        <v>41</v>
      </c>
      <c r="C123" s="78"/>
      <c r="D123" s="78"/>
      <c r="E123" s="78"/>
      <c r="F123" s="78"/>
      <c r="G123" s="78"/>
      <c r="H123" s="78"/>
      <c r="I123" s="78"/>
      <c r="J123" s="101"/>
    </row>
    <row r="124" spans="1:10" ht="12.75">
      <c r="A124" s="97"/>
      <c r="B124" s="78"/>
      <c r="C124" s="78"/>
      <c r="D124" s="78"/>
      <c r="E124" s="78"/>
      <c r="F124" s="78"/>
      <c r="G124" s="78"/>
      <c r="H124" s="78"/>
      <c r="I124" s="78"/>
      <c r="J124" s="101"/>
    </row>
    <row r="125" spans="1:10" ht="12.75">
      <c r="A125" s="97"/>
      <c r="B125" s="78">
        <v>1</v>
      </c>
      <c r="C125" s="78" t="str">
        <f>'Unit tariffs'!B27</f>
        <v>Two way domestic meter box</v>
      </c>
      <c r="D125" s="78"/>
      <c r="E125" s="78"/>
      <c r="F125" s="78"/>
      <c r="G125" s="78"/>
      <c r="H125" s="80">
        <v>3608.27</v>
      </c>
      <c r="I125" s="80">
        <f>VLOOKUP($C125,'Unit tariffs'!$B$21:$F$122,5,FALSE)*$B125</f>
        <v>3883.8902358339997</v>
      </c>
      <c r="J125" s="471" t="e">
        <f>IF(+I125*'Unit tariffs'!#REF!&gt;'Unit tariffs'!#REF!,'Unit tariffs'!#REF!,+I125*'Unit tariffs'!#REF!)</f>
        <v>#REF!</v>
      </c>
    </row>
    <row r="126" spans="1:10" ht="12.75">
      <c r="A126" s="97"/>
      <c r="B126" s="78">
        <v>37</v>
      </c>
      <c r="C126" s="21" t="str">
        <f>'Unit tariffs'!B55</f>
        <v>m 16 mm x 4 Cu cable</v>
      </c>
      <c r="D126" s="78"/>
      <c r="E126" s="78"/>
      <c r="F126" s="78"/>
      <c r="G126" s="78"/>
      <c r="H126" s="80">
        <f>B126*42.35</f>
        <v>1566.95</v>
      </c>
      <c r="I126" s="80">
        <f>VLOOKUP($C126,'Unit tariffs'!$B$21:$F$122,5,FALSE)*$B126</f>
        <v>3140.0561284298874</v>
      </c>
      <c r="J126" s="471" t="e">
        <f>IF(+I126*'Unit tariffs'!#REF!&gt;'Unit tariffs'!#REF!,'Unit tariffs'!#REF!,+I126*'Unit tariffs'!#REF!)</f>
        <v>#REF!</v>
      </c>
    </row>
    <row r="127" spans="1:10" ht="12.75">
      <c r="A127" s="97"/>
      <c r="B127" s="78">
        <v>1</v>
      </c>
      <c r="C127" s="78" t="str">
        <f>'Unit tariffs'!B34</f>
        <v>Prepaid meter (Split) 1 phase 59A Unique Mbani</v>
      </c>
      <c r="D127" s="78"/>
      <c r="E127" s="78"/>
      <c r="F127" s="78"/>
      <c r="G127" s="78"/>
      <c r="H127" s="80">
        <v>2017.45</v>
      </c>
      <c r="I127" s="80">
        <f>VLOOKUP($C127,'Unit tariffs'!$B$21:$F$122,5,FALSE)*$B127</f>
        <v>2171.5538593139995</v>
      </c>
      <c r="J127" s="471" t="e">
        <f>IF(+I127*'Unit tariffs'!#REF!&gt;'Unit tariffs'!#REF!,'Unit tariffs'!#REF!,+I127*'Unit tariffs'!#REF!)</f>
        <v>#REF!</v>
      </c>
    </row>
    <row r="128" spans="1:10" ht="12.75">
      <c r="A128" s="97"/>
      <c r="B128" s="78">
        <v>1</v>
      </c>
      <c r="C128" s="78" t="str">
        <f>'Unit tariffs'!B21</f>
        <v>Installation material</v>
      </c>
      <c r="D128" s="78"/>
      <c r="E128" s="78"/>
      <c r="F128" s="78"/>
      <c r="G128" s="78"/>
      <c r="H128" s="80">
        <v>110.01</v>
      </c>
      <c r="I128" s="80">
        <f>VLOOKUP($C128,'Unit tariffs'!$B$21:$F$122,5,FALSE)*$B128</f>
        <v>260.5</v>
      </c>
      <c r="J128" s="471" t="e">
        <f>IF(+I128*'Unit tariffs'!#REF!&gt;'Unit tariffs'!#REF!,'Unit tariffs'!#REF!,+I128*'Unit tariffs'!#REF!)</f>
        <v>#REF!</v>
      </c>
    </row>
    <row r="129" spans="1:10" ht="12.75">
      <c r="A129" s="97"/>
      <c r="B129" s="78">
        <v>1</v>
      </c>
      <c r="C129" s="78" t="str">
        <f>'Unit tariffs'!B42</f>
        <v>x 80 A circuit breaker (5kA) - Orange</v>
      </c>
      <c r="D129" s="78"/>
      <c r="E129" s="78"/>
      <c r="F129" s="78"/>
      <c r="G129" s="78"/>
      <c r="H129" s="80">
        <v>174.58</v>
      </c>
      <c r="I129" s="80">
        <f>VLOOKUP($C129,'Unit tariffs'!$B$21:$F$122,5,FALSE)*$B129</f>
        <v>187.91223872199998</v>
      </c>
      <c r="J129" s="471"/>
    </row>
    <row r="130" spans="1:10" ht="12.75">
      <c r="A130" s="97"/>
      <c r="B130" s="78">
        <v>1</v>
      </c>
      <c r="C130" s="78" t="str">
        <f>'Unit tariffs'!B25</f>
        <v>Cement base for meter box</v>
      </c>
      <c r="D130" s="78"/>
      <c r="E130" s="78"/>
      <c r="F130" s="78"/>
      <c r="G130" s="78"/>
      <c r="H130" s="87">
        <v>954.49</v>
      </c>
      <c r="I130" s="87">
        <f>VLOOKUP($C130,'Unit tariffs'!$B$21:$F$122,5,FALSE)*$B130</f>
        <v>1027.4018259119998</v>
      </c>
      <c r="J130" s="471"/>
    </row>
    <row r="131" spans="1:10" ht="12.75">
      <c r="A131" s="97"/>
      <c r="B131" s="78"/>
      <c r="C131" s="78"/>
      <c r="D131" s="78"/>
      <c r="E131" s="78"/>
      <c r="F131" s="78"/>
      <c r="G131" s="78"/>
      <c r="H131" s="80">
        <f>SUM(H125:H130)</f>
        <v>8431.75</v>
      </c>
      <c r="I131" s="80">
        <f>SUM(I125:I130)</f>
        <v>10671.314288211886</v>
      </c>
      <c r="J131" s="471"/>
    </row>
    <row r="132" spans="1:10" ht="12.75">
      <c r="A132" s="97"/>
      <c r="B132" s="78"/>
      <c r="C132" s="78"/>
      <c r="D132" s="78"/>
      <c r="E132" s="78"/>
      <c r="F132" s="78"/>
      <c r="G132" s="80"/>
      <c r="H132" s="80"/>
      <c r="I132" s="80"/>
      <c r="J132" s="111"/>
    </row>
    <row r="133" spans="1:10" ht="12.75">
      <c r="A133" s="97"/>
      <c r="B133" s="110" t="s">
        <v>42</v>
      </c>
      <c r="C133" s="78"/>
      <c r="D133" s="78"/>
      <c r="E133" s="78"/>
      <c r="F133" s="78"/>
      <c r="G133" s="78"/>
      <c r="H133" s="78"/>
      <c r="I133" s="78"/>
      <c r="J133" s="101"/>
    </row>
    <row r="134" spans="1:10" ht="12.75">
      <c r="A134" s="97"/>
      <c r="B134" s="78"/>
      <c r="C134" s="78"/>
      <c r="D134" s="78"/>
      <c r="E134" s="78"/>
      <c r="F134" s="78"/>
      <c r="G134" s="78"/>
      <c r="H134" s="78"/>
      <c r="I134" s="80"/>
      <c r="J134" s="101"/>
    </row>
    <row r="135" spans="1:10" ht="12.75">
      <c r="A135" s="97"/>
      <c r="B135" s="78">
        <v>0.23</v>
      </c>
      <c r="C135" s="78" t="str">
        <f>'Unit tariffs'!B$86</f>
        <v>hour-artisan </v>
      </c>
      <c r="D135" s="78"/>
      <c r="E135" s="78"/>
      <c r="F135" s="78"/>
      <c r="G135" s="78"/>
      <c r="H135" s="80">
        <v>36.011746512669234</v>
      </c>
      <c r="I135" s="80">
        <f>VLOOKUP($C135,'Unit tariffs'!$B$21:$F$122,5,FALSE)*$B135</f>
        <v>74.25601329807692</v>
      </c>
      <c r="J135" s="111"/>
    </row>
    <row r="136" spans="1:10" s="121" customFormat="1" ht="12.75">
      <c r="A136" s="78"/>
      <c r="B136" s="78">
        <v>1.05</v>
      </c>
      <c r="C136" s="78" t="str">
        <f>'Unit tariffs'!B$84</f>
        <v>hour-artisan assistant</v>
      </c>
      <c r="D136" s="78"/>
      <c r="E136" s="78"/>
      <c r="F136" s="78"/>
      <c r="G136" s="78"/>
      <c r="H136" s="80">
        <v>31.84122236937231</v>
      </c>
      <c r="I136" s="80">
        <f>VLOOKUP($C136,'Unit tariffs'!$B$21:$F$122,5,FALSE)*$B136</f>
        <v>134.96259807692311</v>
      </c>
      <c r="J136" s="80"/>
    </row>
    <row r="137" spans="1:10" ht="12.75">
      <c r="A137" s="97"/>
      <c r="B137" s="78">
        <v>0.03</v>
      </c>
      <c r="C137" s="78" t="str">
        <f>'Unit tariffs'!B85</f>
        <v>hour-meter assistant</v>
      </c>
      <c r="D137" s="78"/>
      <c r="E137" s="78"/>
      <c r="F137" s="78"/>
      <c r="G137" s="78"/>
      <c r="H137" s="87">
        <f>74.74*B137</f>
        <v>2.2422</v>
      </c>
      <c r="I137" s="87">
        <f>VLOOKUP($C137,'Unit tariffs'!$B$21:$F$122,5,FALSE)*$B137</f>
        <v>3.8560742307692313</v>
      </c>
      <c r="J137" s="111"/>
    </row>
    <row r="138" spans="1:10" ht="12.75">
      <c r="A138" s="97"/>
      <c r="B138" s="78"/>
      <c r="C138" s="78"/>
      <c r="D138" s="78"/>
      <c r="E138" s="78"/>
      <c r="F138" s="78"/>
      <c r="G138" s="78"/>
      <c r="H138" s="80">
        <f>SUM(H135:H137)</f>
        <v>70.09516888204155</v>
      </c>
      <c r="I138" s="80">
        <f>SUM(I135:I136)</f>
        <v>209.21861137500002</v>
      </c>
      <c r="J138" s="111"/>
    </row>
    <row r="139" spans="1:10" ht="12.75">
      <c r="A139" s="97"/>
      <c r="B139" s="110" t="s">
        <v>43</v>
      </c>
      <c r="C139" s="78"/>
      <c r="D139" s="78"/>
      <c r="E139" s="78"/>
      <c r="F139" s="78"/>
      <c r="G139" s="78"/>
      <c r="H139" s="78"/>
      <c r="I139" s="78"/>
      <c r="J139" s="101"/>
    </row>
    <row r="140" spans="1:10" ht="12.75">
      <c r="A140" s="97"/>
      <c r="B140" s="78"/>
      <c r="C140" s="78"/>
      <c r="D140" s="78"/>
      <c r="E140" s="78"/>
      <c r="F140" s="78"/>
      <c r="G140" s="78"/>
      <c r="H140" s="78"/>
      <c r="I140" s="78"/>
      <c r="J140" s="101"/>
    </row>
    <row r="141" spans="1:10" ht="12.75">
      <c r="A141" s="97"/>
      <c r="B141" s="78">
        <v>24</v>
      </c>
      <c r="C141" s="78" t="str">
        <f>'Unit tariffs'!B$110</f>
        <v>km-truck with platform</v>
      </c>
      <c r="D141" s="78"/>
      <c r="E141" s="78"/>
      <c r="F141" s="78"/>
      <c r="G141" s="78"/>
      <c r="H141" s="80">
        <v>3.8</v>
      </c>
      <c r="I141" s="80">
        <f>VLOOKUP($C141,'Unit tariffs'!$B$21:$F$122,5,FALSE)*$B141</f>
        <v>970.1459533764145</v>
      </c>
      <c r="J141" s="111"/>
    </row>
    <row r="142" spans="1:10" ht="12.75">
      <c r="A142" s="97"/>
      <c r="B142" s="78">
        <v>1</v>
      </c>
      <c r="C142" s="78" t="str">
        <f>'Unit tariffs'!B$111</f>
        <v>hour-truck with platform</v>
      </c>
      <c r="D142" s="78"/>
      <c r="E142" s="78"/>
      <c r="F142" s="78"/>
      <c r="G142" s="78"/>
      <c r="H142" s="80">
        <v>33.522502</v>
      </c>
      <c r="I142" s="80">
        <f>VLOOKUP($C142,'Unit tariffs'!$B$21:$F$122,5,FALSE)*$B142</f>
        <v>196.72208955055</v>
      </c>
      <c r="J142" s="111"/>
    </row>
    <row r="143" spans="1:10" ht="13.5" thickBot="1">
      <c r="A143" s="97"/>
      <c r="B143" s="78"/>
      <c r="C143" s="78"/>
      <c r="D143" s="78"/>
      <c r="E143" s="78"/>
      <c r="F143" s="78"/>
      <c r="G143" s="78"/>
      <c r="H143" s="113">
        <f>SUM(H141:H142)</f>
        <v>37.322502</v>
      </c>
      <c r="I143" s="113">
        <f>SUM(I141:I142)</f>
        <v>1166.8680429269646</v>
      </c>
      <c r="J143" s="111"/>
    </row>
    <row r="144" spans="1:10" ht="13.5" thickTop="1">
      <c r="A144" s="97"/>
      <c r="B144" s="78"/>
      <c r="C144" s="78"/>
      <c r="D144" s="78"/>
      <c r="E144" s="78"/>
      <c r="F144" s="78"/>
      <c r="G144" s="80"/>
      <c r="H144" s="80">
        <f>H143+H138+H131</f>
        <v>8539.167670882041</v>
      </c>
      <c r="I144" s="80">
        <f>I143+I138+I131</f>
        <v>12047.40094251385</v>
      </c>
      <c r="J144" s="111"/>
    </row>
    <row r="145" spans="1:10" ht="13.5" thickBot="1">
      <c r="A145" s="97"/>
      <c r="B145" s="110" t="str">
        <f>'Unit tariffs'!$B$7</f>
        <v>Administration Levy (Indirect Cost)</v>
      </c>
      <c r="C145" s="78"/>
      <c r="D145" s="112">
        <f>'Unit tariffs'!$C$7</f>
        <v>0.1</v>
      </c>
      <c r="E145" s="78" t="s">
        <v>312</v>
      </c>
      <c r="F145" s="196">
        <f>+'Unit tariffs'!$F$7</f>
        <v>10000</v>
      </c>
      <c r="G145" s="80"/>
      <c r="H145" s="114">
        <f>H144*0.2636</f>
        <v>2250.924598044506</v>
      </c>
      <c r="I145" s="114">
        <f>IF(I144*$D145&gt;='Unit tariffs'!$E$7,'Unit tariffs'!$E$7,I144*$D145)</f>
        <v>1204.740094251385</v>
      </c>
      <c r="J145" s="111"/>
    </row>
    <row r="146" spans="1:10" ht="13.5" thickTop="1">
      <c r="A146" s="97"/>
      <c r="B146" s="110" t="s">
        <v>44</v>
      </c>
      <c r="C146" s="78"/>
      <c r="D146" s="78"/>
      <c r="E146" s="78"/>
      <c r="F146" s="78"/>
      <c r="G146" s="80"/>
      <c r="H146" s="115">
        <f>SUM(H144:H145)</f>
        <v>10790.092268926548</v>
      </c>
      <c r="I146" s="115">
        <f>SUM(I144:I145)</f>
        <v>13252.141036765235</v>
      </c>
      <c r="J146" s="111"/>
    </row>
    <row r="147" spans="1:10" ht="12.75">
      <c r="A147" s="97"/>
      <c r="B147" s="110"/>
      <c r="C147" s="78"/>
      <c r="D147" s="78"/>
      <c r="E147" s="78"/>
      <c r="F147" s="78"/>
      <c r="G147" s="80"/>
      <c r="H147" s="80"/>
      <c r="I147" s="80"/>
      <c r="J147" s="111"/>
    </row>
    <row r="148" spans="1:10" ht="12.75">
      <c r="A148" s="97"/>
      <c r="B148" s="110" t="s">
        <v>45</v>
      </c>
      <c r="C148" s="78"/>
      <c r="D148" s="78"/>
      <c r="E148" s="78"/>
      <c r="F148" s="78"/>
      <c r="G148" s="78"/>
      <c r="H148" s="90">
        <f>ROUND(H146,-1)</f>
        <v>10790</v>
      </c>
      <c r="I148" s="90">
        <f>ROUND(I146,-1)</f>
        <v>13250</v>
      </c>
      <c r="J148" s="116"/>
    </row>
    <row r="149" spans="1:10" ht="12.75">
      <c r="A149" s="97"/>
      <c r="B149" s="78"/>
      <c r="C149" s="78"/>
      <c r="D149" s="78"/>
      <c r="E149" s="78"/>
      <c r="F149" s="78"/>
      <c r="G149" s="78"/>
      <c r="H149" s="80"/>
      <c r="I149" s="80"/>
      <c r="J149" s="111"/>
    </row>
    <row r="150" spans="1:10" ht="12.75">
      <c r="A150" s="97"/>
      <c r="B150" s="78"/>
      <c r="C150" s="78"/>
      <c r="D150" s="78"/>
      <c r="E150" s="78"/>
      <c r="F150" s="78"/>
      <c r="G150" s="78"/>
      <c r="H150" s="609" t="s">
        <v>559</v>
      </c>
      <c r="I150" s="118">
        <f>(+I148-H148)/H148</f>
        <v>0.22798887859128822</v>
      </c>
      <c r="J150" s="119"/>
    </row>
    <row r="151" spans="1:10" ht="13.5" thickBot="1">
      <c r="A151" s="462"/>
      <c r="B151" s="130"/>
      <c r="C151" s="130"/>
      <c r="D151" s="130"/>
      <c r="E151" s="130"/>
      <c r="F151" s="130"/>
      <c r="G151" s="130"/>
      <c r="H151" s="130"/>
      <c r="I151" s="130"/>
      <c r="J151" s="463"/>
    </row>
    <row r="152" spans="1:10" ht="13.5" thickTop="1">
      <c r="A152" s="97"/>
      <c r="B152" s="78"/>
      <c r="C152" s="78"/>
      <c r="D152" s="78"/>
      <c r="E152" s="78"/>
      <c r="F152" s="78"/>
      <c r="G152" s="78"/>
      <c r="H152" s="78"/>
      <c r="I152" s="78"/>
      <c r="J152" s="101"/>
    </row>
    <row r="153" spans="1:10" ht="13.5" thickBot="1">
      <c r="A153" s="97"/>
      <c r="B153" s="78"/>
      <c r="C153" s="78"/>
      <c r="D153" s="78"/>
      <c r="E153" s="78"/>
      <c r="F153" s="78"/>
      <c r="G153" s="78"/>
      <c r="H153" s="78"/>
      <c r="I153" s="78"/>
      <c r="J153" s="101"/>
    </row>
    <row r="154" spans="1:10" ht="13.5" thickTop="1">
      <c r="A154" s="459"/>
      <c r="B154" s="127" t="s">
        <v>1</v>
      </c>
      <c r="C154" s="127"/>
      <c r="D154" s="127"/>
      <c r="E154" s="127"/>
      <c r="F154" s="127"/>
      <c r="G154" s="127"/>
      <c r="H154" s="127"/>
      <c r="I154" s="127"/>
      <c r="J154" s="460"/>
    </row>
    <row r="155" spans="1:10" ht="40.5" customHeight="1">
      <c r="A155" s="97"/>
      <c r="B155" s="820" t="s">
        <v>492</v>
      </c>
      <c r="C155" s="821"/>
      <c r="D155" s="821"/>
      <c r="E155" s="821"/>
      <c r="F155" s="821"/>
      <c r="G155" s="822"/>
      <c r="H155" s="78"/>
      <c r="I155" s="78"/>
      <c r="J155" s="101"/>
    </row>
    <row r="156" spans="1:10" ht="15" customHeight="1">
      <c r="A156" s="97"/>
      <c r="B156" s="132"/>
      <c r="C156" s="133"/>
      <c r="D156" s="133"/>
      <c r="E156" s="133"/>
      <c r="F156" s="133"/>
      <c r="G156" s="133"/>
      <c r="H156" s="78"/>
      <c r="I156" s="78"/>
      <c r="J156" s="101"/>
    </row>
    <row r="157" spans="1:10" ht="26.25" customHeight="1">
      <c r="A157" s="97"/>
      <c r="B157" s="820" t="s">
        <v>562</v>
      </c>
      <c r="C157" s="821"/>
      <c r="D157" s="821"/>
      <c r="E157" s="821"/>
      <c r="F157" s="821"/>
      <c r="G157" s="822"/>
      <c r="H157" s="78"/>
      <c r="I157" s="78"/>
      <c r="J157" s="101"/>
    </row>
    <row r="158" spans="1:10" ht="13.5" thickBot="1">
      <c r="A158" s="97"/>
      <c r="B158" s="78" t="s">
        <v>1</v>
      </c>
      <c r="C158" s="78"/>
      <c r="D158" s="78"/>
      <c r="E158" s="78"/>
      <c r="F158" s="78"/>
      <c r="G158" s="78"/>
      <c r="H158" s="78"/>
      <c r="I158" s="78"/>
      <c r="J158" s="101"/>
    </row>
    <row r="159" spans="1:10" ht="13.5" thickBot="1">
      <c r="A159" s="97"/>
      <c r="B159" s="78"/>
      <c r="C159" s="78"/>
      <c r="D159" s="78"/>
      <c r="E159" s="78"/>
      <c r="F159" s="78"/>
      <c r="G159" s="78"/>
      <c r="H159" s="78"/>
      <c r="I159" s="108" t="s">
        <v>240</v>
      </c>
      <c r="J159" s="101"/>
    </row>
    <row r="160" spans="1:10" ht="12.75">
      <c r="A160" s="97"/>
      <c r="B160" s="78" t="s">
        <v>1</v>
      </c>
      <c r="C160" s="78"/>
      <c r="D160" s="78"/>
      <c r="E160" s="78"/>
      <c r="F160" s="78"/>
      <c r="G160" s="78"/>
      <c r="H160" s="78"/>
      <c r="I160" s="78"/>
      <c r="J160" s="101"/>
    </row>
    <row r="161" spans="1:10" ht="12.75">
      <c r="A161" s="97"/>
      <c r="B161" s="78"/>
      <c r="C161" s="78"/>
      <c r="D161" s="78"/>
      <c r="E161" s="78"/>
      <c r="F161" s="78"/>
      <c r="G161" s="78"/>
      <c r="H161" s="109" t="str">
        <f>+H$11</f>
        <v>2020/2021</v>
      </c>
      <c r="I161" s="109" t="str">
        <f>+'Unit tariffs'!$F$11</f>
        <v>2021/2022</v>
      </c>
      <c r="J161" s="458" t="s">
        <v>315</v>
      </c>
    </row>
    <row r="162" spans="1:10" ht="12.75">
      <c r="A162" s="97"/>
      <c r="B162" s="110" t="s">
        <v>41</v>
      </c>
      <c r="C162" s="78"/>
      <c r="D162" s="78"/>
      <c r="E162" s="78"/>
      <c r="F162" s="78"/>
      <c r="G162" s="78"/>
      <c r="H162" s="78"/>
      <c r="I162" s="78"/>
      <c r="J162" s="101"/>
    </row>
    <row r="163" spans="1:10" ht="12.75">
      <c r="A163" s="97"/>
      <c r="B163" s="78"/>
      <c r="C163" s="78"/>
      <c r="D163" s="78"/>
      <c r="E163" s="78"/>
      <c r="F163" s="78"/>
      <c r="G163" s="78"/>
      <c r="H163" s="78"/>
      <c r="I163" s="78"/>
      <c r="J163" s="101"/>
    </row>
    <row r="164" spans="1:10" ht="12.75">
      <c r="A164" s="97"/>
      <c r="B164" s="78">
        <v>1</v>
      </c>
      <c r="C164" s="91" t="str">
        <f>+'Unit tariffs'!B32</f>
        <v>TOU kWh meter - 80- 120Amp 220/240V</v>
      </c>
      <c r="D164" s="78"/>
      <c r="E164" s="78"/>
      <c r="F164" s="78"/>
      <c r="G164" s="78"/>
      <c r="H164" s="80">
        <v>5100.68542</v>
      </c>
      <c r="I164" s="576">
        <f>VLOOKUP($C164,'Unit tariffs'!$B$21:$F$122,5,FALSE)*$B164</f>
        <v>5314.91420764</v>
      </c>
      <c r="J164" s="471" t="e">
        <f>IF(+I164*'Unit tariffs'!#REF!&gt;'Unit tariffs'!#REF!,'Unit tariffs'!#REF!,+I164*'Unit tariffs'!#REF!)</f>
        <v>#REF!</v>
      </c>
    </row>
    <row r="165" spans="1:10" ht="12.75">
      <c r="A165" s="97"/>
      <c r="B165" s="78">
        <v>1</v>
      </c>
      <c r="C165" s="78" t="str">
        <f>'Unit tariffs'!B42</f>
        <v>x 80 A circuit breaker (5kA) - Orange</v>
      </c>
      <c r="D165" s="78"/>
      <c r="E165" s="78"/>
      <c r="F165" s="78"/>
      <c r="G165" s="78"/>
      <c r="H165" s="80">
        <v>180.33804099999998</v>
      </c>
      <c r="I165" s="80">
        <f>VLOOKUP($C165,'Unit tariffs'!$B$21:$F$122,5,FALSE)*$B165</f>
        <v>187.91223872199998</v>
      </c>
      <c r="J165" s="471" t="e">
        <f>IF(+I165*'Unit tariffs'!#REF!&gt;'Unit tariffs'!#REF!,'Unit tariffs'!#REF!,+I165*'Unit tariffs'!#REF!)</f>
        <v>#REF!</v>
      </c>
    </row>
    <row r="166" spans="1:10" ht="12.75">
      <c r="A166" s="97"/>
      <c r="B166" s="78">
        <v>1</v>
      </c>
      <c r="C166" s="78" t="s">
        <v>17</v>
      </c>
      <c r="D166" s="78"/>
      <c r="E166" s="78"/>
      <c r="F166" s="78"/>
      <c r="G166" s="78"/>
      <c r="H166" s="87">
        <v>32.08197743055</v>
      </c>
      <c r="I166" s="87">
        <f>VLOOKUP($C166,'Unit tariffs'!$B$21:$F$122,5,FALSE)*$B166</f>
        <v>260.5</v>
      </c>
      <c r="J166" s="471" t="e">
        <f>IF(+I166*'Unit tariffs'!#REF!&gt;'Unit tariffs'!#REF!,'Unit tariffs'!#REF!,+I166*'Unit tariffs'!#REF!)</f>
        <v>#REF!</v>
      </c>
    </row>
    <row r="167" spans="1:10" ht="12.75">
      <c r="A167" s="97"/>
      <c r="B167" s="78"/>
      <c r="C167" s="78"/>
      <c r="D167" s="78"/>
      <c r="E167" s="78"/>
      <c r="F167" s="78"/>
      <c r="G167" s="78"/>
      <c r="H167" s="80">
        <f>SUM(H164:H166)</f>
        <v>5313.10543843055</v>
      </c>
      <c r="I167" s="80">
        <f>SUM(I164:I166)</f>
        <v>5763.326446362</v>
      </c>
      <c r="J167" s="111"/>
    </row>
    <row r="168" spans="1:10" ht="12.75">
      <c r="A168" s="97"/>
      <c r="B168" s="110"/>
      <c r="C168" s="78"/>
      <c r="D168" s="112"/>
      <c r="E168" s="78"/>
      <c r="F168" s="196"/>
      <c r="G168" s="78"/>
      <c r="H168" s="80"/>
      <c r="I168" s="198"/>
      <c r="J168" s="111"/>
    </row>
    <row r="169" spans="1:10" ht="12.75">
      <c r="A169" s="97"/>
      <c r="B169" s="78"/>
      <c r="C169" s="78"/>
      <c r="D169" s="78"/>
      <c r="E169" s="78"/>
      <c r="F169" s="78"/>
      <c r="G169" s="80"/>
      <c r="H169" s="80"/>
      <c r="I169" s="80"/>
      <c r="J169" s="111"/>
    </row>
    <row r="170" spans="1:10" ht="12.75">
      <c r="A170" s="97"/>
      <c r="B170" s="110" t="s">
        <v>42</v>
      </c>
      <c r="C170" s="78"/>
      <c r="D170" s="78"/>
      <c r="E170" s="78"/>
      <c r="F170" s="78"/>
      <c r="G170" s="78"/>
      <c r="H170" s="78"/>
      <c r="I170" s="78"/>
      <c r="J170" s="101"/>
    </row>
    <row r="171" spans="1:10" ht="12.75">
      <c r="A171" s="97"/>
      <c r="B171" s="78"/>
      <c r="C171" s="78"/>
      <c r="D171" s="78"/>
      <c r="E171" s="78"/>
      <c r="F171" s="78"/>
      <c r="G171" s="78"/>
      <c r="H171" s="78"/>
      <c r="I171" s="78"/>
      <c r="J171" s="101"/>
    </row>
    <row r="172" spans="1:10" ht="12.75">
      <c r="A172" s="97"/>
      <c r="B172" s="78">
        <v>1</v>
      </c>
      <c r="C172" s="78" t="str">
        <f>'Unit tariffs'!B$86</f>
        <v>hour-artisan </v>
      </c>
      <c r="D172" s="78"/>
      <c r="E172" s="78"/>
      <c r="F172" s="78"/>
      <c r="G172" s="78"/>
      <c r="H172" s="80">
        <v>180.05873256334615</v>
      </c>
      <c r="I172" s="80">
        <f>VLOOKUP($C172,'Unit tariffs'!$B$21:$F$122,5,FALSE)*$B172</f>
        <v>322.85223173076923</v>
      </c>
      <c r="J172" s="111"/>
    </row>
    <row r="173" spans="1:10" ht="12.75">
      <c r="A173" s="97"/>
      <c r="B173" s="78">
        <v>2</v>
      </c>
      <c r="C173" s="78" t="str">
        <f>'Unit tariffs'!B$84</f>
        <v>hour-artisan assistant</v>
      </c>
      <c r="D173" s="78"/>
      <c r="E173" s="78"/>
      <c r="F173" s="78"/>
      <c r="G173" s="78"/>
      <c r="H173" s="87">
        <v>159.20611184686155</v>
      </c>
      <c r="I173" s="87">
        <f>VLOOKUP($C173,'Unit tariffs'!$B$21:$F$122,5,FALSE)*$B173</f>
        <v>257.0716153846154</v>
      </c>
      <c r="J173" s="111"/>
    </row>
    <row r="174" spans="1:10" ht="12.75">
      <c r="A174" s="97"/>
      <c r="B174" s="78"/>
      <c r="C174" s="78"/>
      <c r="D174" s="78"/>
      <c r="E174" s="78"/>
      <c r="F174" s="78"/>
      <c r="G174" s="78"/>
      <c r="H174" s="80">
        <f>SUM(H172:H173)</f>
        <v>339.26484441020773</v>
      </c>
      <c r="I174" s="80">
        <f>SUM(I172:I173)</f>
        <v>579.9238471153847</v>
      </c>
      <c r="J174" s="111"/>
    </row>
    <row r="175" spans="1:10" ht="12.75">
      <c r="A175" s="97"/>
      <c r="B175" s="110" t="s">
        <v>43</v>
      </c>
      <c r="C175" s="78"/>
      <c r="D175" s="78"/>
      <c r="E175" s="78"/>
      <c r="F175" s="78"/>
      <c r="G175" s="78"/>
      <c r="H175" s="78"/>
      <c r="I175" s="78"/>
      <c r="J175" s="101"/>
    </row>
    <row r="176" spans="1:10" ht="12.75">
      <c r="A176" s="97"/>
      <c r="B176" s="78"/>
      <c r="C176" s="78"/>
      <c r="D176" s="78"/>
      <c r="E176" s="78"/>
      <c r="F176" s="78"/>
      <c r="G176" s="78"/>
      <c r="H176" s="78"/>
      <c r="I176" s="78"/>
      <c r="J176" s="101"/>
    </row>
    <row r="177" spans="1:10" ht="12.75">
      <c r="A177" s="97"/>
      <c r="B177" s="78">
        <v>24</v>
      </c>
      <c r="C177" s="78" t="str">
        <f>'Unit tariffs'!B$110</f>
        <v>km-truck with platform</v>
      </c>
      <c r="D177" s="78"/>
      <c r="E177" s="78"/>
      <c r="F177" s="78"/>
      <c r="G177" s="78"/>
      <c r="H177" s="80">
        <v>779.1765820800001</v>
      </c>
      <c r="I177" s="80">
        <f>VLOOKUP($C177,'Unit tariffs'!$B$21:$F$122,5,FALSE)*$B177</f>
        <v>970.1459533764145</v>
      </c>
      <c r="J177" s="111"/>
    </row>
    <row r="178" spans="1:10" ht="12.75">
      <c r="A178" s="97"/>
      <c r="B178" s="78">
        <v>1</v>
      </c>
      <c r="C178" s="78" t="str">
        <f>'Unit tariffs'!B$111</f>
        <v>hour-truck with platform</v>
      </c>
      <c r="D178" s="78"/>
      <c r="E178" s="78"/>
      <c r="F178" s="78"/>
      <c r="G178" s="78"/>
      <c r="H178" s="80">
        <v>167.61251000000001</v>
      </c>
      <c r="I178" s="80">
        <f>VLOOKUP($C178,'Unit tariffs'!$B$21:$F$122,5,FALSE)*$B178</f>
        <v>196.72208955055</v>
      </c>
      <c r="J178" s="111"/>
    </row>
    <row r="179" spans="1:10" ht="13.5" thickBot="1">
      <c r="A179" s="97"/>
      <c r="B179" s="78"/>
      <c r="C179" s="78"/>
      <c r="D179" s="78"/>
      <c r="E179" s="78"/>
      <c r="F179" s="78"/>
      <c r="G179" s="78"/>
      <c r="H179" s="113">
        <f>SUM(H177:H178)</f>
        <v>946.7890920800002</v>
      </c>
      <c r="I179" s="113">
        <f>SUM(I177:I178)</f>
        <v>1166.8680429269646</v>
      </c>
      <c r="J179" s="111"/>
    </row>
    <row r="180" spans="1:10" ht="13.5" thickTop="1">
      <c r="A180" s="97"/>
      <c r="B180" s="78"/>
      <c r="C180" s="78"/>
      <c r="D180" s="78"/>
      <c r="E180" s="78"/>
      <c r="F180" s="78"/>
      <c r="G180" s="80"/>
      <c r="H180" s="80">
        <f>+H179+H174+H167</f>
        <v>6599.159374920758</v>
      </c>
      <c r="I180" s="80">
        <f>I179+I174+I167</f>
        <v>7510.118336404349</v>
      </c>
      <c r="J180" s="111"/>
    </row>
    <row r="181" spans="1:10" ht="13.5" thickBot="1">
      <c r="A181" s="97"/>
      <c r="B181" s="110" t="str">
        <f>'Unit tariffs'!$B$7</f>
        <v>Administration Levy (Indirect Cost)</v>
      </c>
      <c r="C181" s="78"/>
      <c r="D181" s="112">
        <f>'Unit tariffs'!$C$7</f>
        <v>0.1</v>
      </c>
      <c r="E181" s="78" t="s">
        <v>312</v>
      </c>
      <c r="F181" s="196">
        <f>+'Unit tariffs'!$F$7</f>
        <v>10000</v>
      </c>
      <c r="G181" s="80"/>
      <c r="H181" s="114">
        <v>1789.633640621974</v>
      </c>
      <c r="I181" s="114">
        <f>IF(I180*$D181&gt;='Unit tariffs'!$E$7,'Unit tariffs'!$E$7,I180*$D181)</f>
        <v>751.0118336404349</v>
      </c>
      <c r="J181" s="111"/>
    </row>
    <row r="182" spans="1:10" ht="13.5" thickTop="1">
      <c r="A182" s="97"/>
      <c r="B182" s="110" t="s">
        <v>44</v>
      </c>
      <c r="C182" s="78"/>
      <c r="D182" s="78"/>
      <c r="E182" s="78"/>
      <c r="F182" s="78"/>
      <c r="G182" s="80"/>
      <c r="H182" s="115">
        <v>8502.437994042732</v>
      </c>
      <c r="I182" s="115">
        <f>SUM(I180:I181)</f>
        <v>8261.130170044784</v>
      </c>
      <c r="J182" s="111"/>
    </row>
    <row r="183" spans="1:10" ht="12.75">
      <c r="A183" s="97"/>
      <c r="B183" s="110"/>
      <c r="C183" s="78"/>
      <c r="D183" s="78"/>
      <c r="E183" s="78"/>
      <c r="F183" s="78"/>
      <c r="G183" s="80"/>
      <c r="H183" s="80"/>
      <c r="I183" s="80"/>
      <c r="J183" s="111"/>
    </row>
    <row r="184" spans="1:10" ht="12.75">
      <c r="A184" s="97"/>
      <c r="B184" s="110" t="s">
        <v>45</v>
      </c>
      <c r="C184" s="78"/>
      <c r="D184" s="78"/>
      <c r="E184" s="78"/>
      <c r="F184" s="78"/>
      <c r="G184" s="78"/>
      <c r="H184" s="90">
        <v>8500</v>
      </c>
      <c r="I184" s="90">
        <f>ROUND(I182,-1)</f>
        <v>8260</v>
      </c>
      <c r="J184" s="116"/>
    </row>
    <row r="185" spans="1:10" ht="12.75">
      <c r="A185" s="97"/>
      <c r="B185" s="78"/>
      <c r="C185" s="78"/>
      <c r="D185" s="78"/>
      <c r="E185" s="78"/>
      <c r="F185" s="78"/>
      <c r="G185" s="78"/>
      <c r="H185" s="80"/>
      <c r="I185" s="80"/>
      <c r="J185" s="111"/>
    </row>
    <row r="186" spans="1:10" ht="12.75">
      <c r="A186" s="97"/>
      <c r="B186" s="78"/>
      <c r="C186" s="78"/>
      <c r="D186" s="78"/>
      <c r="E186" s="78"/>
      <c r="F186" s="78"/>
      <c r="G186" s="78"/>
      <c r="H186" s="118">
        <v>0.039119804400977995</v>
      </c>
      <c r="I186" s="118">
        <f>(+I184-H184)/H184</f>
        <v>-0.02823529411764706</v>
      </c>
      <c r="J186" s="119"/>
    </row>
    <row r="187" spans="1:10" ht="13.5" thickBot="1">
      <c r="A187" s="462"/>
      <c r="B187" s="130"/>
      <c r="C187" s="130"/>
      <c r="D187" s="130"/>
      <c r="E187" s="130"/>
      <c r="F187" s="130"/>
      <c r="G187" s="130"/>
      <c r="H187" s="130"/>
      <c r="I187" s="130"/>
      <c r="J187" s="463"/>
    </row>
    <row r="188" spans="1:10" ht="13.5" thickTop="1">
      <c r="A188" s="97"/>
      <c r="B188" s="78"/>
      <c r="C188" s="78"/>
      <c r="D188" s="78"/>
      <c r="E188" s="78"/>
      <c r="F188" s="78"/>
      <c r="G188" s="78"/>
      <c r="H188" s="78"/>
      <c r="I188" s="78"/>
      <c r="J188" s="101"/>
    </row>
    <row r="189" spans="1:10" ht="13.5" thickBot="1">
      <c r="A189" s="97"/>
      <c r="B189" s="78"/>
      <c r="C189" s="78"/>
      <c r="D189" s="78"/>
      <c r="E189" s="78"/>
      <c r="F189" s="78"/>
      <c r="G189" s="78"/>
      <c r="H189" s="78"/>
      <c r="I189" s="78"/>
      <c r="J189" s="101"/>
    </row>
    <row r="190" spans="1:10" ht="13.5" thickTop="1">
      <c r="A190" s="459"/>
      <c r="B190" s="127" t="s">
        <v>1</v>
      </c>
      <c r="C190" s="127"/>
      <c r="D190" s="127"/>
      <c r="E190" s="127"/>
      <c r="F190" s="127"/>
      <c r="G190" s="127"/>
      <c r="H190" s="127"/>
      <c r="I190" s="127"/>
      <c r="J190" s="460"/>
    </row>
    <row r="191" spans="1:10" ht="15.75" customHeight="1" thickBot="1">
      <c r="A191" s="97"/>
      <c r="B191" s="839" t="s">
        <v>493</v>
      </c>
      <c r="C191" s="840"/>
      <c r="D191" s="840"/>
      <c r="E191" s="840"/>
      <c r="F191" s="840"/>
      <c r="G191" s="841"/>
      <c r="H191" s="78"/>
      <c r="I191" s="78"/>
      <c r="J191" s="101"/>
    </row>
    <row r="192" spans="1:10" ht="13.5" thickBot="1">
      <c r="A192" s="97"/>
      <c r="B192" s="78" t="s">
        <v>1</v>
      </c>
      <c r="C192" s="78"/>
      <c r="D192" s="78"/>
      <c r="E192" s="78"/>
      <c r="F192" s="78"/>
      <c r="G192" s="78"/>
      <c r="H192" s="78"/>
      <c r="I192" s="108" t="s">
        <v>240</v>
      </c>
      <c r="J192" s="101"/>
    </row>
    <row r="193" spans="1:10" ht="12.75">
      <c r="A193" s="97"/>
      <c r="B193" s="78" t="s">
        <v>1</v>
      </c>
      <c r="C193" s="78"/>
      <c r="D193" s="78"/>
      <c r="E193" s="78"/>
      <c r="F193" s="78"/>
      <c r="G193" s="78"/>
      <c r="H193" s="78"/>
      <c r="I193" s="78"/>
      <c r="J193" s="101"/>
    </row>
    <row r="194" spans="1:10" ht="12.75">
      <c r="A194" s="97"/>
      <c r="B194" s="78"/>
      <c r="C194" s="78"/>
      <c r="D194" s="78"/>
      <c r="E194" s="78"/>
      <c r="F194" s="78"/>
      <c r="G194" s="78"/>
      <c r="H194" s="109" t="str">
        <f>+H$11</f>
        <v>2020/2021</v>
      </c>
      <c r="I194" s="109" t="str">
        <f>+'Unit tariffs'!$F$11</f>
        <v>2021/2022</v>
      </c>
      <c r="J194" s="458" t="s">
        <v>315</v>
      </c>
    </row>
    <row r="195" spans="1:10" ht="12.75">
      <c r="A195" s="97"/>
      <c r="B195" s="110" t="s">
        <v>41</v>
      </c>
      <c r="C195" s="78"/>
      <c r="D195" s="78"/>
      <c r="E195" s="78"/>
      <c r="F195" s="78"/>
      <c r="G195" s="78"/>
      <c r="H195" s="78"/>
      <c r="I195" s="78"/>
      <c r="J195" s="101"/>
    </row>
    <row r="196" spans="1:10" ht="12.75">
      <c r="A196" s="97"/>
      <c r="B196" s="78"/>
      <c r="C196" s="78"/>
      <c r="D196" s="78"/>
      <c r="E196" s="78"/>
      <c r="F196" s="78"/>
      <c r="G196" s="78"/>
      <c r="H196" s="78"/>
      <c r="I196" s="78"/>
      <c r="J196" s="101"/>
    </row>
    <row r="197" spans="1:10" ht="12.75">
      <c r="A197" s="97"/>
      <c r="B197" s="78">
        <v>1</v>
      </c>
      <c r="C197" s="78" t="str">
        <f>'Unit tariffs'!B34</f>
        <v>Prepaid meter (Split) 1 phase 59A Unique Mbani</v>
      </c>
      <c r="D197" s="78"/>
      <c r="E197" s="78"/>
      <c r="F197" s="78"/>
      <c r="G197" s="78"/>
      <c r="H197" s="80">
        <v>2084.0248169999995</v>
      </c>
      <c r="I197" s="80">
        <f>VLOOKUP($C197,'Unit tariffs'!$B$21:$F$122,5,FALSE)*$B197</f>
        <v>2171.5538593139995</v>
      </c>
      <c r="J197" s="471" t="e">
        <f>IF(+I197*'Unit tariffs'!#REF!&gt;'Unit tariffs'!#REF!,'Unit tariffs'!#REF!,+I197*'Unit tariffs'!#REF!)</f>
        <v>#REF!</v>
      </c>
    </row>
    <row r="198" spans="1:10" ht="12.75">
      <c r="A198" s="97"/>
      <c r="B198" s="78">
        <v>1</v>
      </c>
      <c r="C198" s="78" t="str">
        <f>'Unit tariffs'!B42</f>
        <v>x 80 A circuit breaker (5kA) - Orange</v>
      </c>
      <c r="D198" s="78"/>
      <c r="E198" s="78"/>
      <c r="F198" s="78"/>
      <c r="G198" s="78"/>
      <c r="H198" s="80">
        <v>180.33804099999998</v>
      </c>
      <c r="I198" s="80">
        <f>VLOOKUP($C198,'Unit tariffs'!$B$21:$F$122,5,FALSE)*$B198</f>
        <v>187.91223872199998</v>
      </c>
      <c r="J198" s="471" t="e">
        <f>IF(+I198*'Unit tariffs'!#REF!&gt;'Unit tariffs'!#REF!,'Unit tariffs'!#REF!,+I198*'Unit tariffs'!#REF!)</f>
        <v>#REF!</v>
      </c>
    </row>
    <row r="199" spans="1:10" ht="12.75">
      <c r="A199" s="97"/>
      <c r="B199" s="78">
        <v>1</v>
      </c>
      <c r="C199" s="78" t="str">
        <f>'Unit tariffs'!B21</f>
        <v>Installation material</v>
      </c>
      <c r="D199" s="78"/>
      <c r="E199" s="78"/>
      <c r="F199" s="78"/>
      <c r="G199" s="78"/>
      <c r="H199" s="87">
        <v>32.08197743055</v>
      </c>
      <c r="I199" s="87">
        <f>VLOOKUP($C199,'Unit tariffs'!$B$21:$F$122,5,FALSE)*$B199</f>
        <v>260.5</v>
      </c>
      <c r="J199" s="471" t="e">
        <f>IF(+I199*'Unit tariffs'!#REF!&gt;'Unit tariffs'!#REF!,'Unit tariffs'!#REF!,+I199*'Unit tariffs'!#REF!)</f>
        <v>#REF!</v>
      </c>
    </row>
    <row r="200" spans="1:10" ht="12.75">
      <c r="A200" s="97"/>
      <c r="B200" s="78"/>
      <c r="C200" s="78"/>
      <c r="D200" s="78"/>
      <c r="E200" s="78"/>
      <c r="F200" s="78"/>
      <c r="G200" s="78"/>
      <c r="H200" s="80">
        <f>SUM(H197:H199)</f>
        <v>2296.4448354305496</v>
      </c>
      <c r="I200" s="80">
        <f>SUM(I197:I199)</f>
        <v>2619.9660980359995</v>
      </c>
      <c r="J200" s="111"/>
    </row>
    <row r="201" spans="1:10" ht="12.75">
      <c r="A201" s="97"/>
      <c r="B201" s="110" t="s">
        <v>42</v>
      </c>
      <c r="C201" s="78"/>
      <c r="D201" s="78"/>
      <c r="E201" s="78"/>
      <c r="F201" s="78"/>
      <c r="G201" s="78"/>
      <c r="H201" s="78"/>
      <c r="I201" s="78"/>
      <c r="J201" s="101"/>
    </row>
    <row r="202" spans="1:10" ht="12.75">
      <c r="A202" s="97"/>
      <c r="B202" s="78"/>
      <c r="C202" s="78"/>
      <c r="D202" s="78"/>
      <c r="E202" s="78"/>
      <c r="F202" s="78"/>
      <c r="G202" s="78"/>
      <c r="H202" s="78"/>
      <c r="I202" s="78"/>
      <c r="J202" s="101"/>
    </row>
    <row r="203" spans="1:10" ht="12.75">
      <c r="A203" s="97"/>
      <c r="B203" s="78">
        <v>1</v>
      </c>
      <c r="C203" s="78" t="str">
        <f>'Unit tariffs'!B$86</f>
        <v>hour-artisan </v>
      </c>
      <c r="D203" s="78"/>
      <c r="E203" s="78"/>
      <c r="F203" s="78"/>
      <c r="G203" s="78"/>
      <c r="H203" s="80">
        <v>180.05873256334615</v>
      </c>
      <c r="I203" s="80">
        <f>VLOOKUP($C203,'Unit tariffs'!$B$21:$F$122,5,FALSE)*$B203</f>
        <v>322.85223173076923</v>
      </c>
      <c r="J203" s="111"/>
    </row>
    <row r="204" spans="1:10" ht="12.75">
      <c r="A204" s="97"/>
      <c r="B204" s="78">
        <v>2</v>
      </c>
      <c r="C204" s="78" t="str">
        <f>'Unit tariffs'!B$84</f>
        <v>hour-artisan assistant</v>
      </c>
      <c r="D204" s="78"/>
      <c r="E204" s="78"/>
      <c r="F204" s="78"/>
      <c r="G204" s="78"/>
      <c r="H204" s="87">
        <v>159.20611184686155</v>
      </c>
      <c r="I204" s="87">
        <f>VLOOKUP($C204,'Unit tariffs'!$B$21:$F$122,5,FALSE)*$B204</f>
        <v>257.0716153846154</v>
      </c>
      <c r="J204" s="111"/>
    </row>
    <row r="205" spans="1:10" ht="12.75">
      <c r="A205" s="97"/>
      <c r="B205" s="78"/>
      <c r="C205" s="78"/>
      <c r="D205" s="78"/>
      <c r="E205" s="78"/>
      <c r="F205" s="78"/>
      <c r="G205" s="78"/>
      <c r="H205" s="80">
        <f>SUM(H203:H204)</f>
        <v>339.26484441020773</v>
      </c>
      <c r="I205" s="80">
        <f>SUM(I203:I204)</f>
        <v>579.9238471153847</v>
      </c>
      <c r="J205" s="111"/>
    </row>
    <row r="206" spans="1:10" ht="12.75">
      <c r="A206" s="97"/>
      <c r="B206" s="110" t="s">
        <v>43</v>
      </c>
      <c r="C206" s="78"/>
      <c r="D206" s="78"/>
      <c r="E206" s="78"/>
      <c r="F206" s="78"/>
      <c r="G206" s="78"/>
      <c r="H206" s="78"/>
      <c r="I206" s="78"/>
      <c r="J206" s="101"/>
    </row>
    <row r="207" spans="1:10" ht="12.75">
      <c r="A207" s="97"/>
      <c r="B207" s="78"/>
      <c r="C207" s="78"/>
      <c r="D207" s="78"/>
      <c r="E207" s="78"/>
      <c r="F207" s="78"/>
      <c r="G207" s="78"/>
      <c r="H207" s="78"/>
      <c r="I207" s="78"/>
      <c r="J207" s="101"/>
    </row>
    <row r="208" spans="1:10" ht="12.75">
      <c r="A208" s="97"/>
      <c r="B208" s="78">
        <v>24</v>
      </c>
      <c r="C208" s="78" t="str">
        <f>'Unit tariffs'!B$110</f>
        <v>km-truck with platform</v>
      </c>
      <c r="D208" s="78"/>
      <c r="E208" s="78"/>
      <c r="F208" s="78"/>
      <c r="G208" s="78"/>
      <c r="H208" s="80">
        <v>779.1765820800001</v>
      </c>
      <c r="I208" s="80">
        <f>VLOOKUP($C208,'Unit tariffs'!$B$21:$F$122,5,FALSE)*$B208</f>
        <v>970.1459533764145</v>
      </c>
      <c r="J208" s="111"/>
    </row>
    <row r="209" spans="1:10" ht="12.75">
      <c r="A209" s="97"/>
      <c r="B209" s="78">
        <v>1</v>
      </c>
      <c r="C209" s="78" t="str">
        <f>'Unit tariffs'!B$111</f>
        <v>hour-truck with platform</v>
      </c>
      <c r="D209" s="78"/>
      <c r="E209" s="78"/>
      <c r="F209" s="78"/>
      <c r="G209" s="78"/>
      <c r="H209" s="87">
        <v>167.61251000000001</v>
      </c>
      <c r="I209" s="87">
        <f>VLOOKUP($C209,'Unit tariffs'!$B$21:$F$122,5,FALSE)*$B209</f>
        <v>196.72208955055</v>
      </c>
      <c r="J209" s="111"/>
    </row>
    <row r="210" spans="1:10" ht="13.5" thickBot="1">
      <c r="A210" s="97"/>
      <c r="B210" s="78"/>
      <c r="C210" s="78"/>
      <c r="D210" s="78"/>
      <c r="E210" s="78"/>
      <c r="F210" s="78"/>
      <c r="G210" s="78"/>
      <c r="H210" s="113">
        <f>SUM(H208:H209)</f>
        <v>946.7890920800002</v>
      </c>
      <c r="I210" s="113">
        <f>SUM(I208:I209)</f>
        <v>1166.8680429269646</v>
      </c>
      <c r="J210" s="111"/>
    </row>
    <row r="211" spans="1:10" ht="13.5" thickTop="1">
      <c r="A211" s="97"/>
      <c r="B211" s="78"/>
      <c r="C211" s="78"/>
      <c r="D211" s="78"/>
      <c r="E211" s="78"/>
      <c r="F211" s="78"/>
      <c r="G211" s="78"/>
      <c r="H211" s="80">
        <f>+H210+H205+H200</f>
        <v>3582.4987719207575</v>
      </c>
      <c r="I211" s="80">
        <f>I210+I205+I200</f>
        <v>4366.757988078349</v>
      </c>
      <c r="J211" s="111"/>
    </row>
    <row r="212" spans="1:10" ht="13.5" thickBot="1">
      <c r="A212" s="97"/>
      <c r="B212" s="110" t="str">
        <f>'Unit tariffs'!$B$7</f>
        <v>Administration Levy (Indirect Cost)</v>
      </c>
      <c r="C212" s="78"/>
      <c r="D212" s="112">
        <f>'Unit tariffs'!$C$7</f>
        <v>0.1</v>
      </c>
      <c r="E212" s="78" t="s">
        <v>312</v>
      </c>
      <c r="F212" s="196">
        <f>+'Unit tariffs'!$F$7</f>
        <v>10000</v>
      </c>
      <c r="G212" s="78"/>
      <c r="H212" s="114">
        <f>H211*0.2636</f>
        <v>944.3466762783116</v>
      </c>
      <c r="I212" s="114">
        <f>IF(I211*$D212&gt;='Unit tariffs'!$E$7,'Unit tariffs'!$E$7,I211*$D212)</f>
        <v>436.6757988078349</v>
      </c>
      <c r="J212" s="111"/>
    </row>
    <row r="213" spans="1:10" ht="13.5" thickTop="1">
      <c r="A213" s="97"/>
      <c r="B213" s="110" t="s">
        <v>44</v>
      </c>
      <c r="C213" s="78"/>
      <c r="D213" s="78"/>
      <c r="E213" s="78"/>
      <c r="F213" s="78"/>
      <c r="G213" s="78"/>
      <c r="H213" s="115">
        <f>SUM(H211:H212)</f>
        <v>4526.845448199069</v>
      </c>
      <c r="I213" s="115">
        <f>SUM(I211:I212)</f>
        <v>4803.433786886184</v>
      </c>
      <c r="J213" s="111"/>
    </row>
    <row r="214" spans="1:10" ht="12.75">
      <c r="A214" s="97"/>
      <c r="B214" s="78"/>
      <c r="C214" s="78"/>
      <c r="D214" s="78"/>
      <c r="E214" s="78"/>
      <c r="F214" s="78"/>
      <c r="G214" s="78"/>
      <c r="H214" s="78"/>
      <c r="I214" s="78"/>
      <c r="J214" s="101"/>
    </row>
    <row r="215" spans="1:10" ht="12.75">
      <c r="A215" s="97"/>
      <c r="B215" s="110" t="s">
        <v>45</v>
      </c>
      <c r="C215" s="78"/>
      <c r="D215" s="78"/>
      <c r="E215" s="78"/>
      <c r="F215" s="78"/>
      <c r="G215" s="78"/>
      <c r="H215" s="90">
        <f>ROUND(H213,-1)</f>
        <v>4530</v>
      </c>
      <c r="I215" s="90">
        <f>ROUND(I213,-1)</f>
        <v>4800</v>
      </c>
      <c r="J215" s="116"/>
    </row>
    <row r="216" spans="1:10" ht="12.75">
      <c r="A216" s="97"/>
      <c r="B216" s="78"/>
      <c r="C216" s="78"/>
      <c r="D216" s="78"/>
      <c r="E216" s="78"/>
      <c r="F216" s="78"/>
      <c r="G216" s="78"/>
      <c r="H216" s="80"/>
      <c r="I216" s="80"/>
      <c r="J216" s="111"/>
    </row>
    <row r="217" spans="1:10" ht="12.75">
      <c r="A217" s="97"/>
      <c r="B217" s="78"/>
      <c r="C217" s="78"/>
      <c r="D217" s="78"/>
      <c r="E217" s="78"/>
      <c r="F217" s="78"/>
      <c r="G217" s="78"/>
      <c r="H217" s="118">
        <v>0.044642857142857144</v>
      </c>
      <c r="I217" s="118">
        <f>(+I215-H215)/H215</f>
        <v>0.059602649006622516</v>
      </c>
      <c r="J217" s="119"/>
    </row>
    <row r="218" spans="1:10" ht="13.5" thickBot="1">
      <c r="A218" s="462"/>
      <c r="B218" s="130"/>
      <c r="C218" s="130"/>
      <c r="D218" s="130"/>
      <c r="E218" s="130"/>
      <c r="F218" s="130"/>
      <c r="G218" s="130"/>
      <c r="H218" s="130"/>
      <c r="I218" s="130"/>
      <c r="J218" s="463"/>
    </row>
    <row r="219" spans="1:10" ht="15" customHeight="1" thickBot="1" thickTop="1">
      <c r="A219" s="97"/>
      <c r="B219" s="138"/>
      <c r="C219" s="78"/>
      <c r="D219" s="78"/>
      <c r="E219" s="78"/>
      <c r="F219" s="78"/>
      <c r="G219" s="78"/>
      <c r="H219" s="88"/>
      <c r="I219" s="80"/>
      <c r="J219" s="101"/>
    </row>
    <row r="220" spans="1:10" ht="14.25" thickBot="1" thickTop="1">
      <c r="A220" s="459"/>
      <c r="B220" s="127" t="s">
        <v>1</v>
      </c>
      <c r="C220" s="127"/>
      <c r="D220" s="127"/>
      <c r="E220" s="127"/>
      <c r="F220" s="127"/>
      <c r="G220" s="127"/>
      <c r="H220" s="127"/>
      <c r="I220" s="127"/>
      <c r="J220" s="460"/>
    </row>
    <row r="221" spans="1:10" ht="35.25" customHeight="1" thickBot="1">
      <c r="A221" s="97"/>
      <c r="B221" s="823" t="s">
        <v>563</v>
      </c>
      <c r="C221" s="824"/>
      <c r="D221" s="824"/>
      <c r="E221" s="824"/>
      <c r="F221" s="824"/>
      <c r="G221" s="825"/>
      <c r="H221" s="78"/>
      <c r="I221" s="370" t="s">
        <v>240</v>
      </c>
      <c r="J221" s="101"/>
    </row>
    <row r="222" spans="1:10" ht="12.75">
      <c r="A222" s="97"/>
      <c r="B222" s="129"/>
      <c r="C222" s="78"/>
      <c r="D222" s="78"/>
      <c r="E222" s="78"/>
      <c r="F222" s="78"/>
      <c r="G222" s="78"/>
      <c r="H222" s="78"/>
      <c r="I222" s="78"/>
      <c r="J222" s="101"/>
    </row>
    <row r="223" spans="1:10" ht="12.75">
      <c r="A223" s="97"/>
      <c r="B223" s="78" t="s">
        <v>102</v>
      </c>
      <c r="C223" s="78"/>
      <c r="D223" s="78"/>
      <c r="E223" s="78"/>
      <c r="F223" s="78"/>
      <c r="G223" s="78"/>
      <c r="H223" s="78"/>
      <c r="I223" s="78"/>
      <c r="J223" s="101"/>
    </row>
    <row r="224" spans="1:10" ht="12.75">
      <c r="A224" s="97"/>
      <c r="B224" s="78" t="s">
        <v>103</v>
      </c>
      <c r="C224" s="78"/>
      <c r="D224" s="78"/>
      <c r="E224" s="78"/>
      <c r="F224" s="78"/>
      <c r="G224" s="78"/>
      <c r="H224" s="78"/>
      <c r="I224" s="78"/>
      <c r="J224" s="101"/>
    </row>
    <row r="225" spans="1:10" ht="12.75">
      <c r="A225" s="97"/>
      <c r="B225" s="78" t="s">
        <v>140</v>
      </c>
      <c r="C225" s="78"/>
      <c r="D225" s="78"/>
      <c r="E225" s="78"/>
      <c r="F225" s="78"/>
      <c r="G225" s="78"/>
      <c r="H225" s="78"/>
      <c r="I225" s="78"/>
      <c r="J225" s="101"/>
    </row>
    <row r="226" spans="1:10" ht="12.75">
      <c r="A226" s="97"/>
      <c r="B226" s="78"/>
      <c r="C226" s="78"/>
      <c r="D226" s="78"/>
      <c r="E226" s="78"/>
      <c r="F226" s="78"/>
      <c r="G226" s="78"/>
      <c r="H226" s="78"/>
      <c r="I226" s="78"/>
      <c r="J226" s="101"/>
    </row>
    <row r="227" spans="1:10" ht="12.75">
      <c r="A227" s="97"/>
      <c r="B227" s="110"/>
      <c r="C227" s="110"/>
      <c r="D227" s="110"/>
      <c r="E227" s="110"/>
      <c r="F227" s="110"/>
      <c r="G227" s="110"/>
      <c r="H227" s="110"/>
      <c r="I227" s="110"/>
      <c r="J227" s="465"/>
    </row>
    <row r="228" spans="1:10" ht="12.75">
      <c r="A228" s="97"/>
      <c r="B228" s="226" t="s">
        <v>261</v>
      </c>
      <c r="C228" s="227"/>
      <c r="D228" s="227"/>
      <c r="E228" s="227"/>
      <c r="F228" s="78"/>
      <c r="G228" s="78"/>
      <c r="H228" s="109" t="str">
        <f>+H$11</f>
        <v>2020/2021</v>
      </c>
      <c r="I228" s="109" t="str">
        <f>+'Unit tariffs'!$F$11</f>
        <v>2021/2022</v>
      </c>
      <c r="J228" s="458"/>
    </row>
    <row r="229" spans="1:10" ht="12.75">
      <c r="A229" s="97"/>
      <c r="B229" s="78"/>
      <c r="C229" s="78"/>
      <c r="D229" s="78"/>
      <c r="E229" s="78"/>
      <c r="F229" s="78"/>
      <c r="G229" s="78"/>
      <c r="H229" s="109"/>
      <c r="I229" s="109"/>
      <c r="J229" s="458"/>
    </row>
    <row r="230" spans="1:10" ht="12.75">
      <c r="A230" s="97"/>
      <c r="B230" s="110" t="s">
        <v>41</v>
      </c>
      <c r="C230" s="78"/>
      <c r="D230" s="78"/>
      <c r="E230" s="78"/>
      <c r="F230" s="78" t="s">
        <v>219</v>
      </c>
      <c r="G230" s="78"/>
      <c r="H230" s="106">
        <v>0</v>
      </c>
      <c r="I230" s="700">
        <v>0</v>
      </c>
      <c r="J230" s="101"/>
    </row>
    <row r="231" spans="1:10" ht="12.75">
      <c r="A231" s="97"/>
      <c r="B231" s="110" t="s">
        <v>42</v>
      </c>
      <c r="C231" s="78"/>
      <c r="D231" s="78"/>
      <c r="E231" s="78"/>
      <c r="F231" s="78"/>
      <c r="G231" s="78"/>
      <c r="H231" s="78">
        <f>SUM(H230)</f>
        <v>0</v>
      </c>
      <c r="I231" s="78">
        <f>SUM(I230)</f>
        <v>0</v>
      </c>
      <c r="J231" s="101"/>
    </row>
    <row r="232" spans="1:10" ht="12.75">
      <c r="A232" s="97"/>
      <c r="B232" s="78"/>
      <c r="C232" s="78"/>
      <c r="D232" s="78"/>
      <c r="E232" s="78"/>
      <c r="F232" s="78"/>
      <c r="G232" s="78"/>
      <c r="H232" s="78"/>
      <c r="I232" s="78"/>
      <c r="J232" s="101"/>
    </row>
    <row r="233" spans="1:10" ht="12.75">
      <c r="A233" s="97"/>
      <c r="B233" s="78">
        <v>0.8</v>
      </c>
      <c r="C233" s="78" t="str">
        <f>'Unit tariffs'!B$86</f>
        <v>hour-artisan </v>
      </c>
      <c r="D233" s="78"/>
      <c r="E233" s="78"/>
      <c r="F233" s="78"/>
      <c r="G233" s="78"/>
      <c r="H233" s="80">
        <v>144.04698605067694</v>
      </c>
      <c r="I233" s="80">
        <f>VLOOKUP($C233,'Unit tariffs'!$B$21:$F$122,5,FALSE)*$B233</f>
        <v>258.2817853846154</v>
      </c>
      <c r="J233" s="111"/>
    </row>
    <row r="234" spans="1:10" ht="12.75">
      <c r="A234" s="97"/>
      <c r="B234" s="78">
        <v>0.8</v>
      </c>
      <c r="C234" s="78" t="str">
        <f>'Unit tariffs'!B$84</f>
        <v>hour-artisan assistant</v>
      </c>
      <c r="D234" s="78"/>
      <c r="E234" s="78"/>
      <c r="F234" s="78"/>
      <c r="G234" s="78"/>
      <c r="H234" s="87">
        <v>127.36488947748924</v>
      </c>
      <c r="I234" s="87">
        <f>VLOOKUP($C234,'Unit tariffs'!$B$21:$F$122,5,FALSE)*$B234</f>
        <v>102.82864615384618</v>
      </c>
      <c r="J234" s="111"/>
    </row>
    <row r="235" spans="1:10" ht="12.75">
      <c r="A235" s="97"/>
      <c r="B235" s="78"/>
      <c r="C235" s="78"/>
      <c r="D235" s="78"/>
      <c r="E235" s="78"/>
      <c r="F235" s="78"/>
      <c r="G235" s="78"/>
      <c r="H235" s="80">
        <f>SUM(H233:H234)</f>
        <v>271.4118755281662</v>
      </c>
      <c r="I235" s="80">
        <f>SUM(I233:I234)</f>
        <v>361.11043153846157</v>
      </c>
      <c r="J235" s="111"/>
    </row>
    <row r="236" spans="1:10" ht="12.75">
      <c r="A236" s="97"/>
      <c r="B236" s="110" t="s">
        <v>43</v>
      </c>
      <c r="C236" s="78"/>
      <c r="D236" s="78"/>
      <c r="E236" s="78"/>
      <c r="F236" s="78"/>
      <c r="G236" s="78"/>
      <c r="H236" s="78"/>
      <c r="I236" s="78"/>
      <c r="J236" s="101"/>
    </row>
    <row r="237" spans="1:10" ht="12.75">
      <c r="A237" s="97"/>
      <c r="B237" s="78"/>
      <c r="C237" s="78"/>
      <c r="D237" s="78"/>
      <c r="E237" s="78"/>
      <c r="F237" s="78"/>
      <c r="G237" s="78"/>
      <c r="H237" s="78"/>
      <c r="I237" s="78"/>
      <c r="J237" s="101"/>
    </row>
    <row r="238" spans="1:10" ht="12.75">
      <c r="A238" s="97"/>
      <c r="B238" s="78">
        <v>12</v>
      </c>
      <c r="C238" s="82" t="s">
        <v>48</v>
      </c>
      <c r="D238" s="78"/>
      <c r="E238" s="78"/>
      <c r="F238" s="78"/>
      <c r="G238" s="78"/>
      <c r="H238" s="80">
        <v>425.72441184000013</v>
      </c>
      <c r="I238" s="80">
        <f>VLOOKUP($C238,'Unit tariffs'!$B$21:$F$122,5,FALSE)*$B238</f>
        <v>269.5451664719256</v>
      </c>
      <c r="J238" s="111"/>
    </row>
    <row r="239" spans="1:10" ht="12.75">
      <c r="A239" s="97"/>
      <c r="B239" s="78">
        <v>0.5</v>
      </c>
      <c r="C239" s="82" t="s">
        <v>49</v>
      </c>
      <c r="D239" s="78"/>
      <c r="E239" s="78"/>
      <c r="F239" s="78"/>
      <c r="G239" s="78"/>
      <c r="H239" s="80">
        <v>129.45367552000002</v>
      </c>
      <c r="I239" s="80">
        <f>VLOOKUP($C239,'Unit tariffs'!$B$21:$F$122,5,FALSE)*$B239</f>
        <v>98.158143566096</v>
      </c>
      <c r="J239" s="111"/>
    </row>
    <row r="240" spans="1:10" ht="13.5" thickBot="1">
      <c r="A240" s="97"/>
      <c r="B240" s="78"/>
      <c r="C240" s="78"/>
      <c r="D240" s="78"/>
      <c r="E240" s="78"/>
      <c r="F240" s="78"/>
      <c r="G240" s="78"/>
      <c r="H240" s="113">
        <f>SUM(H238:H239)</f>
        <v>555.1780873600002</v>
      </c>
      <c r="I240" s="749">
        <f>SUM(I238:I239)</f>
        <v>367.7033100380216</v>
      </c>
      <c r="J240" s="111"/>
    </row>
    <row r="241" spans="1:10" ht="13.5" thickTop="1">
      <c r="A241" s="97"/>
      <c r="B241" s="78"/>
      <c r="C241" s="78"/>
      <c r="D241" s="78"/>
      <c r="E241" s="78"/>
      <c r="F241" s="78"/>
      <c r="G241" s="80"/>
      <c r="H241" s="80">
        <f>+H240+H235</f>
        <v>826.5899628881664</v>
      </c>
      <c r="I241" s="80">
        <f>I240+I235+I231</f>
        <v>728.8137415764832</v>
      </c>
      <c r="J241" s="111"/>
    </row>
    <row r="242" spans="1:10" ht="13.5" thickBot="1">
      <c r="A242" s="97"/>
      <c r="B242" s="110" t="str">
        <f>'Unit tariffs'!$B$7</f>
        <v>Administration Levy (Indirect Cost)</v>
      </c>
      <c r="C242" s="78"/>
      <c r="D242" s="112">
        <f>'Unit tariffs'!$C$7</f>
        <v>0.1</v>
      </c>
      <c r="E242" s="78" t="s">
        <v>312</v>
      </c>
      <c r="F242" s="196">
        <f>+'Unit tariffs'!$F$7</f>
        <v>10000</v>
      </c>
      <c r="G242" s="80"/>
      <c r="H242" s="114">
        <f>H241*0.2636</f>
        <v>217.88911421732067</v>
      </c>
      <c r="I242" s="114">
        <f>IF(I241*$D242&gt;='Unit tariffs'!$E$7,'Unit tariffs'!$E$7,I241*$D242)</f>
        <v>72.88137415764832</v>
      </c>
      <c r="J242" s="111"/>
    </row>
    <row r="243" spans="1:10" ht="13.5" thickTop="1">
      <c r="A243" s="97"/>
      <c r="B243" s="110" t="s">
        <v>44</v>
      </c>
      <c r="C243" s="78"/>
      <c r="D243" s="78"/>
      <c r="E243" s="78"/>
      <c r="F243" s="78"/>
      <c r="G243" s="80"/>
      <c r="H243" s="115">
        <f>SUM(H241:H242)</f>
        <v>1044.479077105487</v>
      </c>
      <c r="I243" s="115">
        <f>SUM(I241:I242)</f>
        <v>801.6951157341315</v>
      </c>
      <c r="J243" s="111"/>
    </row>
    <row r="244" spans="1:10" ht="12.75">
      <c r="A244" s="97"/>
      <c r="B244" s="110"/>
      <c r="C244" s="78"/>
      <c r="D244" s="78"/>
      <c r="E244" s="78"/>
      <c r="F244" s="78"/>
      <c r="G244" s="80"/>
      <c r="H244" s="80"/>
      <c r="I244" s="80"/>
      <c r="J244" s="111"/>
    </row>
    <row r="245" spans="1:10" ht="12.75">
      <c r="A245" s="97"/>
      <c r="B245" s="110" t="s">
        <v>45</v>
      </c>
      <c r="C245" s="78"/>
      <c r="D245" s="78"/>
      <c r="E245" s="78"/>
      <c r="F245" s="78"/>
      <c r="G245" s="78"/>
      <c r="H245" s="90">
        <v>1050</v>
      </c>
      <c r="I245" s="90">
        <f>ROUND(I243,-1)</f>
        <v>800</v>
      </c>
      <c r="J245" s="116"/>
    </row>
    <row r="246" spans="1:10" ht="12.75">
      <c r="A246" s="97"/>
      <c r="B246" s="78"/>
      <c r="C246" s="78"/>
      <c r="D246" s="78"/>
      <c r="E246" s="78"/>
      <c r="F246" s="78"/>
      <c r="G246" s="78"/>
      <c r="H246" s="80"/>
      <c r="I246" s="80"/>
      <c r="J246" s="111"/>
    </row>
    <row r="247" spans="1:10" ht="12.75">
      <c r="A247" s="97"/>
      <c r="B247" s="78"/>
      <c r="C247" s="78"/>
      <c r="D247" s="78"/>
      <c r="E247" s="78"/>
      <c r="F247" s="78"/>
      <c r="G247" s="78"/>
      <c r="H247" s="118">
        <v>0.07142857142857142</v>
      </c>
      <c r="I247" s="118">
        <f>(+I245-H245)/H245</f>
        <v>-0.23809523809523808</v>
      </c>
      <c r="J247" s="119"/>
    </row>
    <row r="248" spans="1:10" ht="12.75">
      <c r="A248" s="97"/>
      <c r="B248" s="78"/>
      <c r="C248" s="78"/>
      <c r="D248" s="78"/>
      <c r="E248" s="78"/>
      <c r="F248" s="78"/>
      <c r="G248" s="78"/>
      <c r="H248" s="118"/>
      <c r="I248" s="118"/>
      <c r="J248" s="119"/>
    </row>
    <row r="249" spans="1:10" ht="13.5" thickBot="1">
      <c r="A249" s="462"/>
      <c r="B249" s="130"/>
      <c r="C249" s="130"/>
      <c r="D249" s="130"/>
      <c r="E249" s="130"/>
      <c r="F249" s="130"/>
      <c r="G249" s="130"/>
      <c r="H249" s="130"/>
      <c r="I249" s="130"/>
      <c r="J249" s="463"/>
    </row>
    <row r="250" spans="1:10" ht="14.25" thickBot="1" thickTop="1">
      <c r="A250" s="97"/>
      <c r="B250" s="78"/>
      <c r="C250" s="78"/>
      <c r="D250" s="78"/>
      <c r="E250" s="78"/>
      <c r="F250" s="78"/>
      <c r="G250" s="78"/>
      <c r="H250" s="78"/>
      <c r="I250" s="466"/>
      <c r="J250" s="467"/>
    </row>
    <row r="251" spans="1:10" ht="13.5" thickTop="1">
      <c r="A251" s="459"/>
      <c r="B251" s="127" t="s">
        <v>1</v>
      </c>
      <c r="C251" s="127"/>
      <c r="D251" s="127"/>
      <c r="E251" s="127"/>
      <c r="F251" s="127"/>
      <c r="G251" s="127"/>
      <c r="H251" s="127"/>
      <c r="I251" s="127"/>
      <c r="J251" s="460"/>
    </row>
    <row r="252" spans="1:10" ht="18" customHeight="1">
      <c r="A252" s="97"/>
      <c r="B252" s="842" t="s">
        <v>494</v>
      </c>
      <c r="C252" s="843"/>
      <c r="D252" s="843"/>
      <c r="E252" s="843"/>
      <c r="F252" s="843"/>
      <c r="G252" s="844"/>
      <c r="H252" s="78"/>
      <c r="I252" s="78"/>
      <c r="J252" s="101"/>
    </row>
    <row r="253" spans="1:10" ht="12.75">
      <c r="A253" s="97"/>
      <c r="B253" s="78" t="s">
        <v>1</v>
      </c>
      <c r="C253" s="78"/>
      <c r="D253" s="78"/>
      <c r="E253" s="78"/>
      <c r="F253" s="78"/>
      <c r="G253" s="78"/>
      <c r="H253" s="78"/>
      <c r="I253" s="78"/>
      <c r="J253" s="101"/>
    </row>
    <row r="254" spans="1:10" ht="31.5" customHeight="1">
      <c r="A254" s="97"/>
      <c r="B254" s="845" t="s">
        <v>495</v>
      </c>
      <c r="C254" s="846"/>
      <c r="D254" s="846"/>
      <c r="E254" s="846"/>
      <c r="F254" s="846"/>
      <c r="G254" s="847"/>
      <c r="H254" s="78"/>
      <c r="I254" s="78"/>
      <c r="J254" s="101"/>
    </row>
    <row r="255" spans="1:10" ht="12.75">
      <c r="A255" s="97"/>
      <c r="B255" s="78"/>
      <c r="C255" s="78"/>
      <c r="D255" s="78"/>
      <c r="E255" s="78"/>
      <c r="F255" s="78"/>
      <c r="G255" s="78"/>
      <c r="H255" s="109" t="str">
        <f>+H$11</f>
        <v>2020/2021</v>
      </c>
      <c r="I255" s="109" t="str">
        <f>+'Unit tariffs'!$F$11</f>
        <v>2021/2022</v>
      </c>
      <c r="J255" s="458" t="s">
        <v>315</v>
      </c>
    </row>
    <row r="256" spans="1:10" ht="13.5" thickBot="1">
      <c r="A256" s="97"/>
      <c r="B256" s="78"/>
      <c r="C256" s="78"/>
      <c r="D256" s="78"/>
      <c r="E256" s="78"/>
      <c r="F256" s="78"/>
      <c r="G256" s="78"/>
      <c r="H256" s="109"/>
      <c r="I256" s="109"/>
      <c r="J256" s="464"/>
    </row>
    <row r="257" spans="1:10" ht="13.5" thickBot="1">
      <c r="A257" s="97"/>
      <c r="B257" s="78"/>
      <c r="C257" s="78"/>
      <c r="D257" s="78"/>
      <c r="E257" s="78"/>
      <c r="F257" s="78"/>
      <c r="G257" s="78"/>
      <c r="H257" s="109"/>
      <c r="I257" s="108" t="s">
        <v>240</v>
      </c>
      <c r="J257" s="464"/>
    </row>
    <row r="258" spans="1:10" ht="12.75">
      <c r="A258" s="97"/>
      <c r="B258" s="110" t="s">
        <v>316</v>
      </c>
      <c r="C258" s="78"/>
      <c r="D258" s="78"/>
      <c r="E258" s="78"/>
      <c r="F258" s="78"/>
      <c r="G258" s="78"/>
      <c r="H258" s="78"/>
      <c r="I258" s="78"/>
      <c r="J258" s="101"/>
    </row>
    <row r="259" spans="1:10" ht="12.75">
      <c r="A259" s="97"/>
      <c r="B259" s="743">
        <v>3.5</v>
      </c>
      <c r="C259" s="91" t="str">
        <f>'Unit tariffs'!B130</f>
        <v>Primary Backbone - Urban</v>
      </c>
      <c r="D259" s="78"/>
      <c r="E259" s="78"/>
      <c r="F259" s="78"/>
      <c r="G259" s="78"/>
      <c r="H259" s="80">
        <f>('Unit tariffs'!E130)*B259</f>
        <v>3674.79</v>
      </c>
      <c r="I259" s="80">
        <f>('Unit tariffs'!F130)*B259</f>
        <v>4042.2690000000007</v>
      </c>
      <c r="J259" s="101"/>
    </row>
    <row r="260" spans="1:10" ht="12.75">
      <c r="A260" s="97"/>
      <c r="B260" s="91">
        <v>3.5</v>
      </c>
      <c r="C260" s="91" t="str">
        <f>'Unit tariffs'!B131</f>
        <v>Secondary Backbone - MV Urban</v>
      </c>
      <c r="D260" s="78"/>
      <c r="E260" s="78"/>
      <c r="F260" s="78"/>
      <c r="G260" s="78"/>
      <c r="H260" s="80">
        <f>('Unit tariffs'!E131)*B260</f>
        <v>2814.875</v>
      </c>
      <c r="I260" s="80">
        <f>('Unit tariffs'!F131)*B260</f>
        <v>3096.3625</v>
      </c>
      <c r="J260" s="101"/>
    </row>
    <row r="261" spans="1:10" ht="12.75">
      <c r="A261" s="97"/>
      <c r="B261" s="750">
        <v>3.5</v>
      </c>
      <c r="C261" s="750" t="str">
        <f>'Unit tariffs'!B133</f>
        <v>LV Backbone -Urban</v>
      </c>
      <c r="D261" s="750"/>
      <c r="E261" s="750"/>
      <c r="F261" s="750"/>
      <c r="G261" s="750"/>
      <c r="H261" s="752">
        <f>('Unit tariffs'!E133+'Unit tariffs'!F132)*B261</f>
        <v>4797.775500000001</v>
      </c>
      <c r="I261" s="752">
        <f>('Unit tariffs'!F132+'Unit tariffs'!F133)*B261</f>
        <v>4929.424500000001</v>
      </c>
      <c r="J261" s="111"/>
    </row>
    <row r="262" spans="1:10" ht="12.75">
      <c r="A262" s="97"/>
      <c r="B262" s="78"/>
      <c r="C262" s="78"/>
      <c r="D262" s="78"/>
      <c r="E262" s="78"/>
      <c r="F262" s="78"/>
      <c r="G262" s="78"/>
      <c r="H262" s="80">
        <f>SUM(H259:H261)</f>
        <v>11287.4405</v>
      </c>
      <c r="I262" s="80">
        <f>SUM(I259:I261)</f>
        <v>12068.056000000002</v>
      </c>
      <c r="J262" s="111"/>
    </row>
    <row r="263" spans="1:10" ht="12.75">
      <c r="A263" s="97"/>
      <c r="B263" s="78"/>
      <c r="C263" s="78"/>
      <c r="D263" s="78"/>
      <c r="E263" s="78"/>
      <c r="F263" s="78"/>
      <c r="G263" s="78"/>
      <c r="H263" s="80"/>
      <c r="I263" s="80"/>
      <c r="J263" s="111"/>
    </row>
    <row r="264" spans="1:10" ht="12.75">
      <c r="A264" s="97"/>
      <c r="B264" s="110" t="s">
        <v>41</v>
      </c>
      <c r="C264" s="78"/>
      <c r="D264" s="78"/>
      <c r="E264" s="78"/>
      <c r="F264" s="78"/>
      <c r="G264" s="78"/>
      <c r="H264" s="80"/>
      <c r="I264" s="80"/>
      <c r="J264" s="111"/>
    </row>
    <row r="265" spans="1:10" ht="12.75">
      <c r="A265" s="97"/>
      <c r="B265" s="78">
        <v>1</v>
      </c>
      <c r="C265" s="78" t="str">
        <f>+'Unit tariffs'!B34</f>
        <v>Prepaid meter (Split) 1 phase 59A Unique Mbani</v>
      </c>
      <c r="D265" s="78"/>
      <c r="E265" s="78"/>
      <c r="F265" s="78"/>
      <c r="G265" s="78"/>
      <c r="H265" s="80">
        <v>2084.0248169999995</v>
      </c>
      <c r="I265" s="80">
        <f>VLOOKUP($C265,'Unit tariffs'!$B$21:$F$122,5,FALSE)*$B265</f>
        <v>2171.5538593139995</v>
      </c>
      <c r="J265" s="471" t="e">
        <f>IF(+I265*'Unit tariffs'!#REF!&gt;'Unit tariffs'!#REF!,'Unit tariffs'!#REF!,+I265*'Unit tariffs'!#REF!)</f>
        <v>#REF!</v>
      </c>
    </row>
    <row r="266" spans="1:10" ht="12.75">
      <c r="A266" s="97"/>
      <c r="B266" s="78">
        <v>1</v>
      </c>
      <c r="C266" s="78" t="str">
        <f>+'Unit tariffs'!B42</f>
        <v>x 80 A circuit breaker (5kA) - Orange</v>
      </c>
      <c r="D266" s="78"/>
      <c r="E266" s="78"/>
      <c r="F266" s="78"/>
      <c r="G266" s="78"/>
      <c r="H266" s="80">
        <v>180.33804099999998</v>
      </c>
      <c r="I266" s="80">
        <f>VLOOKUP($C266,'Unit tariffs'!$B$21:$F$122,5,FALSE)*$B266</f>
        <v>187.91223872199998</v>
      </c>
      <c r="J266" s="471" t="e">
        <f>IF(+I266*'Unit tariffs'!#REF!&gt;'Unit tariffs'!#REF!,'Unit tariffs'!#REF!,+I266*'Unit tariffs'!#REF!)</f>
        <v>#REF!</v>
      </c>
    </row>
    <row r="267" spans="1:10" ht="12.75">
      <c r="A267" s="97"/>
      <c r="B267" s="78">
        <v>1</v>
      </c>
      <c r="C267" s="78" t="str">
        <f>+'Unit tariffs'!B21</f>
        <v>Installation material</v>
      </c>
      <c r="D267" s="78"/>
      <c r="E267" s="78"/>
      <c r="F267" s="78"/>
      <c r="G267" s="78"/>
      <c r="H267" s="87">
        <v>113.6449785</v>
      </c>
      <c r="I267" s="87">
        <f>VLOOKUP($C267,'Unit tariffs'!$B$21:$F$122,5,FALSE)*$B267</f>
        <v>260.5</v>
      </c>
      <c r="J267" s="471" t="e">
        <f>IF(+I267*'Unit tariffs'!#REF!&gt;'Unit tariffs'!#REF!,'Unit tariffs'!#REF!,+I267*'Unit tariffs'!#REF!)</f>
        <v>#REF!</v>
      </c>
    </row>
    <row r="268" spans="1:11" ht="12.75">
      <c r="A268" s="97"/>
      <c r="B268" s="78"/>
      <c r="C268" s="78"/>
      <c r="D268" s="78"/>
      <c r="E268" s="78"/>
      <c r="F268" s="78"/>
      <c r="G268" s="78"/>
      <c r="H268" s="80">
        <f>SUM(H265:H267)</f>
        <v>2378.0078364999995</v>
      </c>
      <c r="I268" s="80">
        <f>SUM(I265:I267)</f>
        <v>2619.9660980359995</v>
      </c>
      <c r="J268" s="111"/>
      <c r="K268" s="524"/>
    </row>
    <row r="269" spans="1:10" ht="12.75">
      <c r="A269" s="97"/>
      <c r="B269" s="110" t="s">
        <v>42</v>
      </c>
      <c r="C269" s="78"/>
      <c r="D269" s="78"/>
      <c r="E269" s="78"/>
      <c r="F269" s="78"/>
      <c r="G269" s="78"/>
      <c r="H269" s="78"/>
      <c r="I269" s="78"/>
      <c r="J269" s="101"/>
    </row>
    <row r="270" spans="1:10" ht="12.75">
      <c r="A270" s="97"/>
      <c r="B270" s="78"/>
      <c r="C270" s="78"/>
      <c r="D270" s="78"/>
      <c r="E270" s="78"/>
      <c r="F270" s="78"/>
      <c r="G270" s="78"/>
      <c r="H270" s="78"/>
      <c r="I270" s="78"/>
      <c r="J270" s="101"/>
    </row>
    <row r="271" spans="1:10" ht="12.75">
      <c r="A271" s="97"/>
      <c r="B271" s="78">
        <v>0.8</v>
      </c>
      <c r="C271" s="78" t="str">
        <f>'Unit tariffs'!B$86</f>
        <v>hour-artisan </v>
      </c>
      <c r="D271" s="78"/>
      <c r="E271" s="78"/>
      <c r="F271" s="78"/>
      <c r="G271" s="78"/>
      <c r="H271" s="80">
        <v>144.04698605067694</v>
      </c>
      <c r="I271" s="80">
        <f>VLOOKUP($C271,'Unit tariffs'!$B$21:$F$122,5,FALSE)*$B271</f>
        <v>258.2817853846154</v>
      </c>
      <c r="J271" s="111"/>
    </row>
    <row r="272" spans="1:10" ht="12.75">
      <c r="A272" s="97"/>
      <c r="B272" s="78">
        <v>1.6</v>
      </c>
      <c r="C272" s="78" t="str">
        <f>'Unit tariffs'!B$84</f>
        <v>hour-artisan assistant</v>
      </c>
      <c r="D272" s="78"/>
      <c r="E272" s="78"/>
      <c r="F272" s="78"/>
      <c r="G272" s="78"/>
      <c r="H272" s="87">
        <v>127.36488947748924</v>
      </c>
      <c r="I272" s="87">
        <f>VLOOKUP($C272,'Unit tariffs'!$B$21:$F$122,5,FALSE)*$B272</f>
        <v>205.65729230769236</v>
      </c>
      <c r="J272" s="111"/>
    </row>
    <row r="273" spans="1:11" ht="12.75">
      <c r="A273" s="97"/>
      <c r="B273" s="78"/>
      <c r="C273" s="78"/>
      <c r="D273" s="78"/>
      <c r="E273" s="78"/>
      <c r="F273" s="78"/>
      <c r="G273" s="78"/>
      <c r="H273" s="80">
        <v>271.4118755281662</v>
      </c>
      <c r="I273" s="80">
        <f>SUM(I271:I272)</f>
        <v>463.9390776923077</v>
      </c>
      <c r="J273" s="111"/>
      <c r="K273" s="524"/>
    </row>
    <row r="274" spans="1:10" ht="12.75">
      <c r="A274" s="97"/>
      <c r="B274" s="110" t="s">
        <v>43</v>
      </c>
      <c r="C274" s="78"/>
      <c r="D274" s="78"/>
      <c r="E274" s="78"/>
      <c r="F274" s="78"/>
      <c r="G274" s="78"/>
      <c r="H274" s="78"/>
      <c r="I274" s="78"/>
      <c r="J274" s="101"/>
    </row>
    <row r="275" spans="1:10" ht="12.75">
      <c r="A275" s="97"/>
      <c r="B275" s="78"/>
      <c r="C275" s="78"/>
      <c r="D275" s="78"/>
      <c r="E275" s="78"/>
      <c r="F275" s="78"/>
      <c r="G275" s="78"/>
      <c r="H275" s="78"/>
      <c r="I275" s="78"/>
      <c r="J275" s="101"/>
    </row>
    <row r="276" spans="1:10" ht="12.75">
      <c r="A276" s="97"/>
      <c r="B276" s="78">
        <v>24</v>
      </c>
      <c r="C276" s="78" t="str">
        <f>'Unit tariffs'!B$110</f>
        <v>km-truck with platform</v>
      </c>
      <c r="D276" s="78"/>
      <c r="E276" s="78"/>
      <c r="F276" s="78"/>
      <c r="G276" s="78"/>
      <c r="H276" s="80">
        <v>779.1765820800001</v>
      </c>
      <c r="I276" s="80">
        <f>VLOOKUP($C276,'Unit tariffs'!$B$21:$F$122,5,FALSE)*$B276</f>
        <v>970.1459533764145</v>
      </c>
      <c r="J276" s="111"/>
    </row>
    <row r="277" spans="1:10" ht="12.75">
      <c r="A277" s="97"/>
      <c r="B277" s="78">
        <v>1</v>
      </c>
      <c r="C277" s="78" t="str">
        <f>'Unit tariffs'!B$111</f>
        <v>hour-truck with platform</v>
      </c>
      <c r="D277" s="78"/>
      <c r="E277" s="78"/>
      <c r="F277" s="78"/>
      <c r="G277" s="78"/>
      <c r="H277" s="87">
        <v>134.090008</v>
      </c>
      <c r="I277" s="87">
        <f>VLOOKUP($C277,'Unit tariffs'!$B$21:$F$122,5,FALSE)*$B277</f>
        <v>196.72208955055</v>
      </c>
      <c r="J277" s="111"/>
    </row>
    <row r="278" spans="1:11" ht="13.5" thickBot="1">
      <c r="A278" s="97"/>
      <c r="B278" s="78"/>
      <c r="C278" s="78"/>
      <c r="D278" s="78"/>
      <c r="E278" s="78"/>
      <c r="F278" s="78"/>
      <c r="G278" s="78"/>
      <c r="H278" s="113">
        <f>SUM(H276:H277)</f>
        <v>913.2665900800001</v>
      </c>
      <c r="I278" s="749">
        <f>SUM(I276:I277)</f>
        <v>1166.8680429269646</v>
      </c>
      <c r="J278" s="111"/>
      <c r="K278" s="524"/>
    </row>
    <row r="279" spans="1:11" ht="13.5" thickTop="1">
      <c r="A279" s="97"/>
      <c r="B279" s="78"/>
      <c r="C279" s="78"/>
      <c r="D279" s="78"/>
      <c r="E279" s="78"/>
      <c r="F279" s="78"/>
      <c r="G279" s="78"/>
      <c r="H279" s="80">
        <f>+H278+H273+H268+H262</f>
        <v>14850.126802108167</v>
      </c>
      <c r="I279" s="199">
        <f>I278+I273+I268+I262</f>
        <v>16318.829218655274</v>
      </c>
      <c r="J279" s="111"/>
      <c r="K279" s="524"/>
    </row>
    <row r="280" spans="1:10" ht="13.5" thickBot="1">
      <c r="A280" s="97"/>
      <c r="B280" s="110" t="str">
        <f>'Unit tariffs'!$B$7</f>
        <v>Administration Levy (Indirect Cost)</v>
      </c>
      <c r="C280" s="78"/>
      <c r="D280" s="112">
        <f>'Unit tariffs'!$C$7</f>
        <v>0.1</v>
      </c>
      <c r="E280" s="78" t="s">
        <v>312</v>
      </c>
      <c r="F280" s="196">
        <f>+'Unit tariffs'!$F$7</f>
        <v>10000</v>
      </c>
      <c r="G280" s="78"/>
      <c r="H280" s="114">
        <f>H279*0.2636</f>
        <v>3914.493425035713</v>
      </c>
      <c r="I280" s="356">
        <f>IF(I279*$D280&gt;='Unit tariffs'!$E$7,'Unit tariffs'!$E$7,I279*$D280)</f>
        <v>1631.8829218655274</v>
      </c>
      <c r="J280" s="111"/>
    </row>
    <row r="281" spans="1:11" ht="13.5" thickTop="1">
      <c r="A281" s="97"/>
      <c r="B281" s="110" t="s">
        <v>44</v>
      </c>
      <c r="C281" s="78"/>
      <c r="D281" s="78"/>
      <c r="E281" s="78"/>
      <c r="F281" s="78"/>
      <c r="G281" s="78"/>
      <c r="H281" s="115">
        <f>SUM(H279:H280)</f>
        <v>18764.62022714388</v>
      </c>
      <c r="I281" s="359">
        <f>SUM(I279:I280)</f>
        <v>17950.7121405208</v>
      </c>
      <c r="J281" s="111"/>
      <c r="K281" s="524"/>
    </row>
    <row r="282" spans="1:10" ht="12.75">
      <c r="A282" s="97"/>
      <c r="B282" s="78"/>
      <c r="C282" s="78"/>
      <c r="D282" s="78"/>
      <c r="E282" s="78"/>
      <c r="F282" s="78"/>
      <c r="G282" s="78"/>
      <c r="H282" s="78"/>
      <c r="I282" s="78"/>
      <c r="J282" s="101"/>
    </row>
    <row r="283" spans="1:10" ht="12.75">
      <c r="A283" s="97"/>
      <c r="B283" s="110" t="s">
        <v>45</v>
      </c>
      <c r="C283" s="78"/>
      <c r="D283" s="78"/>
      <c r="E283" s="78"/>
      <c r="F283" s="78"/>
      <c r="G283" s="78"/>
      <c r="H283" s="90">
        <f>ROUND(H281,-1)</f>
        <v>18760</v>
      </c>
      <c r="I283" s="90">
        <f>ROUND(I281,-1)</f>
        <v>17950</v>
      </c>
      <c r="J283" s="116"/>
    </row>
    <row r="284" spans="1:10" ht="12.75">
      <c r="A284" s="97"/>
      <c r="B284" s="78"/>
      <c r="C284" s="78"/>
      <c r="D284" s="78"/>
      <c r="E284" s="78"/>
      <c r="F284" s="78"/>
      <c r="G284" s="78"/>
      <c r="H284" s="80"/>
      <c r="I284" s="80"/>
      <c r="J284" s="111"/>
    </row>
    <row r="285" spans="1:10" ht="12.75">
      <c r="A285" s="97"/>
      <c r="B285" s="78"/>
      <c r="C285" s="78"/>
      <c r="D285" s="78"/>
      <c r="E285" s="78"/>
      <c r="F285" s="78"/>
      <c r="G285" s="78"/>
      <c r="H285" s="118">
        <v>0.08469259723964868</v>
      </c>
      <c r="I285" s="118">
        <f>(+I283-H283)/H283</f>
        <v>-0.04317697228144989</v>
      </c>
      <c r="J285" s="119"/>
    </row>
    <row r="286" spans="1:10" ht="13.5" thickBot="1">
      <c r="A286" s="462"/>
      <c r="B286" s="130"/>
      <c r="C286" s="130"/>
      <c r="D286" s="130"/>
      <c r="E286" s="130"/>
      <c r="F286" s="130"/>
      <c r="G286" s="130"/>
      <c r="H286" s="139"/>
      <c r="I286" s="139"/>
      <c r="J286" s="468"/>
    </row>
    <row r="287" spans="1:10" ht="13.5" thickTop="1">
      <c r="A287" s="97"/>
      <c r="B287" s="78"/>
      <c r="C287" s="78"/>
      <c r="D287" s="78"/>
      <c r="E287" s="78"/>
      <c r="F287" s="78"/>
      <c r="G287" s="78"/>
      <c r="H287" s="141" t="str">
        <f>+H$11</f>
        <v>2020/2021</v>
      </c>
      <c r="I287" s="141" t="str">
        <f>+'Unit tariffs'!$F$11</f>
        <v>2021/2022</v>
      </c>
      <c r="J287" s="119"/>
    </row>
    <row r="288" spans="1:10" ht="13.5" thickBot="1">
      <c r="A288" s="462"/>
      <c r="B288" s="130"/>
      <c r="C288" s="130"/>
      <c r="D288" s="130"/>
      <c r="E288" s="130"/>
      <c r="F288" s="130"/>
      <c r="G288" s="130"/>
      <c r="H288" s="130"/>
      <c r="I288" s="130"/>
      <c r="J288" s="463"/>
    </row>
    <row r="289" spans="1:10" ht="13.5" thickTop="1">
      <c r="A289" s="97"/>
      <c r="B289" s="78"/>
      <c r="C289" s="78"/>
      <c r="D289" s="78"/>
      <c r="E289" s="78"/>
      <c r="F289" s="78"/>
      <c r="G289" s="78"/>
      <c r="H289" s="78"/>
      <c r="I289" s="78"/>
      <c r="J289" s="101"/>
    </row>
    <row r="290" spans="1:10" ht="12.75">
      <c r="A290" s="97"/>
      <c r="B290" s="78"/>
      <c r="C290" s="78"/>
      <c r="D290" s="78"/>
      <c r="E290" s="78"/>
      <c r="F290" s="78"/>
      <c r="G290" s="78"/>
      <c r="H290" s="109"/>
      <c r="I290" s="109"/>
      <c r="J290" s="101"/>
    </row>
    <row r="291" spans="1:10" ht="140.25">
      <c r="A291" s="97"/>
      <c r="B291" s="823" t="s">
        <v>564</v>
      </c>
      <c r="C291" s="824"/>
      <c r="D291" s="824"/>
      <c r="E291" s="824"/>
      <c r="F291" s="824"/>
      <c r="G291" s="825"/>
      <c r="H291" s="140" t="s">
        <v>497</v>
      </c>
      <c r="I291" s="140" t="s">
        <v>512</v>
      </c>
      <c r="J291" s="101"/>
    </row>
    <row r="292" spans="1:10" ht="13.5" thickBot="1">
      <c r="A292" s="462"/>
      <c r="B292" s="130"/>
      <c r="C292" s="130"/>
      <c r="D292" s="130"/>
      <c r="E292" s="130"/>
      <c r="F292" s="130"/>
      <c r="G292" s="130"/>
      <c r="H292" s="130"/>
      <c r="I292" s="130"/>
      <c r="J292" s="463"/>
    </row>
    <row r="293" spans="1:10" ht="14.25" thickBot="1" thickTop="1">
      <c r="A293" s="97"/>
      <c r="B293" s="78"/>
      <c r="C293" s="78"/>
      <c r="D293" s="78"/>
      <c r="E293" s="78"/>
      <c r="F293" s="78"/>
      <c r="G293" s="78"/>
      <c r="H293" s="78"/>
      <c r="I293" s="466"/>
      <c r="J293" s="467"/>
    </row>
    <row r="294" spans="1:10" ht="13.5" thickTop="1">
      <c r="A294" s="459"/>
      <c r="B294" s="127" t="s">
        <v>1</v>
      </c>
      <c r="C294" s="127"/>
      <c r="D294" s="127"/>
      <c r="E294" s="127"/>
      <c r="F294" s="127"/>
      <c r="G294" s="127"/>
      <c r="H294" s="127"/>
      <c r="I294" s="127"/>
      <c r="J294" s="460"/>
    </row>
    <row r="295" spans="1:10" ht="12.75">
      <c r="A295" s="97"/>
      <c r="B295" s="98" t="s">
        <v>237</v>
      </c>
      <c r="C295" s="99"/>
      <c r="D295" s="99"/>
      <c r="E295" s="99"/>
      <c r="F295" s="99"/>
      <c r="G295" s="100"/>
      <c r="H295" s="78"/>
      <c r="I295" s="78"/>
      <c r="J295" s="101"/>
    </row>
    <row r="296" spans="1:10" ht="12.75">
      <c r="A296" s="97"/>
      <c r="B296" s="78"/>
      <c r="C296" s="78"/>
      <c r="D296" s="78"/>
      <c r="E296" s="78"/>
      <c r="F296" s="78"/>
      <c r="G296" s="78"/>
      <c r="H296" s="78"/>
      <c r="I296" s="78"/>
      <c r="J296" s="101"/>
    </row>
    <row r="297" spans="1:10" ht="32.25" customHeight="1">
      <c r="A297" s="97"/>
      <c r="B297" s="823" t="s">
        <v>565</v>
      </c>
      <c r="C297" s="824"/>
      <c r="D297" s="824"/>
      <c r="E297" s="824"/>
      <c r="F297" s="824"/>
      <c r="G297" s="825"/>
      <c r="H297" s="78"/>
      <c r="I297" s="78"/>
      <c r="J297" s="101"/>
    </row>
    <row r="298" spans="1:10" ht="12.75">
      <c r="A298" s="97"/>
      <c r="B298" s="129"/>
      <c r="C298" s="78"/>
      <c r="D298" s="78"/>
      <c r="E298" s="78" t="s">
        <v>1</v>
      </c>
      <c r="F298" s="78"/>
      <c r="G298" s="78"/>
      <c r="H298" s="78"/>
      <c r="I298" s="78"/>
      <c r="J298" s="101"/>
    </row>
    <row r="299" spans="1:10" ht="12.75">
      <c r="A299" s="97"/>
      <c r="B299" s="820" t="s">
        <v>239</v>
      </c>
      <c r="C299" s="821"/>
      <c r="D299" s="821"/>
      <c r="E299" s="821"/>
      <c r="F299" s="821"/>
      <c r="G299" s="822"/>
      <c r="H299" s="78"/>
      <c r="I299" s="141" t="s">
        <v>235</v>
      </c>
      <c r="J299" s="101"/>
    </row>
    <row r="300" spans="1:10" ht="13.5" thickBot="1">
      <c r="A300" s="97"/>
      <c r="B300" s="78" t="s">
        <v>1</v>
      </c>
      <c r="C300" s="78"/>
      <c r="D300" s="78"/>
      <c r="E300" s="78"/>
      <c r="F300" s="78"/>
      <c r="G300" s="78"/>
      <c r="H300" s="78"/>
      <c r="I300" s="78"/>
      <c r="J300" s="101"/>
    </row>
    <row r="301" spans="1:10" ht="13.5" thickBot="1">
      <c r="A301" s="97"/>
      <c r="B301" s="78"/>
      <c r="C301" s="78"/>
      <c r="D301" s="78"/>
      <c r="E301" s="78"/>
      <c r="F301" s="78"/>
      <c r="G301" s="78"/>
      <c r="H301" s="78"/>
      <c r="I301" s="108" t="s">
        <v>240</v>
      </c>
      <c r="J301" s="101"/>
    </row>
    <row r="302" spans="1:10" ht="12.75">
      <c r="A302" s="97"/>
      <c r="B302" s="78" t="s">
        <v>1</v>
      </c>
      <c r="C302" s="78"/>
      <c r="D302" s="78"/>
      <c r="E302" s="78"/>
      <c r="F302" s="78"/>
      <c r="G302" s="78"/>
      <c r="H302" s="78"/>
      <c r="I302" s="78"/>
      <c r="J302" s="101"/>
    </row>
    <row r="303" spans="1:10" ht="12.75">
      <c r="A303" s="97"/>
      <c r="B303" s="78"/>
      <c r="C303" s="78"/>
      <c r="D303" s="78"/>
      <c r="E303" s="78"/>
      <c r="F303" s="78"/>
      <c r="G303" s="78"/>
      <c r="H303" s="109" t="str">
        <f>+H$11</f>
        <v>2020/2021</v>
      </c>
      <c r="I303" s="109" t="str">
        <f>+'Unit tariffs'!$F$11</f>
        <v>2021/2022</v>
      </c>
      <c r="J303" s="458" t="s">
        <v>315</v>
      </c>
    </row>
    <row r="304" spans="1:10" ht="12.75">
      <c r="A304" s="97"/>
      <c r="B304" s="110" t="s">
        <v>117</v>
      </c>
      <c r="C304" s="78"/>
      <c r="D304" s="78"/>
      <c r="E304" s="78"/>
      <c r="F304" s="78"/>
      <c r="G304" s="78"/>
      <c r="H304" s="78"/>
      <c r="I304" s="78"/>
      <c r="J304" s="464"/>
    </row>
    <row r="305" spans="1:10" ht="12.75">
      <c r="A305" s="97"/>
      <c r="B305" s="78" t="s">
        <v>118</v>
      </c>
      <c r="C305" s="78"/>
      <c r="D305" s="78"/>
      <c r="E305" s="78"/>
      <c r="F305" s="78"/>
      <c r="G305" s="78"/>
      <c r="H305" s="78"/>
      <c r="I305" s="78"/>
      <c r="J305" s="464"/>
    </row>
    <row r="306" spans="1:10" ht="12.75">
      <c r="A306" s="97"/>
      <c r="B306" s="714">
        <f>3.5</f>
        <v>3.5</v>
      </c>
      <c r="C306" s="714" t="str">
        <f>'Unit tariffs'!B$130</f>
        <v>Primary Backbone - Urban</v>
      </c>
      <c r="D306" s="78"/>
      <c r="E306" s="78"/>
      <c r="F306" s="78" t="str">
        <f>'Unit tariffs'!C$130</f>
        <v>per kVA</v>
      </c>
      <c r="G306" s="78"/>
      <c r="H306" s="80">
        <v>2318.042474220001</v>
      </c>
      <c r="I306" s="80">
        <f>VLOOKUP($C306,'Unit tariffs'!$B$21:$F$154,5,FALSE)*$B306</f>
        <v>4042.2690000000007</v>
      </c>
      <c r="J306" s="469"/>
    </row>
    <row r="307" spans="1:10" ht="12.75">
      <c r="A307" s="97"/>
      <c r="B307" s="714">
        <v>3.5</v>
      </c>
      <c r="C307" s="714" t="str">
        <f>'Unit tariffs'!B$132</f>
        <v>Secondary Backbone - LV Urban</v>
      </c>
      <c r="D307" s="78"/>
      <c r="E307" s="78"/>
      <c r="F307" s="78" t="str">
        <f>'Unit tariffs'!C$131</f>
        <v>per kVA</v>
      </c>
      <c r="G307" s="78"/>
      <c r="H307" s="80">
        <v>1996.3567910550007</v>
      </c>
      <c r="I307" s="80">
        <f>VLOOKUP($C307,'Unit tariffs'!$B$21:$F$154,5,FALSE)*$B307</f>
        <v>3481.2855000000004</v>
      </c>
      <c r="J307" s="469"/>
    </row>
    <row r="308" spans="1:10" ht="12.75">
      <c r="A308" s="97"/>
      <c r="B308" s="714">
        <v>3.5</v>
      </c>
      <c r="C308" s="714" t="str">
        <f>'Unit tariffs'!B$133</f>
        <v>LV Backbone -Urban</v>
      </c>
      <c r="D308" s="78"/>
      <c r="E308" s="78"/>
      <c r="F308" s="78" t="str">
        <f>'Unit tariffs'!C$132</f>
        <v>per kVA</v>
      </c>
      <c r="G308" s="78"/>
      <c r="H308" s="87">
        <v>830.4361291050004</v>
      </c>
      <c r="I308" s="87">
        <f>VLOOKUP($C308,'Unit tariffs'!$B$21:$F$154,5,FALSE)*$B308</f>
        <v>1448.1390000000001</v>
      </c>
      <c r="J308" s="469"/>
    </row>
    <row r="309" spans="1:10" ht="12.75">
      <c r="A309" s="97"/>
      <c r="B309" s="78"/>
      <c r="C309" s="78"/>
      <c r="D309" s="78"/>
      <c r="E309" s="78"/>
      <c r="F309" s="78"/>
      <c r="G309" s="78"/>
      <c r="H309" s="80">
        <f>SUM(H306:H308)</f>
        <v>5144.835394380003</v>
      </c>
      <c r="I309" s="80">
        <f>SUM(I306:I308)</f>
        <v>8971.693500000001</v>
      </c>
      <c r="J309" s="469"/>
    </row>
    <row r="310" spans="1:10" ht="12.75">
      <c r="A310" s="97"/>
      <c r="B310" s="78"/>
      <c r="C310" s="78"/>
      <c r="D310" s="78"/>
      <c r="E310" s="78"/>
      <c r="F310" s="78"/>
      <c r="G310" s="78"/>
      <c r="H310" s="80"/>
      <c r="I310" s="80"/>
      <c r="J310" s="469"/>
    </row>
    <row r="311" spans="1:10" ht="12.75">
      <c r="A311" s="97"/>
      <c r="B311" s="110" t="s">
        <v>41</v>
      </c>
      <c r="C311" s="78"/>
      <c r="D311" s="78"/>
      <c r="E311" s="78"/>
      <c r="F311" s="78"/>
      <c r="G311" s="78"/>
      <c r="H311" s="80"/>
      <c r="I311" s="80"/>
      <c r="J311" s="469"/>
    </row>
    <row r="312" spans="1:10" ht="15">
      <c r="A312" s="97"/>
      <c r="B312" s="78">
        <v>1</v>
      </c>
      <c r="C312" s="739" t="str">
        <f>'Unit tariffs'!B45</f>
        <v>METER: TIME OF USE 100 AMP</v>
      </c>
      <c r="D312" s="78"/>
      <c r="E312" s="78"/>
      <c r="F312" s="78"/>
      <c r="G312" s="78"/>
      <c r="H312" s="80">
        <v>4588.4827</v>
      </c>
      <c r="I312" s="80">
        <f>VLOOKUP(C312,'Unit tariffs'!B21:F122,5,FALSE)*$B312</f>
        <v>5314.91420764</v>
      </c>
      <c r="J312" s="471" t="e">
        <f>IF(+I312*'Unit tariffs'!#REF!&gt;'Unit tariffs'!#REF!,'Unit tariffs'!#REF!,+I312*'Unit tariffs'!#REF!)</f>
        <v>#REF!</v>
      </c>
    </row>
    <row r="313" spans="1:10" ht="12.75">
      <c r="A313" s="97"/>
      <c r="B313" s="78">
        <v>1</v>
      </c>
      <c r="C313" s="78" t="str">
        <f>+'Unit tariffs'!B46</f>
        <v>Modum for TOU meter</v>
      </c>
      <c r="D313" s="78"/>
      <c r="E313" s="78"/>
      <c r="F313" s="78"/>
      <c r="G313" s="78"/>
      <c r="H313" s="80">
        <v>3414.6847999999995</v>
      </c>
      <c r="I313" s="80">
        <f>VLOOKUP($C313,'Unit tariffs'!$B$21:$F$122,5,FALSE)*$B313</f>
        <v>3558.1015615999995</v>
      </c>
      <c r="J313" s="471" t="e">
        <f>IF(+I313*'Unit tariffs'!#REF!&gt;'Unit tariffs'!#REF!,'Unit tariffs'!#REF!,+I313*'Unit tariffs'!#REF!)</f>
        <v>#REF!</v>
      </c>
    </row>
    <row r="314" spans="1:10" ht="12.75">
      <c r="A314" s="97"/>
      <c r="B314" s="78">
        <v>3</v>
      </c>
      <c r="C314" s="78" t="str">
        <f>'Unit tariffs'!B42</f>
        <v>x 80 A circuit breaker (5kA) - Orange</v>
      </c>
      <c r="D314" s="78"/>
      <c r="E314" s="78"/>
      <c r="F314" s="78"/>
      <c r="G314" s="78"/>
      <c r="H314" s="80">
        <v>541.0141229999999</v>
      </c>
      <c r="I314" s="80">
        <f>VLOOKUP($C314,'Unit tariffs'!$B$21:$F$122,5,FALSE)*$B314</f>
        <v>563.736716166</v>
      </c>
      <c r="J314" s="471" t="e">
        <f>IF(+I314*'Unit tariffs'!#REF!&gt;'Unit tariffs'!#REF!,'Unit tariffs'!#REF!,+I314*'Unit tariffs'!#REF!)</f>
        <v>#REF!</v>
      </c>
    </row>
    <row r="315" spans="1:10" ht="12.75">
      <c r="A315" s="97"/>
      <c r="B315" s="78">
        <v>1</v>
      </c>
      <c r="C315" s="78" t="str">
        <f>'Unit tariffs'!B21</f>
        <v>Installation material</v>
      </c>
      <c r="D315" s="78"/>
      <c r="E315" s="78"/>
      <c r="F315" s="78"/>
      <c r="G315" s="78"/>
      <c r="H315" s="87">
        <v>113.6449785</v>
      </c>
      <c r="I315" s="87">
        <f>VLOOKUP($C315,'Unit tariffs'!$B$21:$F$122,5,FALSE)*$B315</f>
        <v>260.5</v>
      </c>
      <c r="J315" s="471" t="e">
        <f>IF(+I315*'Unit tariffs'!#REF!&gt;'Unit tariffs'!#REF!,'Unit tariffs'!#REF!,+I315*'Unit tariffs'!#REF!)</f>
        <v>#REF!</v>
      </c>
    </row>
    <row r="316" spans="1:10" ht="12.75">
      <c r="A316" s="97"/>
      <c r="B316" s="78"/>
      <c r="C316" s="78"/>
      <c r="D316" s="78"/>
      <c r="E316" s="78"/>
      <c r="F316" s="78"/>
      <c r="G316" s="80"/>
      <c r="H316" s="80">
        <f>SUM(H312:H315)</f>
        <v>8657.8266015</v>
      </c>
      <c r="I316" s="80">
        <f>SUM(I312:I315)</f>
        <v>9697.252485406</v>
      </c>
      <c r="J316" s="469"/>
    </row>
    <row r="317" spans="1:10" ht="12.75">
      <c r="A317" s="97"/>
      <c r="B317" s="78"/>
      <c r="C317" s="78"/>
      <c r="D317" s="78"/>
      <c r="E317" s="78"/>
      <c r="F317" s="78"/>
      <c r="G317" s="80"/>
      <c r="H317" s="80"/>
      <c r="I317" s="80"/>
      <c r="J317" s="469"/>
    </row>
    <row r="318" spans="1:10" ht="12.75">
      <c r="A318" s="97"/>
      <c r="B318" s="110" t="s">
        <v>42</v>
      </c>
      <c r="C318" s="78"/>
      <c r="D318" s="78"/>
      <c r="E318" s="78"/>
      <c r="F318" s="78"/>
      <c r="G318" s="78"/>
      <c r="H318" s="121"/>
      <c r="I318" s="121"/>
      <c r="J318" s="469"/>
    </row>
    <row r="319" spans="1:10" ht="12.75">
      <c r="A319" s="97"/>
      <c r="B319" s="78"/>
      <c r="C319" s="78"/>
      <c r="D319" s="78"/>
      <c r="E319" s="78"/>
      <c r="F319" s="78"/>
      <c r="G319" s="78"/>
      <c r="H319" s="121"/>
      <c r="I319" s="121"/>
      <c r="J319" s="469"/>
    </row>
    <row r="320" spans="1:10" ht="12.75">
      <c r="A320" s="97"/>
      <c r="B320" s="78">
        <v>2</v>
      </c>
      <c r="C320" s="78" t="str">
        <f>'Unit tariffs'!B$86</f>
        <v>hour-artisan </v>
      </c>
      <c r="D320" s="78"/>
      <c r="E320" s="78"/>
      <c r="F320" s="78"/>
      <c r="G320" s="78"/>
      <c r="H320" s="80">
        <v>360.1174651266923</v>
      </c>
      <c r="I320" s="80">
        <f>VLOOKUP($C320,'Unit tariffs'!$B$21:$F$122,5,FALSE)*$B320</f>
        <v>645.7044634615385</v>
      </c>
      <c r="J320" s="469"/>
    </row>
    <row r="321" spans="1:10" ht="12.75">
      <c r="A321" s="97"/>
      <c r="B321" s="78">
        <f>+B320*2</f>
        <v>4</v>
      </c>
      <c r="C321" s="78" t="str">
        <f>'Unit tariffs'!B$84</f>
        <v>hour-artisan assistant</v>
      </c>
      <c r="D321" s="78"/>
      <c r="E321" s="78"/>
      <c r="F321" s="78"/>
      <c r="G321" s="78"/>
      <c r="H321" s="87">
        <v>318.4122236937231</v>
      </c>
      <c r="I321" s="87">
        <f>VLOOKUP($C321,'Unit tariffs'!$B$21:$F$122,5,FALSE)*$B321</f>
        <v>514.1432307692309</v>
      </c>
      <c r="J321" s="469"/>
    </row>
    <row r="322" spans="1:10" ht="12.75">
      <c r="A322" s="97"/>
      <c r="B322" s="78"/>
      <c r="C322" s="78"/>
      <c r="D322" s="78"/>
      <c r="E322" s="78"/>
      <c r="F322" s="78"/>
      <c r="G322" s="78"/>
      <c r="H322" s="80">
        <f>SUM(H320:H321)</f>
        <v>678.5296888204155</v>
      </c>
      <c r="I322" s="80">
        <f>SUM(I320:I321)</f>
        <v>1159.8476942307693</v>
      </c>
      <c r="J322" s="469"/>
    </row>
    <row r="323" spans="1:10" ht="12.75">
      <c r="A323" s="97"/>
      <c r="B323" s="110" t="s">
        <v>43</v>
      </c>
      <c r="C323" s="78"/>
      <c r="D323" s="78"/>
      <c r="E323" s="78"/>
      <c r="F323" s="78"/>
      <c r="G323" s="78"/>
      <c r="H323" s="121"/>
      <c r="I323" s="121"/>
      <c r="J323" s="469"/>
    </row>
    <row r="324" spans="1:10" ht="12.75">
      <c r="A324" s="97"/>
      <c r="B324" s="78"/>
      <c r="C324" s="78"/>
      <c r="D324" s="78"/>
      <c r="E324" s="78"/>
      <c r="F324" s="78"/>
      <c r="G324" s="78"/>
      <c r="H324" s="121"/>
      <c r="I324" s="121"/>
      <c r="J324" s="469"/>
    </row>
    <row r="325" spans="1:10" ht="12.75">
      <c r="A325" s="97"/>
      <c r="B325" s="78">
        <v>24</v>
      </c>
      <c r="C325" s="78" t="str">
        <f>'Unit tariffs'!B$110</f>
        <v>km-truck with platform</v>
      </c>
      <c r="D325" s="78"/>
      <c r="E325" s="78"/>
      <c r="F325" s="78"/>
      <c r="G325" s="78"/>
      <c r="H325" s="80">
        <v>779.1765820800001</v>
      </c>
      <c r="I325" s="80">
        <f>VLOOKUP($C325,'Unit tariffs'!$B$21:$F$122,5,FALSE)*$B325</f>
        <v>970.1459533764145</v>
      </c>
      <c r="J325" s="469"/>
    </row>
    <row r="326" spans="1:10" ht="12.75">
      <c r="A326" s="97"/>
      <c r="B326" s="78">
        <v>0.5</v>
      </c>
      <c r="C326" s="78" t="str">
        <f>'Unit tariffs'!B$111</f>
        <v>hour-truck with platform</v>
      </c>
      <c r="D326" s="78"/>
      <c r="E326" s="78"/>
      <c r="F326" s="78"/>
      <c r="G326" s="78"/>
      <c r="H326" s="87">
        <v>335.22502000000003</v>
      </c>
      <c r="I326" s="87">
        <f>VLOOKUP($C326,'Unit tariffs'!$B$21:$F$122,5,FALSE)*$B326</f>
        <v>98.361044775275</v>
      </c>
      <c r="J326" s="469"/>
    </row>
    <row r="327" spans="1:10" ht="13.5" thickBot="1">
      <c r="A327" s="97"/>
      <c r="B327" s="78"/>
      <c r="C327" s="78"/>
      <c r="D327" s="78"/>
      <c r="E327" s="78"/>
      <c r="F327" s="78"/>
      <c r="G327" s="78"/>
      <c r="H327" s="113">
        <f>SUM(H325:H326)</f>
        <v>1114.4016020800002</v>
      </c>
      <c r="I327" s="113">
        <f>SUM(I325:I326)</f>
        <v>1068.5069981516895</v>
      </c>
      <c r="J327" s="469"/>
    </row>
    <row r="328" spans="1:10" ht="13.5" thickTop="1">
      <c r="A328" s="97"/>
      <c r="B328" s="78"/>
      <c r="C328" s="78"/>
      <c r="D328" s="78"/>
      <c r="E328" s="78"/>
      <c r="F328" s="78"/>
      <c r="G328" s="80"/>
      <c r="H328" s="80">
        <v>15627.675264210968</v>
      </c>
      <c r="I328" s="80">
        <f>+I327+I322+I316+I309</f>
        <v>20897.30067778846</v>
      </c>
      <c r="J328" s="469"/>
    </row>
    <row r="329" spans="1:10" ht="13.5" thickBot="1">
      <c r="A329" s="97"/>
      <c r="B329" s="110" t="str">
        <f>'Unit tariffs'!$B$7</f>
        <v>Administration Levy (Indirect Cost)</v>
      </c>
      <c r="C329" s="78"/>
      <c r="D329" s="112">
        <f>'Unit tariffs'!$C$7</f>
        <v>0.1</v>
      </c>
      <c r="E329" s="78" t="s">
        <v>312</v>
      </c>
      <c r="F329" s="196">
        <f>+'Unit tariffs'!$F$7</f>
        <v>10000</v>
      </c>
      <c r="G329" s="80"/>
      <c r="H329" s="114">
        <f>H328*0.2636</f>
        <v>4119.455199646011</v>
      </c>
      <c r="I329" s="114">
        <f>IF(I328*$D329&gt;='Unit tariffs'!$E$7,'Unit tariffs'!$E$7,I328*$D329)</f>
        <v>2089.7300677788458</v>
      </c>
      <c r="J329" s="469"/>
    </row>
    <row r="330" spans="1:10" ht="13.5" thickTop="1">
      <c r="A330" s="97"/>
      <c r="B330" s="110" t="s">
        <v>44</v>
      </c>
      <c r="C330" s="78"/>
      <c r="D330" s="78"/>
      <c r="E330" s="78"/>
      <c r="F330" s="78"/>
      <c r="G330" s="80"/>
      <c r="H330" s="359">
        <f>SUM(H328:H329)</f>
        <v>19747.130463856978</v>
      </c>
      <c r="I330" s="115">
        <f>SUM(I328:I329)</f>
        <v>22987.030745567303</v>
      </c>
      <c r="J330" s="469"/>
    </row>
    <row r="331" spans="1:10" ht="12.75">
      <c r="A331" s="97"/>
      <c r="B331" s="110"/>
      <c r="C331" s="78"/>
      <c r="D331" s="78"/>
      <c r="E331" s="78"/>
      <c r="F331" s="78"/>
      <c r="G331" s="80"/>
      <c r="H331" s="78"/>
      <c r="I331" s="78"/>
      <c r="J331" s="469"/>
    </row>
    <row r="332" spans="1:10" ht="12.75">
      <c r="A332" s="97"/>
      <c r="B332" s="110" t="s">
        <v>45</v>
      </c>
      <c r="C332" s="78"/>
      <c r="D332" s="78"/>
      <c r="E332" s="78"/>
      <c r="F332" s="78"/>
      <c r="G332" s="78"/>
      <c r="H332" s="90">
        <v>19790</v>
      </c>
      <c r="I332" s="90">
        <f>ROUND(I330,-1)</f>
        <v>22990</v>
      </c>
      <c r="J332" s="469"/>
    </row>
    <row r="333" spans="1:10" ht="12.75">
      <c r="A333" s="97"/>
      <c r="B333" s="78"/>
      <c r="C333" s="78"/>
      <c r="D333" s="78"/>
      <c r="E333" s="78"/>
      <c r="F333" s="78"/>
      <c r="G333" s="78"/>
      <c r="H333" s="80"/>
      <c r="I333" s="80"/>
      <c r="J333" s="469"/>
    </row>
    <row r="334" spans="1:10" ht="12.75">
      <c r="A334" s="97"/>
      <c r="B334" s="78"/>
      <c r="C334" s="78"/>
      <c r="D334" s="78"/>
      <c r="E334" s="78"/>
      <c r="F334" s="78"/>
      <c r="G334" s="78"/>
      <c r="H334" s="118">
        <v>0.05772314270443613</v>
      </c>
      <c r="I334" s="118">
        <f>(+I332-H332)/H332</f>
        <v>0.1616978271854472</v>
      </c>
      <c r="J334" s="119"/>
    </row>
    <row r="335" spans="1:10" ht="12.75">
      <c r="A335" s="97"/>
      <c r="B335" s="78"/>
      <c r="C335" s="78"/>
      <c r="D335" s="78"/>
      <c r="E335" s="78"/>
      <c r="F335" s="78"/>
      <c r="G335" s="78"/>
      <c r="H335" s="78"/>
      <c r="I335" s="118"/>
      <c r="J335" s="119"/>
    </row>
    <row r="336" spans="1:10" ht="13.5" thickBot="1">
      <c r="A336" s="462"/>
      <c r="B336" s="130"/>
      <c r="C336" s="130"/>
      <c r="D336" s="130"/>
      <c r="E336" s="130"/>
      <c r="F336" s="130"/>
      <c r="G336" s="130"/>
      <c r="H336" s="130"/>
      <c r="I336" s="130"/>
      <c r="J336" s="101"/>
    </row>
    <row r="337" spans="1:10" ht="13.5" thickTop="1">
      <c r="A337" s="97"/>
      <c r="B337" s="78"/>
      <c r="C337" s="78"/>
      <c r="D337" s="78"/>
      <c r="E337" s="78"/>
      <c r="F337" s="78"/>
      <c r="G337" s="78"/>
      <c r="H337" s="78"/>
      <c r="I337" s="78"/>
      <c r="J337" s="101"/>
    </row>
    <row r="338" spans="1:10" ht="13.5" thickBot="1">
      <c r="A338" s="97"/>
      <c r="B338" s="78"/>
      <c r="C338" s="78"/>
      <c r="D338" s="78"/>
      <c r="E338" s="78"/>
      <c r="F338" s="78"/>
      <c r="G338" s="78"/>
      <c r="H338" s="78"/>
      <c r="I338" s="78"/>
      <c r="J338" s="101"/>
    </row>
    <row r="339" spans="1:10" ht="13.5" thickTop="1">
      <c r="A339" s="459"/>
      <c r="B339" s="143"/>
      <c r="C339" s="127"/>
      <c r="D339" s="127"/>
      <c r="E339" s="127" t="s">
        <v>1</v>
      </c>
      <c r="F339" s="127"/>
      <c r="G339" s="127"/>
      <c r="H339" s="127"/>
      <c r="I339" s="127"/>
      <c r="J339" s="101"/>
    </row>
    <row r="340" spans="1:10" ht="22.5" customHeight="1">
      <c r="A340" s="97"/>
      <c r="B340" s="820" t="s">
        <v>234</v>
      </c>
      <c r="C340" s="821"/>
      <c r="D340" s="821"/>
      <c r="E340" s="821"/>
      <c r="F340" s="821"/>
      <c r="G340" s="822"/>
      <c r="H340" s="78"/>
      <c r="I340" s="140" t="s">
        <v>629</v>
      </c>
      <c r="J340" s="101"/>
    </row>
    <row r="341" spans="1:10" ht="12.75">
      <c r="A341" s="97"/>
      <c r="B341" s="78" t="s">
        <v>1</v>
      </c>
      <c r="C341" s="78"/>
      <c r="D341" s="78"/>
      <c r="E341" s="78"/>
      <c r="F341" s="78"/>
      <c r="G341" s="78"/>
      <c r="H341" s="78"/>
      <c r="I341" s="78"/>
      <c r="J341" s="101"/>
    </row>
    <row r="342" spans="1:10" ht="41.25" customHeight="1">
      <c r="A342" s="97"/>
      <c r="B342" s="823" t="s">
        <v>566</v>
      </c>
      <c r="C342" s="824"/>
      <c r="D342" s="824"/>
      <c r="E342" s="824"/>
      <c r="F342" s="824"/>
      <c r="G342" s="825"/>
      <c r="H342" s="78"/>
      <c r="I342" s="78"/>
      <c r="J342" s="101"/>
    </row>
    <row r="343" spans="1:10" ht="12.75">
      <c r="A343" s="97"/>
      <c r="B343" s="78" t="s">
        <v>1</v>
      </c>
      <c r="C343" s="78"/>
      <c r="D343" s="78"/>
      <c r="E343" s="78"/>
      <c r="F343" s="78"/>
      <c r="G343" s="78"/>
      <c r="H343" s="109" t="str">
        <f>+H$11</f>
        <v>2020/2021</v>
      </c>
      <c r="I343" s="109" t="str">
        <f>+'Unit tariffs'!$F$11</f>
        <v>2021/2022</v>
      </c>
      <c r="J343" s="458" t="s">
        <v>315</v>
      </c>
    </row>
    <row r="344" spans="1:10" ht="14.25" thickBot="1">
      <c r="A344" s="97"/>
      <c r="B344" s="78"/>
      <c r="C344" s="78"/>
      <c r="D344" s="78"/>
      <c r="E344" s="78"/>
      <c r="F344" s="78"/>
      <c r="G344" s="78"/>
      <c r="H344" s="144"/>
      <c r="I344" s="134"/>
      <c r="J344" s="464"/>
    </row>
    <row r="345" spans="1:10" ht="14.25" thickBot="1">
      <c r="A345" s="97"/>
      <c r="B345" s="78"/>
      <c r="C345" s="78"/>
      <c r="D345" s="78"/>
      <c r="E345" s="78"/>
      <c r="F345" s="78"/>
      <c r="G345" s="78"/>
      <c r="H345" s="144"/>
      <c r="I345" s="358" t="s">
        <v>240</v>
      </c>
      <c r="J345" s="464"/>
    </row>
    <row r="346" spans="1:10" ht="12.75">
      <c r="A346" s="97"/>
      <c r="B346" s="225" t="s">
        <v>117</v>
      </c>
      <c r="C346" s="714"/>
      <c r="D346" s="78"/>
      <c r="E346" s="78"/>
      <c r="F346" s="78"/>
      <c r="G346" s="78"/>
      <c r="H346" s="145"/>
      <c r="I346" s="80"/>
      <c r="J346" s="464"/>
    </row>
    <row r="347" spans="1:10" ht="12.75">
      <c r="A347" s="97"/>
      <c r="B347" s="714" t="s">
        <v>118</v>
      </c>
      <c r="C347" s="714"/>
      <c r="D347" s="78"/>
      <c r="E347" s="78"/>
      <c r="F347" s="78"/>
      <c r="G347" s="78"/>
      <c r="H347" s="121"/>
      <c r="I347" s="121"/>
      <c r="J347" s="111"/>
    </row>
    <row r="348" spans="1:10" ht="12.75">
      <c r="A348" s="97"/>
      <c r="B348" s="714">
        <v>3.5</v>
      </c>
      <c r="C348" s="714" t="str">
        <f>'Unit tariffs'!B$132</f>
        <v>Secondary Backbone - LV Urban</v>
      </c>
      <c r="D348" s="78"/>
      <c r="E348" s="78"/>
      <c r="F348" s="78" t="str">
        <f>'Unit tariffs'!C$131</f>
        <v>per kVA</v>
      </c>
      <c r="G348" s="78"/>
      <c r="H348" s="80">
        <v>1996.3567910550007</v>
      </c>
      <c r="I348" s="80">
        <f>VLOOKUP($C348,'Unit tariffs'!$B$21:$F$157,5,FALSE)*$B348</f>
        <v>3481.2855000000004</v>
      </c>
      <c r="J348" s="111"/>
    </row>
    <row r="349" spans="1:10" ht="12.75">
      <c r="A349" s="97"/>
      <c r="B349" s="714">
        <v>3.5</v>
      </c>
      <c r="C349" s="714" t="str">
        <f>'Unit tariffs'!B$133</f>
        <v>LV Backbone -Urban</v>
      </c>
      <c r="D349" s="78"/>
      <c r="E349" s="78"/>
      <c r="F349" s="78" t="str">
        <f>'Unit tariffs'!C$132</f>
        <v>per kVA</v>
      </c>
      <c r="G349" s="78"/>
      <c r="H349" s="87">
        <v>830.4361291050004</v>
      </c>
      <c r="I349" s="87">
        <f>VLOOKUP($C349,'Unit tariffs'!$B$21:$F$157,5,FALSE)*$B349</f>
        <v>1448.1390000000001</v>
      </c>
      <c r="J349" s="111"/>
    </row>
    <row r="350" spans="1:10" ht="12.75">
      <c r="A350" s="97"/>
      <c r="B350" s="78"/>
      <c r="C350" s="78"/>
      <c r="D350" s="78"/>
      <c r="E350" s="78"/>
      <c r="F350" s="78"/>
      <c r="G350" s="78"/>
      <c r="H350" s="80">
        <f>SUM(H348:H349)</f>
        <v>2826.792920160001</v>
      </c>
      <c r="I350" s="80">
        <f>SUM(I348:I349)</f>
        <v>4929.424500000001</v>
      </c>
      <c r="J350" s="111"/>
    </row>
    <row r="351" spans="1:10" ht="12.75">
      <c r="A351" s="97" t="s">
        <v>231</v>
      </c>
      <c r="B351" s="110" t="s">
        <v>41</v>
      </c>
      <c r="C351" s="78"/>
      <c r="D351" s="78"/>
      <c r="E351" s="78"/>
      <c r="F351" s="78"/>
      <c r="G351" s="78"/>
      <c r="H351" s="80"/>
      <c r="I351" s="80"/>
      <c r="J351" s="101"/>
    </row>
    <row r="352" spans="1:11" ht="15">
      <c r="A352" s="97"/>
      <c r="B352" s="78">
        <v>1</v>
      </c>
      <c r="C352" s="739" t="str">
        <f>'Unit tariffs'!B45</f>
        <v>METER: TIME OF USE 100 AMP</v>
      </c>
      <c r="D352" s="78"/>
      <c r="E352" s="78"/>
      <c r="F352" s="78"/>
      <c r="G352" s="78"/>
      <c r="H352" s="80">
        <v>4588.4827</v>
      </c>
      <c r="I352" s="80">
        <f>VLOOKUP($C352,'Unit tariffs'!$B$21:$F$122,5,FALSE)*$B352</f>
        <v>5314.91420764</v>
      </c>
      <c r="J352" s="471" t="e">
        <f>IF(+I352*'Unit tariffs'!#REF!&gt;'Unit tariffs'!#REF!,'Unit tariffs'!#REF!,+I352*'Unit tariffs'!#REF!)</f>
        <v>#REF!</v>
      </c>
      <c r="K352" s="357"/>
    </row>
    <row r="353" spans="1:11" ht="12.75">
      <c r="A353" s="97"/>
      <c r="B353" s="78">
        <v>1</v>
      </c>
      <c r="C353" s="78" t="str">
        <f>+'Unit tariffs'!B46</f>
        <v>Modum for TOU meter</v>
      </c>
      <c r="D353" s="78"/>
      <c r="E353" s="78"/>
      <c r="F353" s="78"/>
      <c r="G353" s="78"/>
      <c r="H353" s="80">
        <v>3414.6847999999995</v>
      </c>
      <c r="I353" s="80">
        <f>VLOOKUP($C353,'Unit tariffs'!$B$21:$F$122,5,FALSE)*$B353</f>
        <v>3558.1015615999995</v>
      </c>
      <c r="J353" s="471" t="e">
        <f>IF(+I353*'Unit tariffs'!#REF!&gt;'Unit tariffs'!#REF!,'Unit tariffs'!#REF!,+I353*'Unit tariffs'!#REF!)</f>
        <v>#REF!</v>
      </c>
      <c r="K353" s="357"/>
    </row>
    <row r="354" spans="1:11" ht="12.75">
      <c r="A354" s="97"/>
      <c r="B354" s="78">
        <v>3</v>
      </c>
      <c r="C354" s="78" t="str">
        <f>'Unit tariffs'!B42</f>
        <v>x 80 A circuit breaker (5kA) - Orange</v>
      </c>
      <c r="D354" s="78"/>
      <c r="E354" s="78"/>
      <c r="F354" s="78"/>
      <c r="G354" s="78"/>
      <c r="H354" s="80">
        <v>541.0141229999999</v>
      </c>
      <c r="I354" s="80">
        <f>VLOOKUP($C354,'Unit tariffs'!$B$21:$F$122,5,FALSE)*$B354</f>
        <v>563.736716166</v>
      </c>
      <c r="J354" s="471" t="e">
        <f>IF(+I354*'Unit tariffs'!#REF!&gt;'Unit tariffs'!#REF!,'Unit tariffs'!#REF!,+I354*'Unit tariffs'!#REF!)</f>
        <v>#REF!</v>
      </c>
      <c r="K354" s="357"/>
    </row>
    <row r="355" spans="1:11" ht="12.75">
      <c r="A355" s="97"/>
      <c r="B355" s="78">
        <v>1</v>
      </c>
      <c r="C355" s="78" t="str">
        <f>'Unit tariffs'!B71</f>
        <v>Cable clamp (Clampex) - K26</v>
      </c>
      <c r="D355" s="78"/>
      <c r="E355" s="78"/>
      <c r="F355" s="78"/>
      <c r="G355" s="78"/>
      <c r="H355" s="80">
        <v>32.08197743055</v>
      </c>
      <c r="I355" s="80">
        <f>VLOOKUP($C355,'Unit tariffs'!$B$21:$F$122,5,FALSE)*$B355</f>
        <v>33.4294204826331</v>
      </c>
      <c r="J355" s="471" t="e">
        <f>IF(+I355*'Unit tariffs'!#REF!&gt;'Unit tariffs'!#REF!,'Unit tariffs'!#REF!,+I355*'Unit tariffs'!#REF!)</f>
        <v>#REF!</v>
      </c>
      <c r="K355" s="357"/>
    </row>
    <row r="356" spans="1:11" ht="12.75">
      <c r="A356" s="97"/>
      <c r="B356" s="78">
        <v>1</v>
      </c>
      <c r="C356" s="78" t="str">
        <f>'Unit tariffs'!B21</f>
        <v>Installation material</v>
      </c>
      <c r="D356" s="78"/>
      <c r="E356" s="78"/>
      <c r="F356" s="78"/>
      <c r="G356" s="78"/>
      <c r="H356" s="87">
        <v>113.6449785</v>
      </c>
      <c r="I356" s="87">
        <f>VLOOKUP($C356,'Unit tariffs'!$B$21:$F$122,5,FALSE)*$B356</f>
        <v>260.5</v>
      </c>
      <c r="J356" s="471" t="e">
        <f>IF(+I356*'Unit tariffs'!#REF!&gt;'Unit tariffs'!#REF!,'Unit tariffs'!#REF!,+I356*'Unit tariffs'!#REF!)</f>
        <v>#REF!</v>
      </c>
      <c r="K356" s="357"/>
    </row>
    <row r="357" spans="1:10" ht="12.75">
      <c r="A357" s="97"/>
      <c r="B357" s="78"/>
      <c r="C357" s="78"/>
      <c r="D357" s="78"/>
      <c r="E357" s="78"/>
      <c r="F357" s="78"/>
      <c r="G357" s="80"/>
      <c r="H357" s="80">
        <f>SUM(H352:H356)</f>
        <v>8689.90857893055</v>
      </c>
      <c r="I357" s="80">
        <f>SUM(I352:I356)</f>
        <v>9730.681905888632</v>
      </c>
      <c r="J357" s="101"/>
    </row>
    <row r="358" spans="1:10" ht="12.75">
      <c r="A358" s="97"/>
      <c r="B358" s="110" t="s">
        <v>42</v>
      </c>
      <c r="C358" s="78"/>
      <c r="D358" s="78"/>
      <c r="E358" s="78"/>
      <c r="F358" s="78"/>
      <c r="G358" s="78"/>
      <c r="H358" s="78"/>
      <c r="I358" s="78"/>
      <c r="J358" s="101"/>
    </row>
    <row r="359" spans="1:10" ht="12.75">
      <c r="A359" s="97"/>
      <c r="B359" s="78">
        <v>2</v>
      </c>
      <c r="C359" s="78" t="str">
        <f>'Unit tariffs'!B$86</f>
        <v>hour-artisan </v>
      </c>
      <c r="D359" s="78"/>
      <c r="E359" s="78"/>
      <c r="F359" s="78"/>
      <c r="G359" s="78"/>
      <c r="H359" s="86">
        <v>360.1174651266923</v>
      </c>
      <c r="I359" s="80">
        <f>VLOOKUP($C359,'Unit tariffs'!$B$21:$F$122,5,FALSE)*$B359</f>
        <v>645.7044634615385</v>
      </c>
      <c r="J359" s="111"/>
    </row>
    <row r="360" spans="1:10" ht="12.75">
      <c r="A360" s="97"/>
      <c r="B360" s="78">
        <f>+B359*1</f>
        <v>2</v>
      </c>
      <c r="C360" s="78" t="str">
        <f>'Unit tariffs'!B$84</f>
        <v>hour-artisan assistant</v>
      </c>
      <c r="D360" s="78"/>
      <c r="E360" s="78"/>
      <c r="F360" s="78"/>
      <c r="G360" s="78"/>
      <c r="H360" s="362">
        <v>318.4122236937231</v>
      </c>
      <c r="I360" s="87">
        <f>VLOOKUP($C360,'Unit tariffs'!$B$21:$F$122,5,FALSE)*$B360</f>
        <v>257.0716153846154</v>
      </c>
      <c r="J360" s="111"/>
    </row>
    <row r="361" spans="1:10" ht="12.75">
      <c r="A361" s="97"/>
      <c r="B361" s="78"/>
      <c r="C361" s="78"/>
      <c r="D361" s="78"/>
      <c r="E361" s="78"/>
      <c r="F361" s="78"/>
      <c r="G361" s="78"/>
      <c r="H361" s="80">
        <f>SUM(H359:H360)</f>
        <v>678.5296888204155</v>
      </c>
      <c r="I361" s="80">
        <f>SUM(I359:J360)</f>
        <v>902.776078846154</v>
      </c>
      <c r="J361" s="101"/>
    </row>
    <row r="362" spans="1:10" ht="12.75">
      <c r="A362" s="97"/>
      <c r="B362" s="110" t="s">
        <v>43</v>
      </c>
      <c r="C362" s="78"/>
      <c r="D362" s="78"/>
      <c r="E362" s="78"/>
      <c r="F362" s="78"/>
      <c r="G362" s="78"/>
      <c r="H362" s="78"/>
      <c r="I362" s="78"/>
      <c r="J362" s="101"/>
    </row>
    <row r="363" spans="1:10" ht="12.75">
      <c r="A363" s="97"/>
      <c r="B363" s="78">
        <v>24</v>
      </c>
      <c r="C363" s="78" t="str">
        <f>'Unit tariffs'!B$110</f>
        <v>km-truck with platform</v>
      </c>
      <c r="D363" s="78"/>
      <c r="E363" s="78"/>
      <c r="F363" s="78"/>
      <c r="G363" s="78"/>
      <c r="H363" s="80">
        <v>779.1765820800001</v>
      </c>
      <c r="I363" s="80">
        <f>VLOOKUP($C363,'Unit tariffs'!$B$21:$F$122,5,FALSE)*$B363</f>
        <v>970.1459533764145</v>
      </c>
      <c r="J363" s="111"/>
    </row>
    <row r="364" spans="1:10" ht="12.75">
      <c r="A364" s="97"/>
      <c r="B364" s="78">
        <f>+B359</f>
        <v>2</v>
      </c>
      <c r="C364" s="78" t="str">
        <f>'Unit tariffs'!B$111</f>
        <v>hour-truck with platform</v>
      </c>
      <c r="D364" s="78"/>
      <c r="E364" s="78"/>
      <c r="F364" s="78"/>
      <c r="G364" s="78"/>
      <c r="H364" s="87">
        <v>335.22502000000003</v>
      </c>
      <c r="I364" s="87">
        <f>VLOOKUP($C364,'Unit tariffs'!$B$21:$F$122,5,FALSE)*$B364</f>
        <v>393.4441791011</v>
      </c>
      <c r="J364" s="111"/>
    </row>
    <row r="365" spans="1:10" ht="13.5" thickBot="1">
      <c r="A365" s="97"/>
      <c r="B365" s="78"/>
      <c r="C365" s="78"/>
      <c r="D365" s="78"/>
      <c r="E365" s="78"/>
      <c r="F365" s="78"/>
      <c r="G365" s="78"/>
      <c r="H365" s="113">
        <f>SUM(H363:H364)</f>
        <v>1114.4016020800002</v>
      </c>
      <c r="I365" s="113">
        <f>SUM(I363:I364)</f>
        <v>1363.5901324775145</v>
      </c>
      <c r="J365" s="111"/>
    </row>
    <row r="366" spans="1:10" ht="13.5" thickTop="1">
      <c r="A366" s="97"/>
      <c r="B366" s="78"/>
      <c r="C366" s="78"/>
      <c r="D366" s="78"/>
      <c r="E366" s="78"/>
      <c r="F366" s="78"/>
      <c r="G366" s="80"/>
      <c r="H366" s="80">
        <f>+H365+H361+H357+H350</f>
        <v>13309.632789990967</v>
      </c>
      <c r="I366" s="80">
        <f>+I365+I361+I357+I350</f>
        <v>16926.4726172123</v>
      </c>
      <c r="J366" s="111"/>
    </row>
    <row r="367" spans="1:10" ht="13.5" thickBot="1">
      <c r="A367" s="97"/>
      <c r="B367" s="110" t="str">
        <f>'Unit tariffs'!$B$7</f>
        <v>Administration Levy (Indirect Cost)</v>
      </c>
      <c r="C367" s="78"/>
      <c r="D367" s="112">
        <f>'Unit tariffs'!$C$7</f>
        <v>0.1</v>
      </c>
      <c r="E367" s="78" t="s">
        <v>312</v>
      </c>
      <c r="F367" s="196">
        <f>+'Unit tariffs'!$F$7</f>
        <v>10000</v>
      </c>
      <c r="G367" s="80"/>
      <c r="H367" s="114">
        <f>H366*0.2636</f>
        <v>3508.4192034416187</v>
      </c>
      <c r="I367" s="114">
        <f>IF(I366*$D367&gt;='Unit tariffs'!$E$7,'Unit tariffs'!$E$7,I366*$D367)</f>
        <v>1692.6472617212303</v>
      </c>
      <c r="J367" s="111"/>
    </row>
    <row r="368" spans="1:10" ht="13.5" thickTop="1">
      <c r="A368" s="97"/>
      <c r="B368" s="110" t="s">
        <v>44</v>
      </c>
      <c r="C368" s="78"/>
      <c r="D368" s="78"/>
      <c r="E368" s="78"/>
      <c r="F368" s="78"/>
      <c r="G368" s="80"/>
      <c r="H368" s="115">
        <v>16857.98089180256</v>
      </c>
      <c r="I368" s="115">
        <f>SUM(I366:I367)</f>
        <v>18619.119878933532</v>
      </c>
      <c r="J368" s="111"/>
    </row>
    <row r="369" spans="1:10" ht="12.75">
      <c r="A369" s="97"/>
      <c r="B369" s="110"/>
      <c r="C369" s="78"/>
      <c r="D369" s="78"/>
      <c r="E369" s="78"/>
      <c r="F369" s="78"/>
      <c r="G369" s="80"/>
      <c r="H369" s="90"/>
      <c r="I369" s="78"/>
      <c r="J369" s="116"/>
    </row>
    <row r="370" spans="1:11" ht="12.75">
      <c r="A370" s="97"/>
      <c r="B370" s="110" t="s">
        <v>45</v>
      </c>
      <c r="C370" s="78"/>
      <c r="D370" s="78"/>
      <c r="E370" s="78"/>
      <c r="F370" s="78"/>
      <c r="G370" s="90">
        <v>8130</v>
      </c>
      <c r="H370" s="90">
        <v>16860</v>
      </c>
      <c r="I370" s="90">
        <f>ROUND(I368,-1)</f>
        <v>18620</v>
      </c>
      <c r="J370" s="111"/>
      <c r="K370" s="117"/>
    </row>
    <row r="371" spans="1:10" ht="12.75">
      <c r="A371" s="97"/>
      <c r="B371" s="78"/>
      <c r="C371" s="78"/>
      <c r="D371" s="78"/>
      <c r="E371" s="78"/>
      <c r="F371" s="78"/>
      <c r="G371" s="78"/>
      <c r="H371" s="121"/>
      <c r="I371" s="80"/>
      <c r="J371" s="119"/>
    </row>
    <row r="372" spans="1:10" ht="13.5" thickBot="1">
      <c r="A372" s="97"/>
      <c r="B372" s="78"/>
      <c r="C372" s="78"/>
      <c r="D372" s="78"/>
      <c r="E372" s="78"/>
      <c r="F372" s="78"/>
      <c r="G372" s="78"/>
      <c r="H372" s="118">
        <v>0.05112219451371571</v>
      </c>
      <c r="I372" s="118">
        <f>(+I370-H370)/H370</f>
        <v>0.10438908659549229</v>
      </c>
      <c r="J372" s="101"/>
    </row>
    <row r="373" spans="1:10" ht="13.5" thickTop="1">
      <c r="A373" s="459"/>
      <c r="B373" s="127"/>
      <c r="C373" s="127"/>
      <c r="D373" s="127"/>
      <c r="E373" s="127"/>
      <c r="F373" s="127"/>
      <c r="G373" s="127"/>
      <c r="H373" s="127"/>
      <c r="I373" s="127"/>
      <c r="J373" s="101"/>
    </row>
    <row r="374" spans="1:10" ht="13.5" thickBot="1">
      <c r="A374" s="462"/>
      <c r="B374" s="130"/>
      <c r="C374" s="130"/>
      <c r="D374" s="130"/>
      <c r="E374" s="130"/>
      <c r="F374" s="130"/>
      <c r="G374" s="130"/>
      <c r="H374" s="130"/>
      <c r="I374" s="130"/>
      <c r="J374" s="101"/>
    </row>
    <row r="375" spans="1:10" ht="13.5" thickTop="1">
      <c r="A375" s="97"/>
      <c r="B375" s="78" t="s">
        <v>1</v>
      </c>
      <c r="C375" s="78"/>
      <c r="D375" s="78"/>
      <c r="E375" s="78"/>
      <c r="F375" s="78"/>
      <c r="G375" s="78"/>
      <c r="H375" s="78"/>
      <c r="I375" s="78"/>
      <c r="J375" s="101"/>
    </row>
    <row r="376" spans="1:10" ht="27.75" customHeight="1">
      <c r="A376" s="97"/>
      <c r="B376" s="823" t="s">
        <v>567</v>
      </c>
      <c r="C376" s="824"/>
      <c r="D376" s="824"/>
      <c r="E376" s="824"/>
      <c r="F376" s="824"/>
      <c r="G376" s="825"/>
      <c r="H376" s="78"/>
      <c r="I376" s="140" t="s">
        <v>243</v>
      </c>
      <c r="J376" s="101"/>
    </row>
    <row r="377" spans="1:10" ht="12.75">
      <c r="A377" s="97"/>
      <c r="B377" s="78" t="s">
        <v>1</v>
      </c>
      <c r="C377" s="78"/>
      <c r="D377" s="78"/>
      <c r="E377" s="78"/>
      <c r="F377" s="78"/>
      <c r="G377" s="78"/>
      <c r="H377" s="78"/>
      <c r="I377" s="78"/>
      <c r="J377" s="101"/>
    </row>
    <row r="378" spans="1:10" ht="12.75">
      <c r="A378" s="97"/>
      <c r="B378" s="78" t="s">
        <v>1</v>
      </c>
      <c r="C378" s="78"/>
      <c r="D378" s="78"/>
      <c r="E378" s="78"/>
      <c r="F378" s="78"/>
      <c r="G378" s="78"/>
      <c r="H378" s="109" t="str">
        <f>+H$11</f>
        <v>2020/2021</v>
      </c>
      <c r="I378" s="109" t="str">
        <f>+'Unit tariffs'!$F$11</f>
        <v>2021/2022</v>
      </c>
      <c r="J378" s="458" t="s">
        <v>315</v>
      </c>
    </row>
    <row r="379" spans="1:10" ht="13.5">
      <c r="A379" s="97"/>
      <c r="B379" s="78"/>
      <c r="C379" s="78"/>
      <c r="D379" s="78"/>
      <c r="E379" s="78"/>
      <c r="F379" s="78"/>
      <c r="G379" s="78"/>
      <c r="H379" s="144"/>
      <c r="I379" s="134"/>
      <c r="J379" s="464"/>
    </row>
    <row r="380" spans="1:10" ht="13.5" thickBot="1">
      <c r="A380" s="97"/>
      <c r="B380" s="78"/>
      <c r="C380" s="78"/>
      <c r="D380" s="78"/>
      <c r="E380" s="78"/>
      <c r="F380" s="78"/>
      <c r="G380" s="78"/>
      <c r="H380" s="121"/>
      <c r="I380" s="121"/>
      <c r="J380" s="464"/>
    </row>
    <row r="381" spans="1:10" ht="14.25" thickBot="1">
      <c r="A381" s="97"/>
      <c r="B381" s="225" t="s">
        <v>117</v>
      </c>
      <c r="C381" s="714"/>
      <c r="D381" s="78"/>
      <c r="E381" s="78"/>
      <c r="F381" s="78"/>
      <c r="G381" s="78"/>
      <c r="H381" s="144"/>
      <c r="I381" s="108" t="s">
        <v>240</v>
      </c>
      <c r="J381" s="111"/>
    </row>
    <row r="382" spans="1:10" ht="12.75">
      <c r="A382" s="97"/>
      <c r="B382" s="714">
        <v>3.5</v>
      </c>
      <c r="C382" s="714" t="str">
        <f>'Unit tariffs'!B130</f>
        <v>Primary Backbone - Urban</v>
      </c>
      <c r="D382" s="78"/>
      <c r="E382" s="78"/>
      <c r="F382" s="78" t="str">
        <f>'Unit tariffs'!C130</f>
        <v>per kVA</v>
      </c>
      <c r="G382" s="78"/>
      <c r="H382" s="80">
        <v>2318.042474220001</v>
      </c>
      <c r="I382" s="80">
        <f>VLOOKUP($C382,'Unit tariffs'!B130:F133,5,FALSE)*$B382</f>
        <v>4042.2690000000007</v>
      </c>
      <c r="J382" s="111"/>
    </row>
    <row r="383" spans="1:10" ht="12.75">
      <c r="A383" s="97"/>
      <c r="B383" s="714">
        <v>3.5</v>
      </c>
      <c r="C383" s="714" t="str">
        <f>'Unit tariffs'!B$132</f>
        <v>Secondary Backbone - LV Urban</v>
      </c>
      <c r="D383" s="78"/>
      <c r="E383" s="78"/>
      <c r="F383" s="78" t="str">
        <f>'Unit tariffs'!C$131</f>
        <v>per kVA</v>
      </c>
      <c r="G383" s="78"/>
      <c r="H383" s="80">
        <v>1996.3567910550007</v>
      </c>
      <c r="I383" s="80">
        <f>VLOOKUP($C383,'Unit tariffs'!$B$21:$F$157,5,FALSE)*$B383</f>
        <v>3481.2855000000004</v>
      </c>
      <c r="J383" s="111"/>
    </row>
    <row r="384" spans="1:10" ht="12.75">
      <c r="A384" s="97"/>
      <c r="B384" s="714">
        <v>3.5</v>
      </c>
      <c r="C384" s="714" t="str">
        <f>'Unit tariffs'!B$133</f>
        <v>LV Backbone -Urban</v>
      </c>
      <c r="D384" s="78"/>
      <c r="E384" s="78"/>
      <c r="F384" s="78" t="str">
        <f>'Unit tariffs'!C$132</f>
        <v>per kVA</v>
      </c>
      <c r="G384" s="78"/>
      <c r="H384" s="87">
        <v>830.4361291050004</v>
      </c>
      <c r="I384" s="87">
        <f>VLOOKUP($C384,'Unit tariffs'!$B$21:$F$157,5,FALSE)*$B384</f>
        <v>1448.1390000000001</v>
      </c>
      <c r="J384" s="111"/>
    </row>
    <row r="385" spans="1:10" ht="12" customHeight="1">
      <c r="A385" s="97"/>
      <c r="B385" s="78"/>
      <c r="C385" s="78"/>
      <c r="D385" s="78"/>
      <c r="E385" s="78"/>
      <c r="F385" s="78"/>
      <c r="G385" s="78"/>
      <c r="H385" s="80">
        <f>SUM(H382:H384)</f>
        <v>5144.835394380003</v>
      </c>
      <c r="I385" s="80">
        <f>SUM(I382:I384)</f>
        <v>8971.693500000001</v>
      </c>
      <c r="J385" s="111"/>
    </row>
    <row r="386" spans="1:10" ht="12.75">
      <c r="A386" s="97"/>
      <c r="B386" s="78"/>
      <c r="C386" s="78"/>
      <c r="D386" s="78"/>
      <c r="E386" s="78"/>
      <c r="F386" s="78"/>
      <c r="G386" s="78"/>
      <c r="H386" s="78"/>
      <c r="I386" s="80"/>
      <c r="J386" s="101"/>
    </row>
    <row r="387" spans="1:10" ht="12.75">
      <c r="A387" s="97"/>
      <c r="B387" s="110" t="s">
        <v>41</v>
      </c>
      <c r="C387" s="78"/>
      <c r="D387" s="78"/>
      <c r="E387" s="78"/>
      <c r="F387" s="78"/>
      <c r="G387" s="78"/>
      <c r="H387" s="78"/>
      <c r="I387" s="78"/>
      <c r="J387" s="101"/>
    </row>
    <row r="388" spans="1:10" ht="12.75">
      <c r="A388" s="97"/>
      <c r="B388" s="78"/>
      <c r="C388" s="78"/>
      <c r="D388" s="78"/>
      <c r="E388" s="78"/>
      <c r="F388" s="78"/>
      <c r="G388" s="78"/>
      <c r="H388" s="121"/>
      <c r="I388" s="121"/>
      <c r="J388" s="111"/>
    </row>
    <row r="389" spans="1:10" ht="12.75">
      <c r="A389" s="97"/>
      <c r="B389" s="78">
        <v>1</v>
      </c>
      <c r="C389" s="360" t="str">
        <f>'Unit tariffs'!B35</f>
        <v>Prepaid meter (Split) 3 phase - </v>
      </c>
      <c r="D389" s="78"/>
      <c r="E389" s="78"/>
      <c r="F389" s="78"/>
      <c r="G389" s="78"/>
      <c r="H389" s="80">
        <v>6745.069568999999</v>
      </c>
      <c r="I389" s="199">
        <f>VLOOKUP($C389,'Unit tariffs'!$B$21:$F$122,5,FALSE)*$B389</f>
        <v>7028.362490897999</v>
      </c>
      <c r="J389" s="471" t="e">
        <f>IF(+I389*'Unit tariffs'!#REF!&gt;'Unit tariffs'!#REF!,'Unit tariffs'!#REF!,+I389*'Unit tariffs'!#REF!)</f>
        <v>#REF!</v>
      </c>
    </row>
    <row r="390" spans="1:10" ht="12.75">
      <c r="A390" s="97"/>
      <c r="B390" s="78">
        <v>3</v>
      </c>
      <c r="C390" s="78" t="str">
        <f>'Unit tariffs'!B42</f>
        <v>x 80 A circuit breaker (5kA) - Orange</v>
      </c>
      <c r="D390" s="78"/>
      <c r="E390" s="78"/>
      <c r="F390" s="78"/>
      <c r="G390" s="78"/>
      <c r="H390" s="80">
        <v>541.0141229999999</v>
      </c>
      <c r="I390" s="80">
        <f>VLOOKUP($C390,'Unit tariffs'!$B$21:$F$122,5,FALSE)*$B390</f>
        <v>563.736716166</v>
      </c>
      <c r="J390" s="471" t="e">
        <f>IF(+I390*'Unit tariffs'!#REF!&gt;'Unit tariffs'!#REF!,'Unit tariffs'!#REF!,+I390*'Unit tariffs'!#REF!)</f>
        <v>#REF!</v>
      </c>
    </row>
    <row r="391" spans="1:10" ht="12.75">
      <c r="A391" s="97"/>
      <c r="B391" s="78">
        <v>1</v>
      </c>
      <c r="C391" s="78" t="str">
        <f>'Unit tariffs'!B71</f>
        <v>Cable clamp (Clampex) - K26</v>
      </c>
      <c r="D391" s="78"/>
      <c r="E391" s="78"/>
      <c r="F391" s="78"/>
      <c r="G391" s="78"/>
      <c r="H391" s="80">
        <v>32.08197743055</v>
      </c>
      <c r="I391" s="80">
        <f>VLOOKUP($C391,'Unit tariffs'!$B$21:$F$122,5,FALSE)*$B391</f>
        <v>33.4294204826331</v>
      </c>
      <c r="J391" s="471" t="e">
        <f>IF(+I391*'Unit tariffs'!#REF!&gt;'Unit tariffs'!#REF!,'Unit tariffs'!#REF!,+I391*'Unit tariffs'!#REF!)</f>
        <v>#REF!</v>
      </c>
    </row>
    <row r="392" spans="1:10" ht="12.75">
      <c r="A392" s="97"/>
      <c r="B392" s="78">
        <v>1</v>
      </c>
      <c r="C392" s="78" t="str">
        <f>'Unit tariffs'!B21</f>
        <v>Installation material</v>
      </c>
      <c r="D392" s="78"/>
      <c r="E392" s="78"/>
      <c r="F392" s="78"/>
      <c r="G392" s="78"/>
      <c r="H392" s="87">
        <v>113.6449785</v>
      </c>
      <c r="I392" s="87">
        <f>VLOOKUP($C392,'Unit tariffs'!$B$21:$F$122,5,FALSE)*$B392</f>
        <v>260.5</v>
      </c>
      <c r="J392" s="471" t="e">
        <f>IF(+I392*'Unit tariffs'!#REF!&gt;'Unit tariffs'!#REF!,'Unit tariffs'!#REF!,+I392*'Unit tariffs'!#REF!)</f>
        <v>#REF!</v>
      </c>
    </row>
    <row r="393" spans="1:10" ht="12.75">
      <c r="A393" s="97"/>
      <c r="B393" s="78"/>
      <c r="C393" s="78"/>
      <c r="D393" s="78"/>
      <c r="E393" s="78"/>
      <c r="F393" s="78"/>
      <c r="G393" s="78"/>
      <c r="H393" s="80">
        <f>SUM(H389:H392)</f>
        <v>7431.81064793055</v>
      </c>
      <c r="I393" s="80">
        <f>SUM(I389:I392)</f>
        <v>7886.0286275466315</v>
      </c>
      <c r="J393" s="101"/>
    </row>
    <row r="394" spans="1:10" ht="12.75">
      <c r="A394" s="97"/>
      <c r="B394" s="110" t="s">
        <v>42</v>
      </c>
      <c r="C394" s="78"/>
      <c r="D394" s="78"/>
      <c r="E394" s="78"/>
      <c r="F394" s="78"/>
      <c r="G394" s="78"/>
      <c r="H394" s="78"/>
      <c r="I394" s="78"/>
      <c r="J394" s="101"/>
    </row>
    <row r="395" spans="1:10" ht="12.75">
      <c r="A395" s="97"/>
      <c r="B395" s="78"/>
      <c r="C395" s="78"/>
      <c r="D395" s="78"/>
      <c r="E395" s="78"/>
      <c r="F395" s="78"/>
      <c r="G395" s="78"/>
      <c r="H395" s="121"/>
      <c r="I395" s="121"/>
      <c r="J395" s="111"/>
    </row>
    <row r="396" spans="1:10" ht="12.75">
      <c r="A396" s="97"/>
      <c r="B396" s="78">
        <v>1</v>
      </c>
      <c r="C396" s="78" t="str">
        <f>'Unit tariffs'!B$86</f>
        <v>hour-artisan </v>
      </c>
      <c r="D396" s="78"/>
      <c r="E396" s="78"/>
      <c r="F396" s="78"/>
      <c r="G396" s="78"/>
      <c r="H396" s="80">
        <v>180.05873256334615</v>
      </c>
      <c r="I396" s="80">
        <f>VLOOKUP($C396,'Unit tariffs'!$B$21:$F$122,5,FALSE)*$B396</f>
        <v>322.85223173076923</v>
      </c>
      <c r="J396" s="111"/>
    </row>
    <row r="397" spans="1:10" ht="12.75">
      <c r="A397" s="97"/>
      <c r="B397" s="78">
        <v>1</v>
      </c>
      <c r="C397" s="78" t="str">
        <f>'Unit tariffs'!B$84</f>
        <v>hour-artisan assistant</v>
      </c>
      <c r="D397" s="78"/>
      <c r="E397" s="78"/>
      <c r="F397" s="78"/>
      <c r="G397" s="78"/>
      <c r="H397" s="87">
        <v>159.20611184686155</v>
      </c>
      <c r="I397" s="87">
        <f>VLOOKUP($C397,'Unit tariffs'!$B$21:$F$122,5,FALSE)*$B397</f>
        <v>128.5358076923077</v>
      </c>
      <c r="J397" s="111"/>
    </row>
    <row r="398" spans="1:10" ht="12.75">
      <c r="A398" s="97"/>
      <c r="B398" s="78"/>
      <c r="C398" s="78"/>
      <c r="D398" s="78"/>
      <c r="E398" s="78"/>
      <c r="F398" s="78"/>
      <c r="G398" s="78"/>
      <c r="H398" s="80">
        <f>SUM(H396:H397)</f>
        <v>339.26484441020773</v>
      </c>
      <c r="I398" s="80">
        <f>SUM(I396:I397)</f>
        <v>451.388039423077</v>
      </c>
      <c r="J398" s="101"/>
    </row>
    <row r="399" spans="1:10" ht="12.75">
      <c r="A399" s="97"/>
      <c r="B399" s="110" t="s">
        <v>43</v>
      </c>
      <c r="C399" s="78"/>
      <c r="D399" s="78"/>
      <c r="E399" s="78"/>
      <c r="F399" s="78"/>
      <c r="G399" s="78"/>
      <c r="H399" s="78"/>
      <c r="I399" s="78"/>
      <c r="J399" s="101"/>
    </row>
    <row r="400" spans="1:10" ht="12.75">
      <c r="A400" s="97"/>
      <c r="B400" s="78"/>
      <c r="C400" s="78"/>
      <c r="D400" s="78"/>
      <c r="E400" s="78"/>
      <c r="F400" s="78"/>
      <c r="G400" s="78"/>
      <c r="H400" s="78"/>
      <c r="I400" s="78"/>
      <c r="J400" s="111"/>
    </row>
    <row r="401" spans="1:10" ht="12.75">
      <c r="A401" s="97"/>
      <c r="B401" s="78">
        <v>24</v>
      </c>
      <c r="C401" s="78" t="str">
        <f>'Unit tariffs'!B$110</f>
        <v>km-truck with platform</v>
      </c>
      <c r="D401" s="78"/>
      <c r="E401" s="78"/>
      <c r="F401" s="78"/>
      <c r="G401" s="78"/>
      <c r="H401" s="80">
        <v>779.1765820800001</v>
      </c>
      <c r="I401" s="80">
        <f>VLOOKUP($C401,'Unit tariffs'!$B$21:$F$122,5,FALSE)*$B401</f>
        <v>970.1459533764145</v>
      </c>
      <c r="J401" s="111"/>
    </row>
    <row r="402" spans="1:10" ht="12.75">
      <c r="A402" s="97"/>
      <c r="B402" s="78">
        <v>1</v>
      </c>
      <c r="C402" s="78" t="str">
        <f>'Unit tariffs'!B$111</f>
        <v>hour-truck with platform</v>
      </c>
      <c r="D402" s="78"/>
      <c r="E402" s="78"/>
      <c r="F402" s="78"/>
      <c r="G402" s="78"/>
      <c r="H402" s="87">
        <v>167.61251000000001</v>
      </c>
      <c r="I402" s="87">
        <f>VLOOKUP($C402,'Unit tariffs'!$B$21:$F$122,5,FALSE)*$B402</f>
        <v>196.72208955055</v>
      </c>
      <c r="J402" s="111"/>
    </row>
    <row r="403" spans="1:10" ht="13.5" thickBot="1">
      <c r="A403" s="97"/>
      <c r="B403" s="78"/>
      <c r="C403" s="78"/>
      <c r="D403" s="78"/>
      <c r="E403" s="78"/>
      <c r="F403" s="78"/>
      <c r="G403" s="78"/>
      <c r="H403" s="113">
        <f>SUM(H401:H402)</f>
        <v>946.7890920800002</v>
      </c>
      <c r="I403" s="113">
        <f>SUM(I401:I402)</f>
        <v>1166.8680429269646</v>
      </c>
      <c r="J403" s="111"/>
    </row>
    <row r="404" spans="1:10" ht="13.5" thickTop="1">
      <c r="A404" s="97"/>
      <c r="B404" s="78"/>
      <c r="C404" s="78"/>
      <c r="D404" s="78"/>
      <c r="E404" s="78"/>
      <c r="F404" s="78"/>
      <c r="G404" s="78"/>
      <c r="H404" s="80">
        <f>+H403+H398+H393+H385</f>
        <v>13862.69997880076</v>
      </c>
      <c r="I404" s="80">
        <f>+I403+I398+I393+I385</f>
        <v>18475.978209896675</v>
      </c>
      <c r="J404" s="111"/>
    </row>
    <row r="405" spans="1:10" ht="13.5" thickBot="1">
      <c r="A405" s="97"/>
      <c r="B405" s="110" t="str">
        <f>'Unit tariffs'!$B$7</f>
        <v>Administration Levy (Indirect Cost)</v>
      </c>
      <c r="C405" s="78"/>
      <c r="D405" s="112">
        <f>'Unit tariffs'!$C$7</f>
        <v>0.1</v>
      </c>
      <c r="E405" s="78" t="s">
        <v>312</v>
      </c>
      <c r="F405" s="196">
        <f>+'Unit tariffs'!$F$7</f>
        <v>10000</v>
      </c>
      <c r="G405" s="78"/>
      <c r="H405" s="114">
        <f>H404*0.2636</f>
        <v>3654.2077144118803</v>
      </c>
      <c r="I405" s="114">
        <f>IF(I404*$D405&gt;='Unit tariffs'!$E$7,'Unit tariffs'!$E$7,I404*$D405)</f>
        <v>1847.5978209896675</v>
      </c>
      <c r="J405" s="111"/>
    </row>
    <row r="406" spans="1:10" ht="13.5" thickTop="1">
      <c r="A406" s="97"/>
      <c r="B406" s="110" t="s">
        <v>44</v>
      </c>
      <c r="C406" s="78"/>
      <c r="D406" s="78"/>
      <c r="E406" s="78"/>
      <c r="F406" s="78"/>
      <c r="G406" s="78"/>
      <c r="H406" s="359">
        <f>SUM(H404:H405)</f>
        <v>17516.90769321264</v>
      </c>
      <c r="I406" s="115">
        <f>SUM(I404:I405)</f>
        <v>20323.576030886343</v>
      </c>
      <c r="J406" s="101"/>
    </row>
    <row r="407" spans="1:10" ht="12.75">
      <c r="A407" s="97"/>
      <c r="B407" s="78"/>
      <c r="C407" s="78"/>
      <c r="D407" s="78"/>
      <c r="E407" s="78"/>
      <c r="F407" s="78"/>
      <c r="G407" s="78"/>
      <c r="H407" s="78"/>
      <c r="I407" s="78"/>
      <c r="J407" s="116"/>
    </row>
    <row r="408" spans="1:10" ht="12.75">
      <c r="A408" s="97"/>
      <c r="B408" s="110" t="s">
        <v>45</v>
      </c>
      <c r="C408" s="78"/>
      <c r="D408" s="78"/>
      <c r="E408" s="78"/>
      <c r="F408" s="78"/>
      <c r="G408" s="78"/>
      <c r="H408" s="90">
        <v>17560</v>
      </c>
      <c r="I408" s="90">
        <f>ROUND(I406,-1)</f>
        <v>20320</v>
      </c>
      <c r="J408" s="111"/>
    </row>
    <row r="409" spans="1:10" ht="12.75">
      <c r="A409" s="97"/>
      <c r="B409" s="78"/>
      <c r="C409" s="78"/>
      <c r="D409" s="78"/>
      <c r="E409" s="78"/>
      <c r="F409" s="78"/>
      <c r="G409" s="78"/>
      <c r="H409" s="80"/>
      <c r="I409" s="80"/>
      <c r="J409" s="119"/>
    </row>
    <row r="410" spans="1:10" ht="12.75">
      <c r="A410" s="97"/>
      <c r="B410" s="78"/>
      <c r="C410" s="78"/>
      <c r="D410" s="78"/>
      <c r="E410" s="78"/>
      <c r="F410" s="78"/>
      <c r="G410" s="78"/>
      <c r="H410" s="118">
        <v>0.06038647342995169</v>
      </c>
      <c r="I410" s="118">
        <f>(I408-H408)/H408</f>
        <v>0.1571753986332574</v>
      </c>
      <c r="J410" s="119"/>
    </row>
    <row r="411" spans="1:10" ht="12.75">
      <c r="A411" s="97"/>
      <c r="B411" s="78"/>
      <c r="C411" s="78"/>
      <c r="D411" s="78"/>
      <c r="E411" s="78"/>
      <c r="F411" s="78"/>
      <c r="G411" s="78"/>
      <c r="H411" s="78"/>
      <c r="I411" s="118"/>
      <c r="J411" s="119"/>
    </row>
    <row r="412" spans="1:10" ht="13.5" thickBot="1">
      <c r="A412" s="462"/>
      <c r="B412" s="130"/>
      <c r="C412" s="130"/>
      <c r="D412" s="130"/>
      <c r="E412" s="130"/>
      <c r="F412" s="130"/>
      <c r="G412" s="130"/>
      <c r="H412" s="130"/>
      <c r="I412" s="130"/>
      <c r="J412" s="101"/>
    </row>
    <row r="413" spans="1:10" ht="13.5" thickTop="1">
      <c r="A413" s="97"/>
      <c r="B413" s="78"/>
      <c r="C413" s="78"/>
      <c r="D413" s="78"/>
      <c r="E413" s="78"/>
      <c r="F413" s="78"/>
      <c r="G413" s="78"/>
      <c r="H413" s="78"/>
      <c r="I413" s="78"/>
      <c r="J413" s="101"/>
    </row>
    <row r="414" spans="1:10" ht="12.75">
      <c r="A414" s="97"/>
      <c r="B414" s="78" t="s">
        <v>1</v>
      </c>
      <c r="C414" s="78"/>
      <c r="D414" s="78"/>
      <c r="E414" s="78"/>
      <c r="F414" s="78"/>
      <c r="G414" s="78"/>
      <c r="H414" s="106"/>
      <c r="I414" s="106"/>
      <c r="J414" s="101"/>
    </row>
    <row r="415" spans="1:10" ht="28.5" customHeight="1">
      <c r="A415" s="97"/>
      <c r="B415" s="823" t="s">
        <v>568</v>
      </c>
      <c r="C415" s="824"/>
      <c r="D415" s="824"/>
      <c r="E415" s="824"/>
      <c r="F415" s="824"/>
      <c r="G415" s="825"/>
      <c r="H415" s="121"/>
      <c r="I415" s="140" t="s">
        <v>628</v>
      </c>
      <c r="J415" s="101"/>
    </row>
    <row r="416" spans="1:10" ht="12.75">
      <c r="A416" s="97"/>
      <c r="B416" s="78" t="s">
        <v>1</v>
      </c>
      <c r="C416" s="78"/>
      <c r="D416" s="78"/>
      <c r="E416" s="78"/>
      <c r="F416" s="78"/>
      <c r="G416" s="78"/>
      <c r="H416" s="78"/>
      <c r="I416" s="78"/>
      <c r="J416" s="101"/>
    </row>
    <row r="417" spans="1:10" ht="12.75">
      <c r="A417" s="97"/>
      <c r="B417" s="78" t="s">
        <v>1</v>
      </c>
      <c r="C417" s="78"/>
      <c r="D417" s="78"/>
      <c r="E417" s="78"/>
      <c r="F417" s="78"/>
      <c r="G417" s="78"/>
      <c r="H417" s="109" t="str">
        <f>+H$11</f>
        <v>2020/2021</v>
      </c>
      <c r="I417" s="109" t="str">
        <f>+'Unit tariffs'!$F$11</f>
        <v>2021/2022</v>
      </c>
      <c r="J417" s="458" t="s">
        <v>315</v>
      </c>
    </row>
    <row r="418" spans="1:10" ht="13.5">
      <c r="A418" s="97"/>
      <c r="B418" s="225" t="s">
        <v>117</v>
      </c>
      <c r="C418" s="714"/>
      <c r="D418" s="78"/>
      <c r="E418" s="78"/>
      <c r="F418" s="78"/>
      <c r="G418" s="78"/>
      <c r="H418" s="144"/>
      <c r="I418" s="134"/>
      <c r="J418" s="464"/>
    </row>
    <row r="419" spans="1:10" ht="12.75">
      <c r="A419" s="97"/>
      <c r="B419" s="714" t="s">
        <v>118</v>
      </c>
      <c r="C419" s="714"/>
      <c r="D419" s="78"/>
      <c r="E419" s="78"/>
      <c r="F419" s="78"/>
      <c r="G419" s="78"/>
      <c r="H419" s="145"/>
      <c r="I419" s="134"/>
      <c r="J419" s="464"/>
    </row>
    <row r="420" spans="1:10" ht="12.75">
      <c r="A420" s="97"/>
      <c r="B420" s="714">
        <v>2.5</v>
      </c>
      <c r="C420" s="714" t="str">
        <f>'Unit tariffs'!B$132</f>
        <v>Secondary Backbone - LV Urban</v>
      </c>
      <c r="D420" s="78"/>
      <c r="E420" s="78"/>
      <c r="F420" s="78" t="str">
        <f>'Unit tariffs'!C$131</f>
        <v>per kVA</v>
      </c>
      <c r="G420" s="78"/>
      <c r="H420" s="80">
        <v>1996.3567910550007</v>
      </c>
      <c r="I420" s="80">
        <f>VLOOKUP($C420,'Unit tariffs'!$B$21:$F$157,5,FALSE)*$B420</f>
        <v>2486.6325</v>
      </c>
      <c r="J420" s="111"/>
    </row>
    <row r="421" spans="1:10" ht="12.75">
      <c r="A421" s="97"/>
      <c r="B421" s="714">
        <v>2.5</v>
      </c>
      <c r="C421" s="714" t="str">
        <f>'Unit tariffs'!B$133</f>
        <v>LV Backbone -Urban</v>
      </c>
      <c r="D421" s="78"/>
      <c r="E421" s="78"/>
      <c r="F421" s="78" t="str">
        <f>'Unit tariffs'!C$132</f>
        <v>per kVA</v>
      </c>
      <c r="G421" s="78"/>
      <c r="H421" s="87">
        <v>830.4361291050004</v>
      </c>
      <c r="I421" s="87">
        <f>VLOOKUP($C421,'Unit tariffs'!$B$21:$F$157,5,FALSE)*$B421</f>
        <v>1034.385</v>
      </c>
      <c r="J421" s="111"/>
    </row>
    <row r="422" spans="1:10" ht="12.75">
      <c r="A422" s="97"/>
      <c r="B422" s="121"/>
      <c r="C422" s="121"/>
      <c r="D422" s="121"/>
      <c r="E422" s="121"/>
      <c r="F422" s="121"/>
      <c r="G422" s="78"/>
      <c r="H422" s="80">
        <f>SUM(H420:H421)</f>
        <v>2826.792920160001</v>
      </c>
      <c r="I422" s="80">
        <f>SUM(I420:I421)</f>
        <v>3521.0175</v>
      </c>
      <c r="J422" s="111"/>
    </row>
    <row r="423" spans="1:10" ht="12.75">
      <c r="A423" s="97"/>
      <c r="B423" s="78"/>
      <c r="C423" s="78"/>
      <c r="D423" s="78"/>
      <c r="E423" s="78"/>
      <c r="F423" s="78"/>
      <c r="G423" s="78"/>
      <c r="H423" s="80"/>
      <c r="I423" s="80"/>
      <c r="J423" s="111"/>
    </row>
    <row r="424" spans="1:10" ht="12.75">
      <c r="A424" s="97"/>
      <c r="B424" s="110" t="s">
        <v>41</v>
      </c>
      <c r="C424" s="78"/>
      <c r="D424" s="78"/>
      <c r="E424" s="78"/>
      <c r="F424" s="78"/>
      <c r="G424" s="78"/>
      <c r="H424" s="78"/>
      <c r="I424" s="78"/>
      <c r="J424" s="101"/>
    </row>
    <row r="425" spans="1:10" ht="12.75">
      <c r="A425" s="97"/>
      <c r="B425" s="78"/>
      <c r="C425" s="78"/>
      <c r="D425" s="78"/>
      <c r="E425" s="78"/>
      <c r="F425" s="78"/>
      <c r="G425" s="78"/>
      <c r="H425" s="78"/>
      <c r="I425" s="78"/>
      <c r="J425" s="101"/>
    </row>
    <row r="426" spans="1:10" ht="12.75">
      <c r="A426" s="97"/>
      <c r="B426" s="78">
        <v>1</v>
      </c>
      <c r="C426" s="360" t="str">
        <f>'Unit tariffs'!B35</f>
        <v>Prepaid meter (Split) 3 phase - </v>
      </c>
      <c r="D426" s="78"/>
      <c r="E426" s="78"/>
      <c r="F426" s="78"/>
      <c r="G426" s="78"/>
      <c r="H426" s="80">
        <v>6745.069568999999</v>
      </c>
      <c r="I426" s="199">
        <f>VLOOKUP($C426,'Unit tariffs'!$B$21:$F$122,5,FALSE)*$B426</f>
        <v>7028.362490897999</v>
      </c>
      <c r="J426" s="471" t="e">
        <f>IF(+I426*'Unit tariffs'!#REF!&gt;'Unit tariffs'!#REF!,'Unit tariffs'!#REF!,+I426*'Unit tariffs'!#REF!)</f>
        <v>#REF!</v>
      </c>
    </row>
    <row r="427" spans="1:10" ht="12.75">
      <c r="A427" s="97"/>
      <c r="B427" s="78">
        <v>3</v>
      </c>
      <c r="C427" s="78" t="str">
        <f>'Unit tariffs'!B42</f>
        <v>x 80 A circuit breaker (5kA) - Orange</v>
      </c>
      <c r="D427" s="78"/>
      <c r="E427" s="78"/>
      <c r="F427" s="78"/>
      <c r="G427" s="78"/>
      <c r="H427" s="80">
        <v>541.0141229999999</v>
      </c>
      <c r="I427" s="80">
        <f>VLOOKUP($C427,'Unit tariffs'!$B$21:$F$122,5,FALSE)*$B427</f>
        <v>563.736716166</v>
      </c>
      <c r="J427" s="471" t="e">
        <f>IF(+I427*'Unit tariffs'!#REF!&gt;'Unit tariffs'!#REF!,'Unit tariffs'!#REF!,+I427*'Unit tariffs'!#REF!)</f>
        <v>#REF!</v>
      </c>
    </row>
    <row r="428" spans="1:10" ht="12.75">
      <c r="A428" s="97"/>
      <c r="B428" s="78">
        <v>1</v>
      </c>
      <c r="C428" s="78" t="str">
        <f>'Unit tariffs'!B71</f>
        <v>Cable clamp (Clampex) - K26</v>
      </c>
      <c r="D428" s="78"/>
      <c r="E428" s="78"/>
      <c r="F428" s="78"/>
      <c r="G428" s="78"/>
      <c r="H428" s="80">
        <v>32.08197743055</v>
      </c>
      <c r="I428" s="80">
        <f>VLOOKUP($C428,'Unit tariffs'!$B$21:$F$122,5,FALSE)*$B428</f>
        <v>33.4294204826331</v>
      </c>
      <c r="J428" s="471" t="e">
        <f>IF(+I428*'Unit tariffs'!#REF!&gt;'Unit tariffs'!#REF!,'Unit tariffs'!#REF!,+I428*'Unit tariffs'!#REF!)</f>
        <v>#REF!</v>
      </c>
    </row>
    <row r="429" spans="1:10" ht="12.75">
      <c r="A429" s="97"/>
      <c r="B429" s="78">
        <v>1</v>
      </c>
      <c r="C429" s="78" t="str">
        <f>'Unit tariffs'!B21</f>
        <v>Installation material</v>
      </c>
      <c r="D429" s="78"/>
      <c r="E429" s="78"/>
      <c r="F429" s="78"/>
      <c r="G429" s="78"/>
      <c r="H429" s="87">
        <v>113.6449785</v>
      </c>
      <c r="I429" s="87">
        <f>VLOOKUP($C429,'Unit tariffs'!$B$21:$F$122,5,FALSE)*$B429</f>
        <v>260.5</v>
      </c>
      <c r="J429" s="471" t="e">
        <f>IF(+I429*'Unit tariffs'!#REF!&gt;'Unit tariffs'!#REF!,'Unit tariffs'!#REF!,+I429*'Unit tariffs'!#REF!)</f>
        <v>#REF!</v>
      </c>
    </row>
    <row r="430" spans="1:10" ht="12.75">
      <c r="A430" s="97"/>
      <c r="B430" s="78"/>
      <c r="C430" s="78"/>
      <c r="D430" s="78"/>
      <c r="E430" s="78"/>
      <c r="F430" s="78"/>
      <c r="G430" s="78"/>
      <c r="H430" s="80">
        <f>SUM(H426:H429)</f>
        <v>7431.81064793055</v>
      </c>
      <c r="I430" s="80">
        <f>SUM(I426:I429)</f>
        <v>7886.0286275466315</v>
      </c>
      <c r="J430" s="111"/>
    </row>
    <row r="431" spans="1:10" ht="12.75">
      <c r="A431" s="97"/>
      <c r="B431" s="110" t="s">
        <v>42</v>
      </c>
      <c r="C431" s="78"/>
      <c r="D431" s="78"/>
      <c r="E431" s="78"/>
      <c r="F431" s="78"/>
      <c r="G431" s="78"/>
      <c r="H431" s="80"/>
      <c r="I431" s="78"/>
      <c r="J431" s="101"/>
    </row>
    <row r="432" spans="1:10" ht="12.75">
      <c r="A432" s="97"/>
      <c r="B432" s="78"/>
      <c r="C432" s="78"/>
      <c r="D432" s="78"/>
      <c r="E432" s="78"/>
      <c r="F432" s="78"/>
      <c r="G432" s="78"/>
      <c r="H432" s="78"/>
      <c r="I432" s="78"/>
      <c r="J432" s="101"/>
    </row>
    <row r="433" spans="1:10" ht="12.75">
      <c r="A433" s="97"/>
      <c r="B433" s="78">
        <v>1</v>
      </c>
      <c r="C433" s="78" t="str">
        <f>'Unit tariffs'!B$86</f>
        <v>hour-artisan </v>
      </c>
      <c r="D433" s="78"/>
      <c r="E433" s="78"/>
      <c r="F433" s="78"/>
      <c r="G433" s="78"/>
      <c r="H433" s="80">
        <v>180.05873256334615</v>
      </c>
      <c r="I433" s="80">
        <f>VLOOKUP($C433,'Unit tariffs'!$B$21:$F$122,5,FALSE)*$B433</f>
        <v>322.85223173076923</v>
      </c>
      <c r="J433" s="111"/>
    </row>
    <row r="434" spans="1:10" ht="12.75">
      <c r="A434" s="97"/>
      <c r="B434" s="78">
        <v>1</v>
      </c>
      <c r="C434" s="78" t="str">
        <f>'Unit tariffs'!B$84</f>
        <v>hour-artisan assistant</v>
      </c>
      <c r="D434" s="78"/>
      <c r="E434" s="78"/>
      <c r="F434" s="78"/>
      <c r="G434" s="78"/>
      <c r="H434" s="87">
        <v>159.20611184686155</v>
      </c>
      <c r="I434" s="87">
        <f>VLOOKUP($C434,'Unit tariffs'!$B$21:$F$122,5,FALSE)*$B434</f>
        <v>128.5358076923077</v>
      </c>
      <c r="J434" s="111"/>
    </row>
    <row r="435" spans="1:10" ht="12.75">
      <c r="A435" s="97"/>
      <c r="B435" s="78"/>
      <c r="C435" s="78"/>
      <c r="D435" s="78"/>
      <c r="E435" s="78"/>
      <c r="F435" s="78"/>
      <c r="G435" s="78"/>
      <c r="H435" s="80">
        <f>SUM(H433:H434)</f>
        <v>339.26484441020773</v>
      </c>
      <c r="I435" s="80">
        <f>SUM(I433:I434)</f>
        <v>451.388039423077</v>
      </c>
      <c r="J435" s="111"/>
    </row>
    <row r="436" spans="1:10" ht="12.75">
      <c r="A436" s="97"/>
      <c r="B436" s="110" t="s">
        <v>43</v>
      </c>
      <c r="C436" s="78"/>
      <c r="D436" s="78"/>
      <c r="E436" s="78"/>
      <c r="F436" s="78"/>
      <c r="G436" s="78"/>
      <c r="H436" s="78"/>
      <c r="I436" s="78"/>
      <c r="J436" s="101"/>
    </row>
    <row r="437" spans="1:10" ht="12.75">
      <c r="A437" s="97"/>
      <c r="B437" s="78"/>
      <c r="C437" s="78"/>
      <c r="D437" s="78"/>
      <c r="E437" s="78"/>
      <c r="F437" s="78"/>
      <c r="G437" s="78"/>
      <c r="H437" s="78"/>
      <c r="I437" s="78"/>
      <c r="J437" s="101"/>
    </row>
    <row r="438" spans="1:10" ht="12.75">
      <c r="A438" s="97"/>
      <c r="B438" s="78">
        <v>24</v>
      </c>
      <c r="C438" s="78" t="str">
        <f>'Unit tariffs'!B$110</f>
        <v>km-truck with platform</v>
      </c>
      <c r="D438" s="78"/>
      <c r="E438" s="78"/>
      <c r="F438" s="78"/>
      <c r="G438" s="78"/>
      <c r="H438" s="80">
        <v>779.1765820800001</v>
      </c>
      <c r="I438" s="80">
        <f>VLOOKUP($C438,'Unit tariffs'!$B$21:$F$122,5,FALSE)*$B438</f>
        <v>970.1459533764145</v>
      </c>
      <c r="J438" s="111"/>
    </row>
    <row r="439" spans="1:10" ht="12.75">
      <c r="A439" s="97"/>
      <c r="B439" s="78">
        <v>1</v>
      </c>
      <c r="C439" s="78" t="str">
        <f>'Unit tariffs'!B$111</f>
        <v>hour-truck with platform</v>
      </c>
      <c r="D439" s="78"/>
      <c r="E439" s="78"/>
      <c r="F439" s="78"/>
      <c r="G439" s="78"/>
      <c r="H439" s="87">
        <v>167.61251000000001</v>
      </c>
      <c r="I439" s="87">
        <f>VLOOKUP($C439,'Unit tariffs'!$B$21:$F$122,5,FALSE)*$B439</f>
        <v>196.72208955055</v>
      </c>
      <c r="J439" s="111"/>
    </row>
    <row r="440" spans="1:10" ht="13.5" thickBot="1">
      <c r="A440" s="97"/>
      <c r="B440" s="78"/>
      <c r="C440" s="78"/>
      <c r="D440" s="78"/>
      <c r="E440" s="78"/>
      <c r="F440" s="78"/>
      <c r="G440" s="78"/>
      <c r="H440" s="113">
        <f>SUM(H438:H439)</f>
        <v>946.7890920800002</v>
      </c>
      <c r="I440" s="113">
        <f>SUM(I438:I439)</f>
        <v>1166.8680429269646</v>
      </c>
      <c r="J440" s="111"/>
    </row>
    <row r="441" spans="1:10" ht="13.5" thickTop="1">
      <c r="A441" s="97"/>
      <c r="B441" s="78"/>
      <c r="C441" s="78"/>
      <c r="D441" s="78"/>
      <c r="E441" s="78"/>
      <c r="F441" s="78"/>
      <c r="G441" s="78"/>
      <c r="H441" s="80">
        <f>+H440+H435+H430+H422</f>
        <v>11544.657504580759</v>
      </c>
      <c r="I441" s="80">
        <f>+I440+I435+I430+I422</f>
        <v>13025.302209896674</v>
      </c>
      <c r="J441" s="111"/>
    </row>
    <row r="442" spans="1:10" ht="13.5" thickBot="1">
      <c r="A442" s="97"/>
      <c r="B442" s="110" t="str">
        <f>'Unit tariffs'!$B$7</f>
        <v>Administration Levy (Indirect Cost)</v>
      </c>
      <c r="C442" s="78"/>
      <c r="D442" s="112">
        <f>'Unit tariffs'!$C$7</f>
        <v>0.1</v>
      </c>
      <c r="E442" s="78" t="s">
        <v>312</v>
      </c>
      <c r="F442" s="196">
        <f>+'Unit tariffs'!$F$7</f>
        <v>10000</v>
      </c>
      <c r="G442" s="78"/>
      <c r="H442" s="114">
        <f>H441*0.2636</f>
        <v>3043.171718207488</v>
      </c>
      <c r="I442" s="114">
        <f>IF(I441*$D442&gt;='Unit tariffs'!$E$7,'Unit tariffs'!$E$7,I441*$D442)</f>
        <v>1302.5302209896674</v>
      </c>
      <c r="J442" s="111"/>
    </row>
    <row r="443" spans="1:10" ht="13.5" thickTop="1">
      <c r="A443" s="97"/>
      <c r="B443" s="110" t="s">
        <v>44</v>
      </c>
      <c r="C443" s="78"/>
      <c r="D443" s="78"/>
      <c r="E443" s="78"/>
      <c r="F443" s="78"/>
      <c r="G443" s="78"/>
      <c r="H443" s="359">
        <f>SUM(H441:H442)</f>
        <v>14587.829222788247</v>
      </c>
      <c r="I443" s="115">
        <f>SUM(I441:I442)</f>
        <v>14327.832430886341</v>
      </c>
      <c r="J443" s="111"/>
    </row>
    <row r="444" spans="1:10" ht="12.75">
      <c r="A444" s="97"/>
      <c r="B444" s="78"/>
      <c r="C444" s="78"/>
      <c r="D444" s="78"/>
      <c r="E444" s="78"/>
      <c r="F444" s="78"/>
      <c r="G444" s="78"/>
      <c r="H444" s="78"/>
      <c r="I444" s="78"/>
      <c r="J444" s="101"/>
    </row>
    <row r="445" spans="1:10" ht="12.75">
      <c r="A445" s="97"/>
      <c r="B445" s="110" t="s">
        <v>45</v>
      </c>
      <c r="C445" s="78"/>
      <c r="D445" s="78"/>
      <c r="E445" s="78"/>
      <c r="F445" s="78"/>
      <c r="G445" s="78"/>
      <c r="H445" s="90">
        <v>14620</v>
      </c>
      <c r="I445" s="90">
        <f>ROUND(I443,-1)</f>
        <v>14330</v>
      </c>
      <c r="J445" s="116"/>
    </row>
    <row r="446" spans="1:10" ht="12.75">
      <c r="A446" s="97"/>
      <c r="B446" s="121"/>
      <c r="C446" s="121"/>
      <c r="D446" s="121"/>
      <c r="E446" s="121"/>
      <c r="F446" s="78"/>
      <c r="G446" s="78"/>
      <c r="H446" s="80"/>
      <c r="I446" s="80"/>
      <c r="J446" s="111"/>
    </row>
    <row r="447" spans="1:10" ht="12.75">
      <c r="A447" s="97"/>
      <c r="B447" s="78"/>
      <c r="C447" s="78"/>
      <c r="D447" s="78"/>
      <c r="E447" s="78"/>
      <c r="F447" s="78"/>
      <c r="G447" s="78"/>
      <c r="H447" s="118">
        <v>0.051798561151079135</v>
      </c>
      <c r="I447" s="118">
        <f>(I445-H445)/H445</f>
        <v>-0.019835841313269494</v>
      </c>
      <c r="J447" s="119"/>
    </row>
    <row r="448" spans="1:10" ht="12.75">
      <c r="A448" s="97"/>
      <c r="B448" s="78"/>
      <c r="C448" s="78"/>
      <c r="D448" s="78"/>
      <c r="E448" s="78"/>
      <c r="F448" s="78"/>
      <c r="G448" s="78"/>
      <c r="H448" s="78"/>
      <c r="I448" s="118"/>
      <c r="J448" s="119"/>
    </row>
    <row r="449" spans="1:10" ht="13.5" thickBot="1">
      <c r="A449" s="97"/>
      <c r="B449" s="78"/>
      <c r="C449" s="78"/>
      <c r="D449" s="78"/>
      <c r="E449" s="78"/>
      <c r="F449" s="78"/>
      <c r="G449" s="78"/>
      <c r="H449" s="78"/>
      <c r="I449" s="118"/>
      <c r="J449" s="119"/>
    </row>
    <row r="450" spans="1:10" ht="13.5" thickTop="1">
      <c r="A450" s="459"/>
      <c r="B450" s="127"/>
      <c r="C450" s="127"/>
      <c r="D450" s="127"/>
      <c r="E450" s="127"/>
      <c r="F450" s="127"/>
      <c r="G450" s="127"/>
      <c r="H450" s="127"/>
      <c r="I450" s="127"/>
      <c r="J450" s="101"/>
    </row>
    <row r="451" spans="1:10" ht="13.5" thickBot="1">
      <c r="A451" s="462"/>
      <c r="B451" s="130"/>
      <c r="C451" s="130"/>
      <c r="D451" s="130"/>
      <c r="E451" s="130"/>
      <c r="F451" s="130"/>
      <c r="G451" s="130"/>
      <c r="H451" s="130"/>
      <c r="I451" s="130"/>
      <c r="J451" s="101"/>
    </row>
    <row r="452" spans="1:10" ht="13.5" thickTop="1">
      <c r="A452" s="97"/>
      <c r="B452" s="78"/>
      <c r="C452" s="78"/>
      <c r="D452" s="78"/>
      <c r="E452" s="78"/>
      <c r="F452" s="78"/>
      <c r="G452" s="78"/>
      <c r="H452" s="78"/>
      <c r="I452" s="78"/>
      <c r="J452" s="101"/>
    </row>
    <row r="453" spans="1:10" ht="18.75" customHeight="1">
      <c r="A453" s="97"/>
      <c r="B453" s="823" t="s">
        <v>238</v>
      </c>
      <c r="C453" s="824"/>
      <c r="D453" s="824"/>
      <c r="E453" s="824"/>
      <c r="F453" s="824"/>
      <c r="G453" s="825"/>
      <c r="H453" s="78"/>
      <c r="I453" s="78"/>
      <c r="J453" s="101"/>
    </row>
    <row r="454" spans="1:10" ht="12.75">
      <c r="A454" s="97"/>
      <c r="B454" s="110"/>
      <c r="C454" s="78"/>
      <c r="D454" s="78"/>
      <c r="E454" s="78"/>
      <c r="F454" s="78"/>
      <c r="G454" s="78"/>
      <c r="H454" s="78"/>
      <c r="I454" s="78"/>
      <c r="J454" s="101"/>
    </row>
    <row r="455" spans="1:19" ht="30.75" customHeight="1">
      <c r="A455" s="97"/>
      <c r="B455" s="820" t="s">
        <v>569</v>
      </c>
      <c r="C455" s="821"/>
      <c r="D455" s="821"/>
      <c r="E455" s="821"/>
      <c r="F455" s="821"/>
      <c r="G455" s="822"/>
      <c r="H455" s="78"/>
      <c r="I455" s="140" t="s">
        <v>243</v>
      </c>
      <c r="J455" s="101"/>
      <c r="L455" s="820" t="s">
        <v>569</v>
      </c>
      <c r="M455" s="821"/>
      <c r="N455" s="821"/>
      <c r="O455" s="821"/>
      <c r="P455" s="821"/>
      <c r="Q455" s="822"/>
      <c r="R455" s="78"/>
      <c r="S455" s="140" t="s">
        <v>243</v>
      </c>
    </row>
    <row r="456" spans="1:19" ht="12.75">
      <c r="A456" s="97"/>
      <c r="B456" s="78"/>
      <c r="C456" s="78"/>
      <c r="D456" s="78"/>
      <c r="E456" s="78"/>
      <c r="F456" s="78"/>
      <c r="G456" s="78"/>
      <c r="H456" s="109" t="str">
        <f>+H$11</f>
        <v>2020/2021</v>
      </c>
      <c r="I456" s="109" t="str">
        <f>+'Unit tariffs'!$F$11</f>
        <v>2021/2022</v>
      </c>
      <c r="J456" s="458" t="s">
        <v>315</v>
      </c>
      <c r="L456" s="78"/>
      <c r="M456" s="78"/>
      <c r="N456" s="78"/>
      <c r="O456" s="78"/>
      <c r="P456" s="78"/>
      <c r="Q456" s="78"/>
      <c r="R456" s="109">
        <f>+R$11</f>
        <v>0</v>
      </c>
      <c r="S456" s="109" t="str">
        <f>+'Unit tariffs'!$F$11</f>
        <v>2021/2022</v>
      </c>
    </row>
    <row r="457" spans="1:19" ht="12.75">
      <c r="A457" s="97"/>
      <c r="B457" s="78"/>
      <c r="C457" s="78"/>
      <c r="D457" s="78"/>
      <c r="E457" s="78"/>
      <c r="F457" s="78"/>
      <c r="G457" s="78"/>
      <c r="H457" s="145"/>
      <c r="I457" s="78"/>
      <c r="J457" s="101"/>
      <c r="L457" s="78"/>
      <c r="M457" s="78"/>
      <c r="N457" s="78"/>
      <c r="O457" s="78"/>
      <c r="P457" s="78"/>
      <c r="Q457" s="78"/>
      <c r="R457" s="145"/>
      <c r="S457" s="78"/>
    </row>
    <row r="458" spans="1:19" ht="13.5">
      <c r="A458" s="97"/>
      <c r="B458" s="226" t="s">
        <v>117</v>
      </c>
      <c r="C458" s="227"/>
      <c r="D458" s="91"/>
      <c r="E458" s="91"/>
      <c r="F458" s="91"/>
      <c r="G458" s="91"/>
      <c r="H458" s="742"/>
      <c r="I458" s="743"/>
      <c r="J458" s="101"/>
      <c r="L458" s="226" t="s">
        <v>117</v>
      </c>
      <c r="M458" s="227"/>
      <c r="N458" s="91"/>
      <c r="O458" s="91"/>
      <c r="P458" s="91"/>
      <c r="Q458" s="91"/>
      <c r="R458" s="742"/>
      <c r="S458" s="743"/>
    </row>
    <row r="459" spans="1:19" ht="12.75">
      <c r="A459" s="97"/>
      <c r="B459" s="227" t="s">
        <v>118</v>
      </c>
      <c r="C459" s="227"/>
      <c r="D459" s="91"/>
      <c r="E459" s="91"/>
      <c r="F459" s="91"/>
      <c r="G459" s="91"/>
      <c r="H459" s="744"/>
      <c r="I459" s="743"/>
      <c r="J459" s="101"/>
      <c r="L459" s="227" t="s">
        <v>118</v>
      </c>
      <c r="M459" s="227"/>
      <c r="N459" s="91"/>
      <c r="O459" s="91"/>
      <c r="P459" s="91"/>
      <c r="Q459" s="91"/>
      <c r="R459" s="744"/>
      <c r="S459" s="743"/>
    </row>
    <row r="460" spans="1:19" ht="12.75">
      <c r="A460" s="97"/>
      <c r="B460" s="227">
        <v>5</v>
      </c>
      <c r="C460" s="227" t="str">
        <f>'Unit tariffs'!B136</f>
        <v>Primary Backbone - Peri Urban</v>
      </c>
      <c r="D460" s="91"/>
      <c r="E460" s="91"/>
      <c r="F460" s="91" t="str">
        <f>'Unit tariffs'!C$131</f>
        <v>per kVA</v>
      </c>
      <c r="G460" s="91"/>
      <c r="H460" s="198">
        <f>('Unit tariffs'!E136)*'Calc Sheet 20_21'!B460</f>
        <v>5249.700000000001</v>
      </c>
      <c r="I460" s="198">
        <f>VLOOKUP($C460,'Unit tariffs'!$B$21:$F$157,5,FALSE)*$B460</f>
        <v>5774.670000000001</v>
      </c>
      <c r="J460" s="101"/>
      <c r="L460" s="227">
        <v>2.5</v>
      </c>
      <c r="M460" s="227" t="str">
        <f>C460</f>
        <v>Primary Backbone - Peri Urban</v>
      </c>
      <c r="N460" s="91"/>
      <c r="O460" s="91"/>
      <c r="P460" s="91" t="str">
        <f>'Unit tariffs'!M$131</f>
        <v>'20161101</v>
      </c>
      <c r="Q460" s="91"/>
      <c r="R460" s="198">
        <f>('Unit tariffs'!O136)*'Calc Sheet 20_21'!L460</f>
        <v>0</v>
      </c>
      <c r="S460" s="198">
        <f>VLOOKUP($C460,'Unit tariffs'!$B$21:$F$157,5,FALSE)*$L460</f>
        <v>2887.3350000000005</v>
      </c>
    </row>
    <row r="461" spans="1:19" ht="12.75">
      <c r="A461" s="97"/>
      <c r="B461" s="227">
        <v>5</v>
      </c>
      <c r="C461" s="227" t="str">
        <f>'Unit tariffs'!B137</f>
        <v>Secondary Backbone - MV Peri Urban</v>
      </c>
      <c r="D461" s="91"/>
      <c r="E461" s="91"/>
      <c r="F461" s="91" t="str">
        <f>'Unit tariffs'!C$131</f>
        <v>per kVA</v>
      </c>
      <c r="G461" s="91"/>
      <c r="H461" s="198">
        <f>('Unit tariffs'!E131)*'Calc Sheet 20_21'!B461</f>
        <v>4021.25</v>
      </c>
      <c r="I461" s="198">
        <f>VLOOKUP($C461,'Unit tariffs'!$B$21:$F$157,5,FALSE)*$B461</f>
        <v>4859.525</v>
      </c>
      <c r="J461" s="101"/>
      <c r="L461" s="227">
        <v>2.5</v>
      </c>
      <c r="M461" s="227" t="str">
        <f>C461</f>
        <v>Secondary Backbone - MV Peri Urban</v>
      </c>
      <c r="N461" s="91"/>
      <c r="O461" s="91"/>
      <c r="P461" s="91" t="str">
        <f>'Unit tariffs'!M$131</f>
        <v>'20161101</v>
      </c>
      <c r="Q461" s="91"/>
      <c r="R461" s="198" t="e">
        <f>('Unit tariffs'!O131)*'Calc Sheet 20_21'!L461</f>
        <v>#VALUE!</v>
      </c>
      <c r="S461" s="198">
        <f>VLOOKUP($C461,'Unit tariffs'!$B$21:$F$157,5,FALSE)*$L461</f>
        <v>2429.7625</v>
      </c>
    </row>
    <row r="462" spans="1:19" ht="12.75">
      <c r="A462" s="97"/>
      <c r="B462" s="227">
        <v>5</v>
      </c>
      <c r="C462" s="227" t="str">
        <f>'Unit tariffs'!B138</f>
        <v>Secondary Backbone - LV Peri Urban</v>
      </c>
      <c r="D462" s="91"/>
      <c r="E462" s="91"/>
      <c r="F462" s="91" t="str">
        <f>'Unit tariffs'!C$132</f>
        <v>per kVA</v>
      </c>
      <c r="G462" s="91"/>
      <c r="H462" s="745">
        <f>'Unit tariffs'!E138*'Calc Sheet 20_21'!B462</f>
        <v>7247.200000000001</v>
      </c>
      <c r="I462" s="745">
        <f>VLOOKUP($C462,'Unit tariffs'!$B$21:$F$157,5,FALSE)*$B462</f>
        <v>7971.920000000001</v>
      </c>
      <c r="J462" s="101"/>
      <c r="L462" s="227">
        <v>2.5</v>
      </c>
      <c r="M462" s="227" t="str">
        <f>C462</f>
        <v>Secondary Backbone - LV Peri Urban</v>
      </c>
      <c r="N462" s="91"/>
      <c r="O462" s="91"/>
      <c r="P462" s="91" t="str">
        <f>'Unit tariffs'!M$132</f>
        <v>'20161102</v>
      </c>
      <c r="Q462" s="91"/>
      <c r="R462" s="745">
        <f>'Unit tariffs'!O138*'Calc Sheet 20_21'!L462</f>
        <v>0</v>
      </c>
      <c r="S462" s="745">
        <f>VLOOKUP($C462,'Unit tariffs'!$B$21:$F$157,5,FALSE)*$L462</f>
        <v>3985.9600000000005</v>
      </c>
    </row>
    <row r="463" spans="1:19" ht="12.75">
      <c r="A463" s="97"/>
      <c r="B463" s="746"/>
      <c r="C463" s="746"/>
      <c r="D463" s="746"/>
      <c r="E463" s="746"/>
      <c r="F463" s="746"/>
      <c r="G463" s="91"/>
      <c r="H463" s="198">
        <f>SUM(H460:H462)</f>
        <v>16518.15</v>
      </c>
      <c r="I463" s="198">
        <f>SUM(I460:I462)</f>
        <v>18606.115</v>
      </c>
      <c r="J463" s="101"/>
      <c r="L463" s="746"/>
      <c r="M463" s="746"/>
      <c r="N463" s="746"/>
      <c r="O463" s="746"/>
      <c r="P463" s="746"/>
      <c r="Q463" s="91"/>
      <c r="R463" s="198" t="e">
        <f>SUM(R460:R462)</f>
        <v>#VALUE!</v>
      </c>
      <c r="S463" s="198">
        <f>SUM(S460:S462)</f>
        <v>9303.0575</v>
      </c>
    </row>
    <row r="464" spans="1:19" ht="12.75">
      <c r="A464" s="97"/>
      <c r="B464" s="110" t="s">
        <v>41</v>
      </c>
      <c r="C464" s="78"/>
      <c r="D464" s="78"/>
      <c r="E464" s="78"/>
      <c r="F464" s="78"/>
      <c r="G464" s="78"/>
      <c r="H464" s="145"/>
      <c r="I464" s="78"/>
      <c r="J464" s="101"/>
      <c r="L464" s="110" t="s">
        <v>41</v>
      </c>
      <c r="M464" s="78"/>
      <c r="N464" s="78"/>
      <c r="O464" s="78"/>
      <c r="P464" s="78"/>
      <c r="Q464" s="78"/>
      <c r="R464" s="145"/>
      <c r="S464" s="78"/>
    </row>
    <row r="465" spans="1:19" ht="12.75">
      <c r="A465" s="97"/>
      <c r="B465" s="78">
        <v>1</v>
      </c>
      <c r="C465" s="45" t="s">
        <v>314</v>
      </c>
      <c r="D465" s="78"/>
      <c r="E465" s="78"/>
      <c r="F465" s="78"/>
      <c r="G465" s="78"/>
      <c r="H465" s="199">
        <v>5100.68542</v>
      </c>
      <c r="I465" s="199">
        <f>VLOOKUP($C465,'Unit tariffs'!$B$21:$F$122,5,FALSE)*$B465</f>
        <v>5314.91420764</v>
      </c>
      <c r="J465" s="471" t="e">
        <f>IF(+I465*'Unit tariffs'!#REF!&gt;'Unit tariffs'!#REF!,'Unit tariffs'!#REF!,+I465*'Unit tariffs'!#REF!)</f>
        <v>#REF!</v>
      </c>
      <c r="L465" s="78">
        <v>1</v>
      </c>
      <c r="M465" s="45" t="s">
        <v>314</v>
      </c>
      <c r="N465" s="78"/>
      <c r="O465" s="78"/>
      <c r="P465" s="78"/>
      <c r="Q465" s="78"/>
      <c r="R465" s="199">
        <v>5100.68542</v>
      </c>
      <c r="S465" s="199">
        <f>VLOOKUP($C465,'Unit tariffs'!$B$21:$F$122,5,FALSE)*$B465</f>
        <v>5314.91420764</v>
      </c>
    </row>
    <row r="466" spans="1:19" ht="12.75">
      <c r="A466" s="97"/>
      <c r="B466" s="78">
        <v>1</v>
      </c>
      <c r="C466" s="78" t="s">
        <v>99</v>
      </c>
      <c r="D466" s="78"/>
      <c r="E466" s="78"/>
      <c r="F466" s="78"/>
      <c r="G466" s="78"/>
      <c r="H466" s="199">
        <v>180.33804099999998</v>
      </c>
      <c r="I466" s="199">
        <f>VLOOKUP($C466,'Unit tariffs'!$B$21:$F$122,5,FALSE)*$B466</f>
        <v>187.91223872199998</v>
      </c>
      <c r="J466" s="471" t="e">
        <f>IF(+I466*'Unit tariffs'!#REF!&gt;'Unit tariffs'!#REF!,'Unit tariffs'!#REF!,+I466*'Unit tariffs'!#REF!)</f>
        <v>#REF!</v>
      </c>
      <c r="L466" s="78">
        <v>1</v>
      </c>
      <c r="M466" s="78" t="s">
        <v>99</v>
      </c>
      <c r="N466" s="78"/>
      <c r="O466" s="78"/>
      <c r="P466" s="78"/>
      <c r="Q466" s="78"/>
      <c r="R466" s="199">
        <v>180.33804099999998</v>
      </c>
      <c r="S466" s="199">
        <f>VLOOKUP($C466,'Unit tariffs'!$B$21:$F$122,5,FALSE)*$B466</f>
        <v>187.91223872199998</v>
      </c>
    </row>
    <row r="467" spans="1:19" ht="12.75">
      <c r="A467" s="97"/>
      <c r="B467" s="78">
        <v>1</v>
      </c>
      <c r="C467" s="78" t="str">
        <f>'Unit tariffs'!B46</f>
        <v>Modum for TOU meter</v>
      </c>
      <c r="D467" s="78"/>
      <c r="E467" s="78"/>
      <c r="F467" s="78"/>
      <c r="G467" s="78"/>
      <c r="H467" s="199">
        <f>'Unit tariffs'!E46</f>
        <v>3414.6847999999995</v>
      </c>
      <c r="I467" s="199">
        <f>VLOOKUP($C467,'Unit tariffs'!$B$21:$F$122,5,FALSE)*$B467</f>
        <v>3558.1015615999995</v>
      </c>
      <c r="J467" s="471" t="e">
        <f>IF(+I467*'Unit tariffs'!#REF!&gt;'Unit tariffs'!#REF!,'Unit tariffs'!#REF!,+I467*'Unit tariffs'!#REF!)</f>
        <v>#REF!</v>
      </c>
      <c r="L467" s="78">
        <v>1</v>
      </c>
      <c r="M467" s="78">
        <f>'Unit tariffs'!L46</f>
        <v>0</v>
      </c>
      <c r="N467" s="78"/>
      <c r="O467" s="78"/>
      <c r="P467" s="78"/>
      <c r="Q467" s="78"/>
      <c r="R467" s="199">
        <f>'Unit tariffs'!O46</f>
        <v>0</v>
      </c>
      <c r="S467" s="199">
        <f>VLOOKUP($C467,'Unit tariffs'!$B$21:$F$122,5,FALSE)*$B467</f>
        <v>3558.1015615999995</v>
      </c>
    </row>
    <row r="468" spans="1:19" ht="12.75">
      <c r="A468" s="97"/>
      <c r="B468" s="78">
        <v>1</v>
      </c>
      <c r="C468" s="78" t="s">
        <v>17</v>
      </c>
      <c r="D468" s="78"/>
      <c r="E468" s="78"/>
      <c r="F468" s="78"/>
      <c r="G468" s="78"/>
      <c r="H468" s="199">
        <v>454.579914</v>
      </c>
      <c r="I468" s="199">
        <f>VLOOKUP($C468,'Unit tariffs'!$B$21:$F$122,5,FALSE)*$B468</f>
        <v>260.5</v>
      </c>
      <c r="J468" s="471" t="e">
        <f>IF(+I468*'Unit tariffs'!#REF!&gt;'Unit tariffs'!#REF!,'Unit tariffs'!#REF!,+I468*'Unit tariffs'!#REF!)</f>
        <v>#REF!</v>
      </c>
      <c r="L468" s="78">
        <v>1</v>
      </c>
      <c r="M468" s="78" t="s">
        <v>17</v>
      </c>
      <c r="N468" s="78"/>
      <c r="O468" s="78"/>
      <c r="P468" s="78"/>
      <c r="Q468" s="78"/>
      <c r="R468" s="199">
        <v>454.579914</v>
      </c>
      <c r="S468" s="199">
        <f>VLOOKUP($C468,'Unit tariffs'!$B$21:$F$122,5,FALSE)*$B468</f>
        <v>260.5</v>
      </c>
    </row>
    <row r="469" spans="1:19" ht="12.75">
      <c r="A469" s="97"/>
      <c r="B469" s="78"/>
      <c r="C469" s="78"/>
      <c r="D469" s="78"/>
      <c r="E469" s="78"/>
      <c r="F469" s="78"/>
      <c r="G469" s="78"/>
      <c r="H469" s="80">
        <f>SUM(H465:H468)</f>
        <v>9150.288175</v>
      </c>
      <c r="I469" s="80">
        <f>SUM(I465:I468)</f>
        <v>9321.428007962</v>
      </c>
      <c r="J469" s="111"/>
      <c r="L469" s="78"/>
      <c r="M469" s="78"/>
      <c r="N469" s="78"/>
      <c r="O469" s="78"/>
      <c r="P469" s="78"/>
      <c r="Q469" s="78"/>
      <c r="R469" s="80">
        <f>SUM(R465:R468)</f>
        <v>5735.603375</v>
      </c>
      <c r="S469" s="80">
        <f>SUM(S465:S468)</f>
        <v>9321.428007962</v>
      </c>
    </row>
    <row r="470" spans="1:19" ht="12.75">
      <c r="A470" s="97"/>
      <c r="B470" s="110" t="s">
        <v>42</v>
      </c>
      <c r="C470" s="78"/>
      <c r="D470" s="78"/>
      <c r="E470" s="78"/>
      <c r="F470" s="78"/>
      <c r="G470" s="80"/>
      <c r="H470" s="78"/>
      <c r="I470" s="78"/>
      <c r="J470" s="101"/>
      <c r="L470" s="110" t="s">
        <v>42</v>
      </c>
      <c r="M470" s="78"/>
      <c r="N470" s="78"/>
      <c r="O470" s="78"/>
      <c r="P470" s="78"/>
      <c r="Q470" s="80"/>
      <c r="R470" s="78"/>
      <c r="S470" s="78"/>
    </row>
    <row r="471" spans="1:19" ht="12.75">
      <c r="A471" s="97"/>
      <c r="B471" s="78"/>
      <c r="C471" s="78"/>
      <c r="D471" s="78"/>
      <c r="E471" s="78"/>
      <c r="F471" s="78"/>
      <c r="G471" s="78"/>
      <c r="H471" s="78"/>
      <c r="I471" s="78"/>
      <c r="J471" s="101"/>
      <c r="L471" s="78"/>
      <c r="M471" s="78"/>
      <c r="N471" s="78"/>
      <c r="O471" s="78"/>
      <c r="P471" s="78"/>
      <c r="Q471" s="78"/>
      <c r="R471" s="78"/>
      <c r="S471" s="78"/>
    </row>
    <row r="472" spans="1:19" ht="12.75">
      <c r="A472" s="97"/>
      <c r="B472" s="78">
        <v>4</v>
      </c>
      <c r="C472" s="21" t="s">
        <v>92</v>
      </c>
      <c r="D472" s="78"/>
      <c r="E472" s="78"/>
      <c r="F472" s="78"/>
      <c r="G472" s="78"/>
      <c r="H472" s="369">
        <v>180.05873256334615</v>
      </c>
      <c r="I472" s="80">
        <f>+'Unit tariffs'!F86</f>
        <v>322.85223173076923</v>
      </c>
      <c r="J472" s="111"/>
      <c r="L472" s="78">
        <v>4</v>
      </c>
      <c r="M472" s="21" t="s">
        <v>92</v>
      </c>
      <c r="N472" s="78"/>
      <c r="O472" s="78"/>
      <c r="P472" s="78"/>
      <c r="Q472" s="78"/>
      <c r="R472" s="369">
        <v>180.05873256334615</v>
      </c>
      <c r="S472" s="80">
        <f>+'Unit tariffs'!P86</f>
        <v>0</v>
      </c>
    </row>
    <row r="473" spans="1:19" ht="12.75">
      <c r="A473" s="97"/>
      <c r="B473" s="78">
        <v>8</v>
      </c>
      <c r="C473" s="21" t="s">
        <v>54</v>
      </c>
      <c r="D473" s="78"/>
      <c r="E473" s="78"/>
      <c r="F473" s="78"/>
      <c r="G473" s="78"/>
      <c r="H473" s="87">
        <v>79.60305592343077</v>
      </c>
      <c r="I473" s="87">
        <f>+'Unit tariffs'!F84</f>
        <v>128.5358076923077</v>
      </c>
      <c r="J473" s="111"/>
      <c r="L473" s="78">
        <v>8</v>
      </c>
      <c r="M473" s="21" t="s">
        <v>54</v>
      </c>
      <c r="N473" s="78"/>
      <c r="O473" s="78"/>
      <c r="P473" s="78"/>
      <c r="Q473" s="78"/>
      <c r="R473" s="87">
        <v>79.60305592343077</v>
      </c>
      <c r="S473" s="87">
        <f>+'Unit tariffs'!P84</f>
        <v>436.0729442307692</v>
      </c>
    </row>
    <row r="474" spans="1:19" ht="12.75">
      <c r="A474" s="97"/>
      <c r="B474" s="78"/>
      <c r="C474" s="78"/>
      <c r="D474" s="78"/>
      <c r="E474" s="78"/>
      <c r="F474" s="78"/>
      <c r="G474" s="78"/>
      <c r="H474" s="80">
        <f>SUM(H472:H473)</f>
        <v>259.6617884867769</v>
      </c>
      <c r="I474" s="80">
        <f>SUM(I472:I473)</f>
        <v>451.388039423077</v>
      </c>
      <c r="J474" s="111"/>
      <c r="L474" s="78"/>
      <c r="M474" s="78"/>
      <c r="N474" s="78"/>
      <c r="O474" s="78"/>
      <c r="P474" s="78"/>
      <c r="Q474" s="78"/>
      <c r="R474" s="80">
        <f>SUM(R472:R473)</f>
        <v>259.6617884867769</v>
      </c>
      <c r="S474" s="80">
        <f>SUM(S472:S473)</f>
        <v>436.0729442307692</v>
      </c>
    </row>
    <row r="475" spans="1:19" ht="12.75">
      <c r="A475" s="97"/>
      <c r="B475" s="110" t="s">
        <v>43</v>
      </c>
      <c r="C475" s="78"/>
      <c r="D475" s="78"/>
      <c r="E475" s="78"/>
      <c r="F475" s="78"/>
      <c r="G475" s="78"/>
      <c r="H475" s="78"/>
      <c r="I475" s="78"/>
      <c r="J475" s="101"/>
      <c r="L475" s="110" t="s">
        <v>43</v>
      </c>
      <c r="M475" s="78"/>
      <c r="N475" s="78"/>
      <c r="O475" s="78"/>
      <c r="P475" s="78"/>
      <c r="Q475" s="78"/>
      <c r="R475" s="78"/>
      <c r="S475" s="78"/>
    </row>
    <row r="476" spans="1:19" ht="12.75">
      <c r="A476" s="97"/>
      <c r="B476" s="78"/>
      <c r="C476" s="78"/>
      <c r="D476" s="78"/>
      <c r="E476" s="78"/>
      <c r="F476" s="78"/>
      <c r="G476" s="78"/>
      <c r="H476" s="78"/>
      <c r="I476" s="78"/>
      <c r="J476" s="101"/>
      <c r="L476" s="78"/>
      <c r="M476" s="78"/>
      <c r="N476" s="78"/>
      <c r="O476" s="78"/>
      <c r="P476" s="78"/>
      <c r="Q476" s="78"/>
      <c r="R476" s="78"/>
      <c r="S476" s="78"/>
    </row>
    <row r="477" spans="1:19" ht="12.75">
      <c r="A477" s="97"/>
      <c r="B477" s="78">
        <v>30</v>
      </c>
      <c r="C477" s="78" t="str">
        <f>'Unit tariffs'!B$110</f>
        <v>km-truck with platform</v>
      </c>
      <c r="D477" s="78"/>
      <c r="E477" s="78"/>
      <c r="F477" s="78"/>
      <c r="G477" s="78"/>
      <c r="H477" s="80">
        <v>973.9707276000003</v>
      </c>
      <c r="I477" s="80">
        <f>VLOOKUP($C477,'Unit tariffs'!$B$21:$F$122,5,FALSE)*$B477</f>
        <v>1212.682441720518</v>
      </c>
      <c r="J477" s="111"/>
      <c r="L477" s="78">
        <v>30</v>
      </c>
      <c r="M477" s="78">
        <f>'Unit tariffs'!L$110</f>
        <v>2113.3093606667003</v>
      </c>
      <c r="N477" s="78"/>
      <c r="O477" s="78"/>
      <c r="P477" s="78"/>
      <c r="Q477" s="78"/>
      <c r="R477" s="80">
        <v>973.9707276000003</v>
      </c>
      <c r="S477" s="80">
        <f>VLOOKUP($C477,'Unit tariffs'!$B$21:$F$122,5,FALSE)*$B477</f>
        <v>1212.682441720518</v>
      </c>
    </row>
    <row r="478" spans="1:19" ht="12.75">
      <c r="A478" s="97"/>
      <c r="B478" s="78">
        <f>+B472</f>
        <v>4</v>
      </c>
      <c r="C478" s="78" t="str">
        <f>'Unit tariffs'!B$111</f>
        <v>hour-truck with platform</v>
      </c>
      <c r="D478" s="78"/>
      <c r="E478" s="78"/>
      <c r="F478" s="78"/>
      <c r="G478" s="78"/>
      <c r="H478" s="87">
        <v>670.4500400000001</v>
      </c>
      <c r="I478" s="87">
        <f>VLOOKUP($C478,'Unit tariffs'!$B$21:$F$122,5,FALSE)*$B478</f>
        <v>786.8883582022</v>
      </c>
      <c r="J478" s="111"/>
      <c r="L478" s="78">
        <f>+L472</f>
        <v>4</v>
      </c>
      <c r="M478" s="78">
        <f>'Unit tariffs'!L$111</f>
        <v>12</v>
      </c>
      <c r="N478" s="78"/>
      <c r="O478" s="78"/>
      <c r="P478" s="78"/>
      <c r="Q478" s="78"/>
      <c r="R478" s="87">
        <v>670.4500400000001</v>
      </c>
      <c r="S478" s="87">
        <f>VLOOKUP($C478,'Unit tariffs'!$B$21:$F$122,5,FALSE)*$B478</f>
        <v>786.8883582022</v>
      </c>
    </row>
    <row r="479" spans="1:19" ht="13.5" thickBot="1">
      <c r="A479" s="97"/>
      <c r="B479" s="78"/>
      <c r="C479" s="78"/>
      <c r="D479" s="78"/>
      <c r="E479" s="78"/>
      <c r="F479" s="78"/>
      <c r="G479" s="78"/>
      <c r="H479" s="113">
        <f>SUM(H477:H478)</f>
        <v>1644.4207676000003</v>
      </c>
      <c r="I479" s="113">
        <f>SUM(I477:I478)</f>
        <v>1999.570799922718</v>
      </c>
      <c r="J479" s="111"/>
      <c r="L479" s="78"/>
      <c r="M479" s="78"/>
      <c r="N479" s="78"/>
      <c r="O479" s="78"/>
      <c r="P479" s="78"/>
      <c r="Q479" s="78"/>
      <c r="R479" s="113">
        <f>SUM(R477:R478)</f>
        <v>1644.4207676000003</v>
      </c>
      <c r="S479" s="113">
        <f>SUM(S477:S478)</f>
        <v>1999.570799922718</v>
      </c>
    </row>
    <row r="480" spans="1:19" ht="13.5" thickTop="1">
      <c r="A480" s="97"/>
      <c r="B480" s="78"/>
      <c r="C480" s="78"/>
      <c r="D480" s="78"/>
      <c r="E480" s="78"/>
      <c r="F480" s="78"/>
      <c r="G480" s="78"/>
      <c r="H480" s="80">
        <f>H479+H474+H469+H463</f>
        <v>27572.520731086777</v>
      </c>
      <c r="I480" s="80">
        <f>+I479+I474+I469+I463</f>
        <v>30378.501847307794</v>
      </c>
      <c r="J480" s="111"/>
      <c r="L480" s="78"/>
      <c r="M480" s="78"/>
      <c r="N480" s="78"/>
      <c r="O480" s="78"/>
      <c r="P480" s="78"/>
      <c r="Q480" s="78"/>
      <c r="R480" s="80" t="e">
        <f>R479+R474+R469+R463</f>
        <v>#VALUE!</v>
      </c>
      <c r="S480" s="80">
        <f>+S479+S474+S469+S463</f>
        <v>21060.12925211549</v>
      </c>
    </row>
    <row r="481" spans="1:19" ht="13.5" thickBot="1">
      <c r="A481" s="97"/>
      <c r="B481" s="110" t="str">
        <f>'Unit tariffs'!$B$7</f>
        <v>Administration Levy (Indirect Cost)</v>
      </c>
      <c r="C481" s="78"/>
      <c r="D481" s="112">
        <f>'Unit tariffs'!$C$7</f>
        <v>0.1</v>
      </c>
      <c r="E481" s="78" t="s">
        <v>312</v>
      </c>
      <c r="F481" s="196">
        <f>+'Unit tariffs'!$F$7</f>
        <v>10000</v>
      </c>
      <c r="G481" s="78" t="s">
        <v>44</v>
      </c>
      <c r="H481" s="114">
        <f>H480*0.2636</f>
        <v>7268.116464714474</v>
      </c>
      <c r="I481" s="114">
        <f>IF(I480*$D481&gt;='Unit tariffs'!$E$7,'Unit tariffs'!$E$7,I480*$D481)</f>
        <v>3037.85018473078</v>
      </c>
      <c r="J481" s="111"/>
      <c r="L481" s="110" t="str">
        <f>'Unit tariffs'!$B$7</f>
        <v>Administration Levy (Indirect Cost)</v>
      </c>
      <c r="M481" s="78"/>
      <c r="N481" s="112">
        <f>'Unit tariffs'!$C$7</f>
        <v>0.1</v>
      </c>
      <c r="O481" s="78" t="s">
        <v>312</v>
      </c>
      <c r="P481" s="196">
        <f>+'Unit tariffs'!$F$7</f>
        <v>10000</v>
      </c>
      <c r="Q481" s="78" t="s">
        <v>44</v>
      </c>
      <c r="R481" s="114" t="e">
        <f>R480*0.2636</f>
        <v>#VALUE!</v>
      </c>
      <c r="S481" s="114">
        <f>IF(S480*$D481&gt;='Unit tariffs'!$E$7,'Unit tariffs'!$E$7,S480*$D481)</f>
        <v>2106.012925211549</v>
      </c>
    </row>
    <row r="482" spans="1:19" ht="13.5" thickTop="1">
      <c r="A482" s="97"/>
      <c r="B482" s="110" t="s">
        <v>44</v>
      </c>
      <c r="C482" s="78"/>
      <c r="D482" s="78"/>
      <c r="E482" s="78"/>
      <c r="F482" s="78"/>
      <c r="G482" s="80"/>
      <c r="H482" s="669">
        <f>H480+H481</f>
        <v>34840.63719580125</v>
      </c>
      <c r="I482" s="115">
        <f>SUM(I480:I481)</f>
        <v>33416.35203203857</v>
      </c>
      <c r="J482" s="111"/>
      <c r="K482" s="117"/>
      <c r="L482" s="110" t="s">
        <v>44</v>
      </c>
      <c r="M482" s="78"/>
      <c r="N482" s="78"/>
      <c r="O482" s="78"/>
      <c r="P482" s="78"/>
      <c r="Q482" s="80"/>
      <c r="R482" s="669" t="e">
        <f>R480+R481</f>
        <v>#VALUE!</v>
      </c>
      <c r="S482" s="115">
        <f>SUM(S480:S481)</f>
        <v>23166.142177327038</v>
      </c>
    </row>
    <row r="483" spans="1:19" ht="12.75">
      <c r="A483" s="97"/>
      <c r="B483" s="110"/>
      <c r="C483" s="78"/>
      <c r="D483" s="78"/>
      <c r="E483" s="78"/>
      <c r="F483" s="78"/>
      <c r="G483" s="80"/>
      <c r="H483" s="80"/>
      <c r="I483" s="80"/>
      <c r="J483" s="111"/>
      <c r="L483" s="110"/>
      <c r="M483" s="78"/>
      <c r="N483" s="78"/>
      <c r="O483" s="78"/>
      <c r="P483" s="78"/>
      <c r="Q483" s="80"/>
      <c r="R483" s="80"/>
      <c r="S483" s="80"/>
    </row>
    <row r="484" spans="1:19" ht="12.75">
      <c r="A484" s="97"/>
      <c r="B484" s="110" t="s">
        <v>45</v>
      </c>
      <c r="C484" s="78"/>
      <c r="D484" s="78"/>
      <c r="E484" s="78"/>
      <c r="F484" s="78"/>
      <c r="G484" s="80"/>
      <c r="H484" s="90">
        <f>ROUND(H482,-1)</f>
        <v>34840</v>
      </c>
      <c r="I484" s="90">
        <f>ROUND(I482,-1)</f>
        <v>33420</v>
      </c>
      <c r="J484" s="116"/>
      <c r="L484" s="110" t="s">
        <v>45</v>
      </c>
      <c r="M484" s="78"/>
      <c r="N484" s="78"/>
      <c r="O484" s="78"/>
      <c r="P484" s="78"/>
      <c r="Q484" s="80"/>
      <c r="R484" s="90" t="e">
        <f>ROUND(R482,-1)</f>
        <v>#VALUE!</v>
      </c>
      <c r="S484" s="90">
        <f>ROUND(S482,-1)</f>
        <v>23170</v>
      </c>
    </row>
    <row r="485" spans="1:19" ht="12.75">
      <c r="A485" s="97"/>
      <c r="B485" s="121"/>
      <c r="C485" s="121"/>
      <c r="D485" s="121"/>
      <c r="E485" s="78"/>
      <c r="F485" s="78"/>
      <c r="G485" s="78"/>
      <c r="H485" s="78"/>
      <c r="I485" s="78"/>
      <c r="J485" s="111"/>
      <c r="L485" s="121"/>
      <c r="M485" s="121"/>
      <c r="N485" s="121"/>
      <c r="O485" s="78"/>
      <c r="P485" s="78"/>
      <c r="Q485" s="78"/>
      <c r="R485" s="78"/>
      <c r="S485" s="78"/>
    </row>
    <row r="486" spans="1:19" ht="12.75">
      <c r="A486" s="97"/>
      <c r="B486" s="78"/>
      <c r="C486" s="78"/>
      <c r="D486" s="78"/>
      <c r="E486" s="78"/>
      <c r="F486" s="78"/>
      <c r="G486" s="78"/>
      <c r="H486" s="118">
        <v>0.03818301514154049</v>
      </c>
      <c r="I486" s="118">
        <f>(I484-H484)/H484</f>
        <v>-0.04075774971297359</v>
      </c>
      <c r="J486" s="119"/>
      <c r="L486" s="78"/>
      <c r="M486" s="78"/>
      <c r="N486" s="78"/>
      <c r="O486" s="78"/>
      <c r="P486" s="78"/>
      <c r="Q486" s="78"/>
      <c r="R486" s="118">
        <v>0.03818301514154049</v>
      </c>
      <c r="S486" s="118" t="e">
        <f>(S484-R484)/R484</f>
        <v>#VALUE!</v>
      </c>
    </row>
    <row r="487" spans="1:19" ht="12.75">
      <c r="A487" s="97"/>
      <c r="B487" s="78"/>
      <c r="C487" s="78"/>
      <c r="D487" s="78"/>
      <c r="E487" s="78"/>
      <c r="F487" s="78"/>
      <c r="G487" s="78"/>
      <c r="H487" s="78"/>
      <c r="I487" s="78"/>
      <c r="J487" s="101"/>
      <c r="L487" s="78"/>
      <c r="M487" s="78"/>
      <c r="N487" s="78"/>
      <c r="O487" s="78"/>
      <c r="P487" s="78"/>
      <c r="Q487" s="78"/>
      <c r="R487" s="78"/>
      <c r="S487" s="78"/>
    </row>
    <row r="488" spans="1:10" ht="12.75">
      <c r="A488" s="97"/>
      <c r="B488" s="78"/>
      <c r="C488" s="78"/>
      <c r="D488" s="78"/>
      <c r="E488" s="78"/>
      <c r="F488" s="78"/>
      <c r="G488" s="78"/>
      <c r="H488" s="78"/>
      <c r="I488" s="78"/>
      <c r="J488" s="101"/>
    </row>
    <row r="489" spans="1:10" ht="12.75">
      <c r="A489" s="97"/>
      <c r="B489" s="110"/>
      <c r="C489" s="78"/>
      <c r="D489" s="78"/>
      <c r="E489" s="78"/>
      <c r="F489" s="78"/>
      <c r="G489" s="78"/>
      <c r="H489" s="78"/>
      <c r="I489" s="78"/>
      <c r="J489" s="101"/>
    </row>
    <row r="490" spans="1:19" ht="51">
      <c r="A490" s="97"/>
      <c r="B490" s="820" t="s">
        <v>634</v>
      </c>
      <c r="C490" s="821"/>
      <c r="D490" s="821"/>
      <c r="E490" s="821"/>
      <c r="F490" s="821"/>
      <c r="G490" s="822"/>
      <c r="H490" s="78"/>
      <c r="I490" s="140" t="s">
        <v>628</v>
      </c>
      <c r="J490" s="101"/>
      <c r="L490" s="820" t="s">
        <v>569</v>
      </c>
      <c r="M490" s="821"/>
      <c r="N490" s="821"/>
      <c r="O490" s="821"/>
      <c r="P490" s="821"/>
      <c r="Q490" s="822"/>
      <c r="R490" s="78"/>
      <c r="S490" s="140" t="s">
        <v>243</v>
      </c>
    </row>
    <row r="491" spans="1:19" ht="12.75">
      <c r="A491" s="97"/>
      <c r="B491" s="78"/>
      <c r="C491" s="78"/>
      <c r="D491" s="78"/>
      <c r="E491" s="78"/>
      <c r="F491" s="78"/>
      <c r="G491" s="78"/>
      <c r="H491" s="109" t="str">
        <f>+H$11</f>
        <v>2020/2021</v>
      </c>
      <c r="I491" s="109" t="str">
        <f>+'Unit tariffs'!$F$11</f>
        <v>2021/2022</v>
      </c>
      <c r="J491" s="458" t="s">
        <v>315</v>
      </c>
      <c r="L491" s="78"/>
      <c r="M491" s="78"/>
      <c r="N491" s="78"/>
      <c r="O491" s="78"/>
      <c r="P491" s="78"/>
      <c r="Q491" s="78"/>
      <c r="R491" s="109">
        <f>+R$11</f>
        <v>0</v>
      </c>
      <c r="S491" s="109" t="str">
        <f>+'Unit tariffs'!$F$11</f>
        <v>2021/2022</v>
      </c>
    </row>
    <row r="492" spans="1:19" ht="12.75">
      <c r="A492" s="97"/>
      <c r="B492" s="78"/>
      <c r="C492" s="78"/>
      <c r="D492" s="78"/>
      <c r="E492" s="78"/>
      <c r="F492" s="78"/>
      <c r="G492" s="78"/>
      <c r="H492" s="145"/>
      <c r="I492" s="78"/>
      <c r="J492" s="101"/>
      <c r="L492" s="78"/>
      <c r="M492" s="78"/>
      <c r="N492" s="78"/>
      <c r="O492" s="78"/>
      <c r="P492" s="78"/>
      <c r="Q492" s="78"/>
      <c r="R492" s="145"/>
      <c r="S492" s="78"/>
    </row>
    <row r="493" spans="1:19" ht="13.5">
      <c r="A493" s="97"/>
      <c r="B493" s="226" t="s">
        <v>117</v>
      </c>
      <c r="C493" s="227"/>
      <c r="D493" s="91"/>
      <c r="E493" s="91"/>
      <c r="F493" s="91"/>
      <c r="G493" s="91"/>
      <c r="H493" s="742"/>
      <c r="I493" s="743"/>
      <c r="J493" s="101"/>
      <c r="L493" s="226" t="s">
        <v>117</v>
      </c>
      <c r="M493" s="227"/>
      <c r="N493" s="91"/>
      <c r="O493" s="91"/>
      <c r="P493" s="91"/>
      <c r="Q493" s="91"/>
      <c r="R493" s="742"/>
      <c r="S493" s="743"/>
    </row>
    <row r="494" spans="1:19" ht="12.75">
      <c r="A494" s="97"/>
      <c r="B494" s="227" t="s">
        <v>118</v>
      </c>
      <c r="C494" s="227"/>
      <c r="D494" s="91"/>
      <c r="E494" s="91"/>
      <c r="F494" s="91"/>
      <c r="G494" s="91"/>
      <c r="H494" s="744"/>
      <c r="I494" s="743"/>
      <c r="J494" s="101"/>
      <c r="L494" s="227" t="s">
        <v>118</v>
      </c>
      <c r="M494" s="227"/>
      <c r="N494" s="91"/>
      <c r="O494" s="91"/>
      <c r="P494" s="91"/>
      <c r="Q494" s="91"/>
      <c r="R494" s="744"/>
      <c r="S494" s="743"/>
    </row>
    <row r="495" spans="1:19" ht="12.75">
      <c r="A495" s="97"/>
      <c r="B495" s="227">
        <v>5</v>
      </c>
      <c r="C495" s="227" t="str">
        <f>'Unit tariffs'!B137</f>
        <v>Secondary Backbone - MV Peri Urban</v>
      </c>
      <c r="D495" s="91"/>
      <c r="E495" s="91"/>
      <c r="F495" s="91" t="str">
        <f>'Unit tariffs'!C$131</f>
        <v>per kVA</v>
      </c>
      <c r="G495" s="91"/>
      <c r="H495" s="198">
        <f>('Unit tariffs'!E167)*'Calc Sheet 20_21'!B495</f>
        <v>903.2417049999999</v>
      </c>
      <c r="I495" s="198">
        <f>VLOOKUP($C495,'Unit tariffs'!$B$21:$F$157,5,FALSE)*$B495</f>
        <v>4859.525</v>
      </c>
      <c r="J495" s="101"/>
      <c r="L495" s="227">
        <v>2.5</v>
      </c>
      <c r="M495" s="227" t="str">
        <f>C495</f>
        <v>Secondary Backbone - MV Peri Urban</v>
      </c>
      <c r="N495" s="91"/>
      <c r="O495" s="91"/>
      <c r="P495" s="91" t="str">
        <f>'Unit tariffs'!M$131</f>
        <v>'20161101</v>
      </c>
      <c r="Q495" s="91"/>
      <c r="R495" s="198">
        <f>('Unit tariffs'!O167)*'Calc Sheet 20_21'!L495</f>
        <v>0</v>
      </c>
      <c r="S495" s="198">
        <f>VLOOKUP($C495,'Unit tariffs'!$B$21:$F$157,5,FALSE)*$L495</f>
        <v>2429.7625</v>
      </c>
    </row>
    <row r="496" spans="1:19" ht="12.75">
      <c r="A496" s="97"/>
      <c r="B496" s="227">
        <v>5</v>
      </c>
      <c r="C496" s="227" t="str">
        <f>'Unit tariffs'!B138</f>
        <v>Secondary Backbone - LV Peri Urban</v>
      </c>
      <c r="D496" s="91"/>
      <c r="E496" s="91"/>
      <c r="F496" s="91" t="str">
        <f>'Unit tariffs'!C$132</f>
        <v>per kVA</v>
      </c>
      <c r="G496" s="91"/>
      <c r="H496" s="745">
        <f>'Unit tariffs'!E174*'Calc Sheet 20_21'!B496</f>
        <v>0</v>
      </c>
      <c r="I496" s="745">
        <f>VLOOKUP($C496,'Unit tariffs'!$B$21:$F$157,5,FALSE)*$B496</f>
        <v>7971.920000000001</v>
      </c>
      <c r="J496" s="101"/>
      <c r="L496" s="227">
        <v>2.5</v>
      </c>
      <c r="M496" s="227" t="str">
        <f>C496</f>
        <v>Secondary Backbone - LV Peri Urban</v>
      </c>
      <c r="N496" s="91"/>
      <c r="O496" s="91"/>
      <c r="P496" s="91" t="str">
        <f>'Unit tariffs'!M$132</f>
        <v>'20161102</v>
      </c>
      <c r="Q496" s="91"/>
      <c r="R496" s="745">
        <f>'Unit tariffs'!O174*'Calc Sheet 20_21'!L496</f>
        <v>0</v>
      </c>
      <c r="S496" s="745">
        <f>VLOOKUP($C496,'Unit tariffs'!$B$21:$F$157,5,FALSE)*$L496</f>
        <v>3985.9600000000005</v>
      </c>
    </row>
    <row r="497" spans="1:19" ht="12.75">
      <c r="A497" s="97"/>
      <c r="B497" s="746"/>
      <c r="C497" s="746"/>
      <c r="D497" s="746"/>
      <c r="E497" s="746"/>
      <c r="F497" s="746"/>
      <c r="G497" s="91"/>
      <c r="H497" s="198">
        <f>SUM(H495:H496)</f>
        <v>903.2417049999999</v>
      </c>
      <c r="I497" s="198">
        <f>SUM(I495:I496)</f>
        <v>12831.445</v>
      </c>
      <c r="J497" s="101"/>
      <c r="L497" s="746"/>
      <c r="M497" s="746"/>
      <c r="N497" s="746"/>
      <c r="O497" s="746"/>
      <c r="P497" s="746"/>
      <c r="Q497" s="91"/>
      <c r="R497" s="198">
        <f>SUM(R495:R496)</f>
        <v>0</v>
      </c>
      <c r="S497" s="198">
        <f>SUM(S495:S496)</f>
        <v>6415.7225</v>
      </c>
    </row>
    <row r="498" spans="1:19" ht="12.75">
      <c r="A498" s="97"/>
      <c r="B498" s="110" t="s">
        <v>41</v>
      </c>
      <c r="C498" s="78"/>
      <c r="D498" s="78"/>
      <c r="E498" s="78"/>
      <c r="F498" s="78"/>
      <c r="G498" s="78"/>
      <c r="H498" s="145"/>
      <c r="I498" s="78"/>
      <c r="J498" s="101"/>
      <c r="L498" s="110" t="s">
        <v>41</v>
      </c>
      <c r="M498" s="78"/>
      <c r="N498" s="78"/>
      <c r="O498" s="78"/>
      <c r="P498" s="78"/>
      <c r="Q498" s="78"/>
      <c r="R498" s="145"/>
      <c r="S498" s="78"/>
    </row>
    <row r="499" spans="1:19" ht="12.75">
      <c r="A499" s="97"/>
      <c r="B499" s="78">
        <v>1</v>
      </c>
      <c r="C499" s="45" t="s">
        <v>314</v>
      </c>
      <c r="D499" s="78"/>
      <c r="E499" s="78"/>
      <c r="F499" s="78"/>
      <c r="G499" s="78"/>
      <c r="H499" s="199">
        <v>5100.68542</v>
      </c>
      <c r="I499" s="199">
        <f>VLOOKUP($C499,'Unit tariffs'!$B$21:$F$122,5,FALSE)*$B499</f>
        <v>5314.91420764</v>
      </c>
      <c r="J499" s="471" t="e">
        <f>IF(+I499*'Unit tariffs'!#REF!&gt;'Unit tariffs'!#REF!,'Unit tariffs'!#REF!,+I499*'Unit tariffs'!#REF!)</f>
        <v>#REF!</v>
      </c>
      <c r="L499" s="78">
        <v>1</v>
      </c>
      <c r="M499" s="45" t="s">
        <v>314</v>
      </c>
      <c r="N499" s="78"/>
      <c r="O499" s="78"/>
      <c r="P499" s="78"/>
      <c r="Q499" s="78"/>
      <c r="R499" s="199">
        <v>5100.68542</v>
      </c>
      <c r="S499" s="199">
        <f>VLOOKUP($C499,'Unit tariffs'!$B$21:$F$122,5,FALSE)*$B499</f>
        <v>5314.91420764</v>
      </c>
    </row>
    <row r="500" spans="1:19" ht="12.75">
      <c r="A500" s="97"/>
      <c r="B500" s="78">
        <v>1</v>
      </c>
      <c r="C500" s="78" t="s">
        <v>99</v>
      </c>
      <c r="D500" s="78"/>
      <c r="E500" s="78"/>
      <c r="F500" s="78"/>
      <c r="G500" s="78"/>
      <c r="H500" s="199">
        <v>180.33804099999998</v>
      </c>
      <c r="I500" s="199">
        <f>VLOOKUP($C500,'Unit tariffs'!$B$21:$F$122,5,FALSE)*$B500</f>
        <v>187.91223872199998</v>
      </c>
      <c r="J500" s="471" t="e">
        <f>IF(+I500*'Unit tariffs'!#REF!&gt;'Unit tariffs'!#REF!,'Unit tariffs'!#REF!,+I500*'Unit tariffs'!#REF!)</f>
        <v>#REF!</v>
      </c>
      <c r="L500" s="78">
        <v>1</v>
      </c>
      <c r="M500" s="78" t="s">
        <v>99</v>
      </c>
      <c r="N500" s="78"/>
      <c r="O500" s="78"/>
      <c r="P500" s="78"/>
      <c r="Q500" s="78"/>
      <c r="R500" s="199">
        <v>180.33804099999998</v>
      </c>
      <c r="S500" s="199">
        <f>VLOOKUP($C500,'Unit tariffs'!$B$21:$F$122,5,FALSE)*$B500</f>
        <v>187.91223872199998</v>
      </c>
    </row>
    <row r="501" spans="1:19" ht="12.75">
      <c r="A501" s="97"/>
      <c r="B501" s="78">
        <v>1</v>
      </c>
      <c r="C501" s="78" t="str">
        <f>'Unit tariffs'!B82</f>
        <v>hour-General Worker</v>
      </c>
      <c r="D501" s="78"/>
      <c r="E501" s="78"/>
      <c r="F501" s="78"/>
      <c r="G501" s="78"/>
      <c r="H501" s="199">
        <f>'Unit tariffs'!E82</f>
        <v>114.99057692307693</v>
      </c>
      <c r="I501" s="199">
        <f>VLOOKUP($C501,'Unit tariffs'!$B$21:$F$122,5,FALSE)*$B501</f>
        <v>123.03991730769232</v>
      </c>
      <c r="J501" s="471" t="e">
        <f>IF(+I501*'Unit tariffs'!#REF!&gt;'Unit tariffs'!#REF!,'Unit tariffs'!#REF!,+I501*'Unit tariffs'!#REF!)</f>
        <v>#REF!</v>
      </c>
      <c r="L501" s="78">
        <v>1</v>
      </c>
      <c r="M501" s="78">
        <f>'Unit tariffs'!L82</f>
        <v>432828</v>
      </c>
      <c r="N501" s="78"/>
      <c r="O501" s="78"/>
      <c r="P501" s="78"/>
      <c r="Q501" s="78"/>
      <c r="R501" s="199">
        <f>'Unit tariffs'!O82</f>
        <v>301.7310576923077</v>
      </c>
      <c r="S501" s="199">
        <f>VLOOKUP($C501,'Unit tariffs'!$B$21:$F$122,5,FALSE)*$B501</f>
        <v>123.03991730769232</v>
      </c>
    </row>
    <row r="502" spans="1:19" ht="12.75">
      <c r="A502" s="97"/>
      <c r="B502" s="78">
        <v>1</v>
      </c>
      <c r="C502" s="78" t="s">
        <v>17</v>
      </c>
      <c r="D502" s="78"/>
      <c r="E502" s="78"/>
      <c r="F502" s="78"/>
      <c r="G502" s="78"/>
      <c r="H502" s="199">
        <v>454.579914</v>
      </c>
      <c r="I502" s="199">
        <f>VLOOKUP($C502,'Unit tariffs'!$B$21:$F$122,5,FALSE)*$B502</f>
        <v>260.5</v>
      </c>
      <c r="J502" s="471" t="e">
        <f>IF(+I502*'Unit tariffs'!#REF!&gt;'Unit tariffs'!#REF!,'Unit tariffs'!#REF!,+I502*'Unit tariffs'!#REF!)</f>
        <v>#REF!</v>
      </c>
      <c r="L502" s="78">
        <v>1</v>
      </c>
      <c r="M502" s="78" t="s">
        <v>17</v>
      </c>
      <c r="N502" s="78"/>
      <c r="O502" s="78"/>
      <c r="P502" s="78"/>
      <c r="Q502" s="78"/>
      <c r="R502" s="199">
        <v>454.579914</v>
      </c>
      <c r="S502" s="199">
        <f>VLOOKUP($C502,'Unit tariffs'!$B$21:$F$122,5,FALSE)*$B502</f>
        <v>260.5</v>
      </c>
    </row>
    <row r="503" spans="1:19" ht="12.75">
      <c r="A503" s="97"/>
      <c r="B503" s="78"/>
      <c r="C503" s="78"/>
      <c r="D503" s="78"/>
      <c r="E503" s="78"/>
      <c r="F503" s="78"/>
      <c r="G503" s="78"/>
      <c r="H503" s="80">
        <f>SUM(H499:H502)</f>
        <v>5850.593951923077</v>
      </c>
      <c r="I503" s="80">
        <f>SUM(I499:I502)</f>
        <v>5886.366363669692</v>
      </c>
      <c r="J503" s="111"/>
      <c r="L503" s="78"/>
      <c r="M503" s="78"/>
      <c r="N503" s="78"/>
      <c r="O503" s="78"/>
      <c r="P503" s="78"/>
      <c r="Q503" s="78"/>
      <c r="R503" s="80">
        <f>SUM(R499:R502)</f>
        <v>6037.334432692307</v>
      </c>
      <c r="S503" s="80">
        <f>SUM(S499:S502)</f>
        <v>5886.366363669692</v>
      </c>
    </row>
    <row r="504" spans="1:19" ht="12.75">
      <c r="A504" s="97"/>
      <c r="B504" s="110" t="s">
        <v>42</v>
      </c>
      <c r="C504" s="78"/>
      <c r="D504" s="78"/>
      <c r="E504" s="78"/>
      <c r="F504" s="78"/>
      <c r="G504" s="80"/>
      <c r="H504" s="78"/>
      <c r="I504" s="78"/>
      <c r="J504" s="101"/>
      <c r="L504" s="110" t="s">
        <v>42</v>
      </c>
      <c r="M504" s="78"/>
      <c r="N504" s="78"/>
      <c r="O504" s="78"/>
      <c r="P504" s="78"/>
      <c r="Q504" s="80"/>
      <c r="R504" s="78"/>
      <c r="S504" s="78"/>
    </row>
    <row r="505" spans="1:19" ht="12.75">
      <c r="A505" s="97"/>
      <c r="B505" s="78"/>
      <c r="C505" s="78"/>
      <c r="D505" s="78"/>
      <c r="E505" s="78"/>
      <c r="F505" s="78"/>
      <c r="G505" s="78"/>
      <c r="H505" s="78"/>
      <c r="I505" s="78"/>
      <c r="J505" s="101"/>
      <c r="L505" s="78"/>
      <c r="M505" s="78"/>
      <c r="N505" s="78"/>
      <c r="O505" s="78"/>
      <c r="P505" s="78"/>
      <c r="Q505" s="78"/>
      <c r="R505" s="78"/>
      <c r="S505" s="78"/>
    </row>
    <row r="506" spans="1:19" ht="12.75">
      <c r="A506" s="97"/>
      <c r="B506" s="78">
        <v>4</v>
      </c>
      <c r="C506" s="21" t="s">
        <v>92</v>
      </c>
      <c r="D506" s="78"/>
      <c r="E506" s="78"/>
      <c r="F506" s="78"/>
      <c r="G506" s="78"/>
      <c r="H506" s="369">
        <v>180.05873256334615</v>
      </c>
      <c r="I506" s="80">
        <f>+'Unit tariffs'!F122</f>
        <v>27.076311864215</v>
      </c>
      <c r="J506" s="111"/>
      <c r="L506" s="78">
        <v>4</v>
      </c>
      <c r="M506" s="21" t="s">
        <v>92</v>
      </c>
      <c r="N506" s="78"/>
      <c r="O506" s="78"/>
      <c r="P506" s="78"/>
      <c r="Q506" s="78"/>
      <c r="R506" s="369">
        <v>180.05873256334615</v>
      </c>
      <c r="S506" s="80">
        <f>+'Unit tariffs'!P122</f>
        <v>100</v>
      </c>
    </row>
    <row r="507" spans="1:19" ht="12.75">
      <c r="A507" s="97"/>
      <c r="B507" s="78">
        <v>8</v>
      </c>
      <c r="C507" s="21" t="s">
        <v>54</v>
      </c>
      <c r="D507" s="78"/>
      <c r="E507" s="78"/>
      <c r="F507" s="78"/>
      <c r="G507" s="78"/>
      <c r="H507" s="87">
        <v>79.60305592343077</v>
      </c>
      <c r="I507" s="87">
        <f>+'Unit tariffs'!F120</f>
        <v>0</v>
      </c>
      <c r="J507" s="111"/>
      <c r="L507" s="78">
        <v>8</v>
      </c>
      <c r="M507" s="21" t="s">
        <v>54</v>
      </c>
      <c r="N507" s="78"/>
      <c r="O507" s="78"/>
      <c r="P507" s="78"/>
      <c r="Q507" s="78"/>
      <c r="R507" s="87">
        <v>79.60305592343077</v>
      </c>
      <c r="S507" s="87">
        <f>+'Unit tariffs'!P120</f>
        <v>8914.75</v>
      </c>
    </row>
    <row r="508" spans="1:19" ht="12.75">
      <c r="A508" s="97"/>
      <c r="B508" s="78"/>
      <c r="C508" s="78"/>
      <c r="D508" s="78"/>
      <c r="E508" s="78"/>
      <c r="F508" s="78"/>
      <c r="G508" s="78"/>
      <c r="H508" s="80">
        <f>SUM(H506:H507)</f>
        <v>259.6617884867769</v>
      </c>
      <c r="I508" s="80">
        <f>SUM(I506:I507)</f>
        <v>27.076311864215</v>
      </c>
      <c r="J508" s="111"/>
      <c r="L508" s="78"/>
      <c r="M508" s="78"/>
      <c r="N508" s="78"/>
      <c r="O508" s="78"/>
      <c r="P508" s="78"/>
      <c r="Q508" s="78"/>
      <c r="R508" s="80">
        <f>SUM(R506:R507)</f>
        <v>259.6617884867769</v>
      </c>
      <c r="S508" s="80">
        <f>SUM(S506:S507)</f>
        <v>9014.75</v>
      </c>
    </row>
    <row r="509" spans="1:19" ht="12.75">
      <c r="A509" s="97"/>
      <c r="B509" s="110" t="s">
        <v>43</v>
      </c>
      <c r="C509" s="78"/>
      <c r="D509" s="78"/>
      <c r="E509" s="78"/>
      <c r="F509" s="78"/>
      <c r="G509" s="78"/>
      <c r="H509" s="78"/>
      <c r="I509" s="78"/>
      <c r="J509" s="101"/>
      <c r="L509" s="110" t="s">
        <v>43</v>
      </c>
      <c r="M509" s="78"/>
      <c r="N509" s="78"/>
      <c r="O509" s="78"/>
      <c r="P509" s="78"/>
      <c r="Q509" s="78"/>
      <c r="R509" s="78"/>
      <c r="S509" s="78"/>
    </row>
    <row r="510" spans="1:19" ht="12.75">
      <c r="A510" s="97"/>
      <c r="B510" s="78"/>
      <c r="C510" s="78"/>
      <c r="D510" s="78"/>
      <c r="E510" s="78"/>
      <c r="F510" s="78"/>
      <c r="G510" s="78"/>
      <c r="H510" s="78"/>
      <c r="I510" s="78"/>
      <c r="J510" s="101"/>
      <c r="L510" s="78"/>
      <c r="M510" s="78"/>
      <c r="N510" s="78"/>
      <c r="O510" s="78"/>
      <c r="P510" s="78"/>
      <c r="Q510" s="78"/>
      <c r="R510" s="78"/>
      <c r="S510" s="78"/>
    </row>
    <row r="511" spans="1:19" ht="12.75">
      <c r="A511" s="97"/>
      <c r="B511" s="78">
        <v>30</v>
      </c>
      <c r="C511" s="78" t="str">
        <f>'Unit tariffs'!B$110</f>
        <v>km-truck with platform</v>
      </c>
      <c r="D511" s="78"/>
      <c r="E511" s="78"/>
      <c r="F511" s="78"/>
      <c r="G511" s="78"/>
      <c r="H511" s="80">
        <v>973.9707276000003</v>
      </c>
      <c r="I511" s="80">
        <f>VLOOKUP($C511,'Unit tariffs'!$B$21:$F$122,5,FALSE)*$B511</f>
        <v>1212.682441720518</v>
      </c>
      <c r="J511" s="111"/>
      <c r="L511" s="78">
        <v>30</v>
      </c>
      <c r="M511" s="78">
        <f>'Unit tariffs'!L$110</f>
        <v>2113.3093606667003</v>
      </c>
      <c r="N511" s="78"/>
      <c r="O511" s="78"/>
      <c r="P511" s="78"/>
      <c r="Q511" s="78"/>
      <c r="R511" s="80">
        <v>973.9707276000003</v>
      </c>
      <c r="S511" s="80">
        <f>VLOOKUP($C511,'Unit tariffs'!$B$21:$F$122,5,FALSE)*$B511</f>
        <v>1212.682441720518</v>
      </c>
    </row>
    <row r="512" spans="1:19" ht="12.75">
      <c r="A512" s="97"/>
      <c r="B512" s="78">
        <f>+B506</f>
        <v>4</v>
      </c>
      <c r="C512" s="78" t="str">
        <f>'Unit tariffs'!B$111</f>
        <v>hour-truck with platform</v>
      </c>
      <c r="D512" s="78"/>
      <c r="E512" s="78"/>
      <c r="F512" s="78"/>
      <c r="G512" s="78"/>
      <c r="H512" s="87">
        <v>670.4500400000001</v>
      </c>
      <c r="I512" s="87">
        <f>VLOOKUP($C512,'Unit tariffs'!$B$21:$F$122,5,FALSE)*$B512</f>
        <v>786.8883582022</v>
      </c>
      <c r="J512" s="111"/>
      <c r="L512" s="78">
        <f>+L506</f>
        <v>4</v>
      </c>
      <c r="M512" s="78">
        <f>'Unit tariffs'!L$111</f>
        <v>12</v>
      </c>
      <c r="N512" s="78"/>
      <c r="O512" s="78"/>
      <c r="P512" s="78"/>
      <c r="Q512" s="78"/>
      <c r="R512" s="87">
        <v>670.4500400000001</v>
      </c>
      <c r="S512" s="87">
        <f>VLOOKUP($C512,'Unit tariffs'!$B$21:$F$122,5,FALSE)*$B512</f>
        <v>786.8883582022</v>
      </c>
    </row>
    <row r="513" spans="1:19" ht="13.5" thickBot="1">
      <c r="A513" s="97"/>
      <c r="B513" s="78"/>
      <c r="C513" s="78"/>
      <c r="D513" s="78"/>
      <c r="E513" s="78"/>
      <c r="F513" s="78"/>
      <c r="G513" s="78"/>
      <c r="H513" s="113">
        <f>SUM(H511:H512)</f>
        <v>1644.4207676000003</v>
      </c>
      <c r="I513" s="113">
        <f>SUM(I511:I512)</f>
        <v>1999.570799922718</v>
      </c>
      <c r="J513" s="111"/>
      <c r="L513" s="78"/>
      <c r="M513" s="78"/>
      <c r="N513" s="78"/>
      <c r="O513" s="78"/>
      <c r="P513" s="78"/>
      <c r="Q513" s="78"/>
      <c r="R513" s="113">
        <f>SUM(R511:R512)</f>
        <v>1644.4207676000003</v>
      </c>
      <c r="S513" s="113">
        <f>SUM(S511:S512)</f>
        <v>1999.570799922718</v>
      </c>
    </row>
    <row r="514" spans="1:19" ht="13.5" thickTop="1">
      <c r="A514" s="97"/>
      <c r="B514" s="78"/>
      <c r="C514" s="78"/>
      <c r="D514" s="78"/>
      <c r="E514" s="78"/>
      <c r="F514" s="78"/>
      <c r="G514" s="78"/>
      <c r="H514" s="80">
        <f>H513+H508+H503+H497</f>
        <v>8657.918213009854</v>
      </c>
      <c r="I514" s="80">
        <f>+I513+I508+I503+I497</f>
        <v>20744.458475456624</v>
      </c>
      <c r="J514" s="111"/>
      <c r="L514" s="78"/>
      <c r="M514" s="78"/>
      <c r="N514" s="78"/>
      <c r="O514" s="78"/>
      <c r="P514" s="78"/>
      <c r="Q514" s="78"/>
      <c r="R514" s="80">
        <f>R513+R508+R503+R497</f>
        <v>7941.416988779084</v>
      </c>
      <c r="S514" s="80">
        <f>+S513+S508+S503+S497</f>
        <v>23316.40966359241</v>
      </c>
    </row>
    <row r="515" spans="1:19" ht="13.5" thickBot="1">
      <c r="A515" s="97"/>
      <c r="B515" s="110" t="str">
        <f>'Unit tariffs'!$B$7</f>
        <v>Administration Levy (Indirect Cost)</v>
      </c>
      <c r="C515" s="78"/>
      <c r="D515" s="112">
        <f>'Unit tariffs'!$C$7</f>
        <v>0.1</v>
      </c>
      <c r="E515" s="78" t="s">
        <v>312</v>
      </c>
      <c r="F515" s="196">
        <f>+'Unit tariffs'!$F$7</f>
        <v>10000</v>
      </c>
      <c r="G515" s="78" t="s">
        <v>44</v>
      </c>
      <c r="H515" s="114">
        <f>H514*0.2636</f>
        <v>2282.2272409493976</v>
      </c>
      <c r="I515" s="114">
        <f>IF(I514*$D515&gt;='Unit tariffs'!$E$7,'Unit tariffs'!$E$7,I514*$D515)</f>
        <v>2074.4458475456627</v>
      </c>
      <c r="J515" s="111"/>
      <c r="L515" s="110" t="str">
        <f>'Unit tariffs'!$B$7</f>
        <v>Administration Levy (Indirect Cost)</v>
      </c>
      <c r="M515" s="78"/>
      <c r="N515" s="112">
        <f>'Unit tariffs'!$C$7</f>
        <v>0.1</v>
      </c>
      <c r="O515" s="78" t="s">
        <v>312</v>
      </c>
      <c r="P515" s="196">
        <f>+'Unit tariffs'!$F$7</f>
        <v>10000</v>
      </c>
      <c r="Q515" s="78" t="s">
        <v>44</v>
      </c>
      <c r="R515" s="114">
        <f>R514*0.2636</f>
        <v>2093.3575182421664</v>
      </c>
      <c r="S515" s="114">
        <f>IF(S514*$D515&gt;='Unit tariffs'!$E$7,'Unit tariffs'!$E$7,S514*$D515)</f>
        <v>2331.6409663592412</v>
      </c>
    </row>
    <row r="516" spans="1:19" ht="13.5" thickTop="1">
      <c r="A516" s="97"/>
      <c r="B516" s="110" t="s">
        <v>44</v>
      </c>
      <c r="C516" s="78"/>
      <c r="D516" s="78"/>
      <c r="E516" s="78"/>
      <c r="F516" s="78"/>
      <c r="G516" s="80"/>
      <c r="H516" s="669">
        <f>H514+H515</f>
        <v>10940.145453959252</v>
      </c>
      <c r="I516" s="115">
        <f>SUM(I514:I515)</f>
        <v>22818.904323002287</v>
      </c>
      <c r="J516" s="111"/>
      <c r="K516" s="117"/>
      <c r="L516" s="110" t="s">
        <v>44</v>
      </c>
      <c r="M516" s="78"/>
      <c r="N516" s="78"/>
      <c r="O516" s="78"/>
      <c r="P516" s="78"/>
      <c r="Q516" s="80"/>
      <c r="R516" s="669">
        <f>R514+R515</f>
        <v>10034.774507021251</v>
      </c>
      <c r="S516" s="115">
        <f>SUM(S514:S515)</f>
        <v>25648.050629951653</v>
      </c>
    </row>
    <row r="517" spans="1:19" ht="12.75">
      <c r="A517" s="97"/>
      <c r="B517" s="110"/>
      <c r="C517" s="78"/>
      <c r="D517" s="78"/>
      <c r="E517" s="78"/>
      <c r="F517" s="78"/>
      <c r="G517" s="80"/>
      <c r="H517" s="80"/>
      <c r="I517" s="80"/>
      <c r="J517" s="111"/>
      <c r="L517" s="110"/>
      <c r="M517" s="78"/>
      <c r="N517" s="78"/>
      <c r="O517" s="78"/>
      <c r="P517" s="78"/>
      <c r="Q517" s="80"/>
      <c r="R517" s="80"/>
      <c r="S517" s="80"/>
    </row>
    <row r="518" spans="1:19" ht="12.75">
      <c r="A518" s="97"/>
      <c r="B518" s="110" t="s">
        <v>45</v>
      </c>
      <c r="C518" s="78"/>
      <c r="D518" s="78"/>
      <c r="E518" s="78"/>
      <c r="F518" s="78"/>
      <c r="G518" s="80"/>
      <c r="H518" s="90">
        <f>ROUND(H516,-1)</f>
        <v>10940</v>
      </c>
      <c r="I518" s="90">
        <f>ROUND(I516,-1)</f>
        <v>22820</v>
      </c>
      <c r="J518" s="116"/>
      <c r="L518" s="110" t="s">
        <v>45</v>
      </c>
      <c r="M518" s="78"/>
      <c r="N518" s="78"/>
      <c r="O518" s="78"/>
      <c r="P518" s="78"/>
      <c r="Q518" s="80"/>
      <c r="R518" s="90">
        <f>ROUND(R516,-1)</f>
        <v>10030</v>
      </c>
      <c r="S518" s="90">
        <f>ROUND(S516,-1)</f>
        <v>25650</v>
      </c>
    </row>
    <row r="519" spans="1:19" ht="12.75">
      <c r="A519" s="97"/>
      <c r="B519" s="121"/>
      <c r="C519" s="121"/>
      <c r="D519" s="121"/>
      <c r="E519" s="78"/>
      <c r="F519" s="78"/>
      <c r="G519" s="78"/>
      <c r="H519" s="78"/>
      <c r="I519" s="78"/>
      <c r="J519" s="111"/>
      <c r="L519" s="121"/>
      <c r="M519" s="121"/>
      <c r="N519" s="121"/>
      <c r="O519" s="78"/>
      <c r="P519" s="78"/>
      <c r="Q519" s="78"/>
      <c r="R519" s="78"/>
      <c r="S519" s="78"/>
    </row>
    <row r="520" spans="1:19" ht="12.75">
      <c r="A520" s="97"/>
      <c r="B520" s="78"/>
      <c r="C520" s="78"/>
      <c r="D520" s="78"/>
      <c r="E520" s="78"/>
      <c r="F520" s="78"/>
      <c r="G520" s="78"/>
      <c r="H520" s="118">
        <v>0.03818301514154049</v>
      </c>
      <c r="I520" s="118">
        <f>(I518-H518)/H518</f>
        <v>1.0859232175502742</v>
      </c>
      <c r="J520" s="119"/>
      <c r="L520" s="78"/>
      <c r="M520" s="78"/>
      <c r="N520" s="78"/>
      <c r="O520" s="78"/>
      <c r="P520" s="78"/>
      <c r="Q520" s="78"/>
      <c r="R520" s="118">
        <v>0.03818301514154049</v>
      </c>
      <c r="S520" s="118">
        <f>(S518-R518)/R518</f>
        <v>1.5573280159521437</v>
      </c>
    </row>
    <row r="521" spans="1:19" ht="12.75">
      <c r="A521" s="97"/>
      <c r="B521" s="78"/>
      <c r="C521" s="78"/>
      <c r="D521" s="78"/>
      <c r="E521" s="78"/>
      <c r="F521" s="78"/>
      <c r="G521" s="78"/>
      <c r="H521" s="78"/>
      <c r="I521" s="78"/>
      <c r="J521" s="101"/>
      <c r="L521" s="78"/>
      <c r="M521" s="78"/>
      <c r="N521" s="78"/>
      <c r="O521" s="78"/>
      <c r="P521" s="78"/>
      <c r="Q521" s="78"/>
      <c r="R521" s="78"/>
      <c r="S521" s="78"/>
    </row>
    <row r="522" spans="1:19" ht="12.75">
      <c r="A522" s="97"/>
      <c r="B522" s="78"/>
      <c r="C522" s="78"/>
      <c r="D522" s="78"/>
      <c r="E522" s="78"/>
      <c r="F522" s="78"/>
      <c r="G522" s="78"/>
      <c r="H522" s="78"/>
      <c r="I522" s="78"/>
      <c r="J522" s="101"/>
      <c r="L522" s="78"/>
      <c r="M522" s="78"/>
      <c r="N522" s="78"/>
      <c r="O522" s="78"/>
      <c r="P522" s="78"/>
      <c r="Q522" s="78"/>
      <c r="R522" s="78"/>
      <c r="S522" s="78"/>
    </row>
    <row r="523" spans="1:19" ht="12.75">
      <c r="A523" s="97"/>
      <c r="B523" s="78"/>
      <c r="C523" s="78"/>
      <c r="D523" s="78"/>
      <c r="E523" s="78"/>
      <c r="F523" s="78"/>
      <c r="G523" s="78"/>
      <c r="H523" s="78"/>
      <c r="I523" s="78"/>
      <c r="J523" s="101"/>
      <c r="L523" s="78"/>
      <c r="M523" s="78"/>
      <c r="N523" s="78"/>
      <c r="O523" s="78"/>
      <c r="P523" s="78"/>
      <c r="Q523" s="78"/>
      <c r="R523" s="78"/>
      <c r="S523" s="78"/>
    </row>
    <row r="524" spans="1:19" ht="12.75">
      <c r="A524" s="97"/>
      <c r="B524" s="78"/>
      <c r="C524" s="78"/>
      <c r="D524" s="78"/>
      <c r="E524" s="78"/>
      <c r="F524" s="78"/>
      <c r="G524" s="78"/>
      <c r="H524" s="78"/>
      <c r="I524" s="78"/>
      <c r="J524" s="101"/>
      <c r="L524" s="78"/>
      <c r="M524" s="78"/>
      <c r="N524" s="78"/>
      <c r="O524" s="78"/>
      <c r="P524" s="78"/>
      <c r="Q524" s="78"/>
      <c r="R524" s="78"/>
      <c r="S524" s="78"/>
    </row>
    <row r="525" spans="1:19" ht="12.75">
      <c r="A525" s="97"/>
      <c r="B525" s="78"/>
      <c r="C525" s="78"/>
      <c r="D525" s="78"/>
      <c r="E525" s="78"/>
      <c r="F525" s="78"/>
      <c r="G525" s="78"/>
      <c r="H525" s="78"/>
      <c r="I525" s="78"/>
      <c r="J525" s="101"/>
      <c r="L525" s="78"/>
      <c r="M525" s="78"/>
      <c r="N525" s="78"/>
      <c r="O525" s="78"/>
      <c r="P525" s="78"/>
      <c r="Q525" s="78"/>
      <c r="R525" s="78"/>
      <c r="S525" s="78"/>
    </row>
    <row r="526" spans="1:19" ht="12.75">
      <c r="A526" s="97"/>
      <c r="B526" s="78"/>
      <c r="C526" s="78"/>
      <c r="D526" s="78"/>
      <c r="E526" s="78"/>
      <c r="F526" s="78"/>
      <c r="G526" s="78"/>
      <c r="H526" s="78"/>
      <c r="I526" s="78"/>
      <c r="J526" s="101"/>
      <c r="L526" s="78"/>
      <c r="M526" s="78"/>
      <c r="N526" s="78"/>
      <c r="O526" s="78"/>
      <c r="P526" s="78"/>
      <c r="Q526" s="78"/>
      <c r="R526" s="78"/>
      <c r="S526" s="78"/>
    </row>
    <row r="527" spans="1:19" ht="12.75">
      <c r="A527" s="97"/>
      <c r="B527" s="78"/>
      <c r="C527" s="78"/>
      <c r="D527" s="78"/>
      <c r="E527" s="78"/>
      <c r="F527" s="78"/>
      <c r="G527" s="78"/>
      <c r="H527" s="78"/>
      <c r="I527" s="78"/>
      <c r="J527" s="101"/>
      <c r="L527" s="78"/>
      <c r="M527" s="78"/>
      <c r="N527" s="78"/>
      <c r="O527" s="78"/>
      <c r="P527" s="78"/>
      <c r="Q527" s="78"/>
      <c r="R527" s="78"/>
      <c r="S527" s="78"/>
    </row>
    <row r="528" spans="1:19" ht="12.75">
      <c r="A528" s="97"/>
      <c r="B528" s="78"/>
      <c r="C528" s="78"/>
      <c r="D528" s="78"/>
      <c r="E528" s="78"/>
      <c r="F528" s="78"/>
      <c r="G528" s="78"/>
      <c r="H528" s="78"/>
      <c r="I528" s="78"/>
      <c r="J528" s="101"/>
      <c r="L528" s="78"/>
      <c r="M528" s="78"/>
      <c r="N528" s="78"/>
      <c r="O528" s="78"/>
      <c r="P528" s="78"/>
      <c r="Q528" s="78"/>
      <c r="R528" s="78"/>
      <c r="S528" s="78"/>
    </row>
    <row r="529" spans="1:19" ht="12.75">
      <c r="A529" s="97"/>
      <c r="B529" s="78"/>
      <c r="C529" s="78"/>
      <c r="D529" s="78"/>
      <c r="E529" s="78"/>
      <c r="F529" s="78"/>
      <c r="G529" s="78"/>
      <c r="H529" s="78"/>
      <c r="I529" s="78"/>
      <c r="J529" s="101"/>
      <c r="L529" s="78"/>
      <c r="M529" s="78"/>
      <c r="N529" s="78"/>
      <c r="O529" s="78"/>
      <c r="P529" s="78"/>
      <c r="Q529" s="78"/>
      <c r="R529" s="78"/>
      <c r="S529" s="78"/>
    </row>
    <row r="530" spans="1:19" ht="13.5" thickBot="1">
      <c r="A530" s="97"/>
      <c r="B530" s="78"/>
      <c r="C530" s="78"/>
      <c r="D530" s="78"/>
      <c r="E530" s="78"/>
      <c r="F530" s="78"/>
      <c r="G530" s="78"/>
      <c r="H530" s="78"/>
      <c r="I530" s="78"/>
      <c r="J530" s="101"/>
      <c r="L530" s="78"/>
      <c r="M530" s="78"/>
      <c r="N530" s="78"/>
      <c r="O530" s="78"/>
      <c r="P530" s="78"/>
      <c r="Q530" s="78"/>
      <c r="R530" s="78"/>
      <c r="S530" s="78"/>
    </row>
    <row r="531" spans="1:10" ht="13.5" thickTop="1">
      <c r="A531" s="459"/>
      <c r="B531" s="127"/>
      <c r="C531" s="127"/>
      <c r="D531" s="127"/>
      <c r="E531" s="127"/>
      <c r="F531" s="127"/>
      <c r="G531" s="127"/>
      <c r="H531" s="127"/>
      <c r="I531" s="127"/>
      <c r="J531" s="460"/>
    </row>
    <row r="532" spans="1:10" ht="13.5" thickBot="1">
      <c r="A532" s="462"/>
      <c r="B532" s="130"/>
      <c r="C532" s="130"/>
      <c r="D532" s="130"/>
      <c r="E532" s="130"/>
      <c r="F532" s="130"/>
      <c r="G532" s="130"/>
      <c r="H532" s="130"/>
      <c r="I532" s="130"/>
      <c r="J532" s="463"/>
    </row>
    <row r="533" spans="1:10" ht="13.5" thickTop="1">
      <c r="A533" s="97"/>
      <c r="B533" s="78" t="s">
        <v>1</v>
      </c>
      <c r="C533" s="78"/>
      <c r="D533" s="78"/>
      <c r="E533" s="78"/>
      <c r="F533" s="78"/>
      <c r="G533" s="78"/>
      <c r="H533" s="78"/>
      <c r="J533" s="101"/>
    </row>
    <row r="534" spans="1:21" ht="39.75" customHeight="1">
      <c r="A534" s="97"/>
      <c r="B534" s="820" t="s">
        <v>635</v>
      </c>
      <c r="C534" s="821"/>
      <c r="D534" s="821"/>
      <c r="E534" s="821"/>
      <c r="F534" s="821"/>
      <c r="G534" s="822"/>
      <c r="H534" s="78"/>
      <c r="I534" s="140" t="s">
        <v>243</v>
      </c>
      <c r="J534" s="101"/>
      <c r="M534" s="820" t="s">
        <v>236</v>
      </c>
      <c r="N534" s="821"/>
      <c r="O534" s="821"/>
      <c r="P534" s="821"/>
      <c r="Q534" s="821"/>
      <c r="R534" s="822"/>
      <c r="S534" s="78"/>
      <c r="T534" s="140" t="s">
        <v>243</v>
      </c>
      <c r="U534" s="101"/>
    </row>
    <row r="535" spans="1:21" ht="12.75">
      <c r="A535" s="97"/>
      <c r="B535" s="78"/>
      <c r="C535" s="78"/>
      <c r="D535" s="78"/>
      <c r="E535" s="78"/>
      <c r="F535" s="78"/>
      <c r="G535" s="78"/>
      <c r="H535" s="109" t="str">
        <f>+H$11</f>
        <v>2020/2021</v>
      </c>
      <c r="I535" s="109" t="str">
        <f>+'Unit tariffs'!$F$11</f>
        <v>2021/2022</v>
      </c>
      <c r="J535" s="458" t="s">
        <v>315</v>
      </c>
      <c r="M535" s="78"/>
      <c r="N535" s="78"/>
      <c r="O535" s="78"/>
      <c r="P535" s="78"/>
      <c r="Q535" s="78"/>
      <c r="R535" s="78"/>
      <c r="S535" s="109">
        <f>+S$11</f>
        <v>0</v>
      </c>
      <c r="T535" s="109" t="str">
        <f>+'Unit tariffs'!$F$11</f>
        <v>2021/2022</v>
      </c>
      <c r="U535" s="458" t="s">
        <v>315</v>
      </c>
    </row>
    <row r="536" spans="1:21" ht="12.75">
      <c r="A536" s="97"/>
      <c r="B536" s="78"/>
      <c r="C536" s="78"/>
      <c r="D536" s="78"/>
      <c r="E536" s="78"/>
      <c r="F536" s="78"/>
      <c r="G536" s="78"/>
      <c r="H536" s="145"/>
      <c r="I536" s="78"/>
      <c r="J536" s="101"/>
      <c r="M536" s="78"/>
      <c r="N536" s="78"/>
      <c r="O536" s="78"/>
      <c r="P536" s="78"/>
      <c r="Q536" s="78"/>
      <c r="R536" s="78"/>
      <c r="S536" s="145"/>
      <c r="T536" s="78"/>
      <c r="U536" s="101"/>
    </row>
    <row r="537" spans="1:21" ht="13.5">
      <c r="A537" s="97"/>
      <c r="B537" s="226" t="s">
        <v>117</v>
      </c>
      <c r="C537" s="227"/>
      <c r="D537" s="91"/>
      <c r="E537" s="91"/>
      <c r="F537" s="91"/>
      <c r="G537" s="91"/>
      <c r="H537" s="742"/>
      <c r="I537" s="743"/>
      <c r="J537" s="101"/>
      <c r="M537" s="226" t="s">
        <v>117</v>
      </c>
      <c r="N537" s="227"/>
      <c r="O537" s="91"/>
      <c r="P537" s="91"/>
      <c r="Q537" s="91"/>
      <c r="R537" s="91"/>
      <c r="S537" s="742"/>
      <c r="T537" s="743"/>
      <c r="U537" s="101"/>
    </row>
    <row r="538" spans="1:21" ht="12.75">
      <c r="A538" s="97"/>
      <c r="B538" s="227" t="s">
        <v>118</v>
      </c>
      <c r="C538" s="227"/>
      <c r="D538" s="91"/>
      <c r="E538" s="91"/>
      <c r="F538" s="91"/>
      <c r="G538" s="91"/>
      <c r="H538" s="744"/>
      <c r="I538" s="743"/>
      <c r="J538" s="101"/>
      <c r="M538" s="227" t="s">
        <v>118</v>
      </c>
      <c r="N538" s="227"/>
      <c r="O538" s="91"/>
      <c r="P538" s="91"/>
      <c r="Q538" s="91"/>
      <c r="R538" s="91"/>
      <c r="S538" s="744"/>
      <c r="T538" s="743"/>
      <c r="U538" s="101"/>
    </row>
    <row r="539" spans="1:21" ht="12.75">
      <c r="A539" s="97"/>
      <c r="B539" s="227">
        <v>7.5</v>
      </c>
      <c r="C539" s="227" t="str">
        <f>'Unit tariffs'!B136</f>
        <v>Primary Backbone - Peri Urban</v>
      </c>
      <c r="D539" s="91"/>
      <c r="E539" s="91"/>
      <c r="F539" s="91" t="str">
        <f>'Unit tariffs'!C$131</f>
        <v>per kVA</v>
      </c>
      <c r="G539" s="91"/>
      <c r="H539" s="198">
        <f>'Unit tariffs'!E136*'Calc Sheet 20_21'!B539</f>
        <v>7874.55</v>
      </c>
      <c r="I539" s="198">
        <f>VLOOKUP($C539,'Unit tariffs'!$B$21:$F$157,5,FALSE)*$B539</f>
        <v>8662.005000000001</v>
      </c>
      <c r="J539" s="101"/>
      <c r="M539" s="227">
        <v>2.5</v>
      </c>
      <c r="N539" s="227" t="str">
        <f>C539</f>
        <v>Primary Backbone - Peri Urban</v>
      </c>
      <c r="O539" s="91"/>
      <c r="P539" s="91"/>
      <c r="Q539" s="91" t="str">
        <f>'Unit tariffs'!N$131</f>
        <v>SAFARI MOTORS WESTDENE</v>
      </c>
      <c r="R539" s="91"/>
      <c r="S539" s="198">
        <f>'Unit tariffs'!P136*'Calc Sheet 20_21'!M539</f>
        <v>0</v>
      </c>
      <c r="T539" s="198">
        <f>VLOOKUP($C539,'Unit tariffs'!$B$21:$F$157,5,FALSE)*$M539</f>
        <v>2887.3350000000005</v>
      </c>
      <c r="U539" s="101"/>
    </row>
    <row r="540" spans="1:21" ht="12.75">
      <c r="A540" s="97"/>
      <c r="B540" s="227">
        <v>7.5</v>
      </c>
      <c r="C540" s="227" t="str">
        <f>'Unit tariffs'!B137</f>
        <v>Secondary Backbone - MV Peri Urban</v>
      </c>
      <c r="D540" s="91"/>
      <c r="E540" s="91"/>
      <c r="F540" s="91" t="str">
        <f>'Unit tariffs'!C$131</f>
        <v>per kVA</v>
      </c>
      <c r="G540" s="91"/>
      <c r="H540" s="198">
        <f>'Unit tariffs'!E137*'Calc Sheet 20_21'!B540</f>
        <v>6626.625</v>
      </c>
      <c r="I540" s="198">
        <f>VLOOKUP($C540,'Unit tariffs'!$B$21:$F$157,5,FALSE)*$B540</f>
        <v>7289.287499999999</v>
      </c>
      <c r="J540" s="101"/>
      <c r="M540" s="227">
        <v>2.5</v>
      </c>
      <c r="N540" s="227" t="str">
        <f>C540</f>
        <v>Secondary Backbone - MV Peri Urban</v>
      </c>
      <c r="O540" s="91"/>
      <c r="P540" s="91"/>
      <c r="Q540" s="91" t="str">
        <f>'Unit tariffs'!N$131</f>
        <v>SAFARI MOTORS WESTDENE</v>
      </c>
      <c r="R540" s="91"/>
      <c r="S540" s="198">
        <f>'Unit tariffs'!P137*'Calc Sheet 20_21'!M540</f>
        <v>0</v>
      </c>
      <c r="T540" s="198">
        <f>VLOOKUP($C540,'Unit tariffs'!$B$21:$F$157,5,FALSE)*$M540</f>
        <v>2429.7625</v>
      </c>
      <c r="U540" s="101"/>
    </row>
    <row r="541" spans="1:21" ht="12.75">
      <c r="A541" s="97"/>
      <c r="B541" s="227">
        <v>7.5</v>
      </c>
      <c r="C541" s="227" t="str">
        <f>'Unit tariffs'!B138</f>
        <v>Secondary Backbone - LV Peri Urban</v>
      </c>
      <c r="D541" s="91"/>
      <c r="E541" s="91"/>
      <c r="F541" s="91" t="str">
        <f>'Unit tariffs'!C$132</f>
        <v>per kVA</v>
      </c>
      <c r="G541" s="91"/>
      <c r="H541" s="745">
        <f>'Unit tariffs'!E138*'Calc Sheet 20_21'!B541</f>
        <v>10870.800000000001</v>
      </c>
      <c r="I541" s="745">
        <f>VLOOKUP($C541,'Unit tariffs'!$B$21:$F$157,5,FALSE)*$B541</f>
        <v>11957.880000000001</v>
      </c>
      <c r="J541" s="101"/>
      <c r="M541" s="227">
        <v>2.5</v>
      </c>
      <c r="N541" s="227" t="str">
        <f>C541</f>
        <v>Secondary Backbone - LV Peri Urban</v>
      </c>
      <c r="O541" s="91"/>
      <c r="P541" s="91"/>
      <c r="Q541" s="91" t="str">
        <f>'Unit tariffs'!N$132</f>
        <v>SAFARI MOTORS WESTDENE</v>
      </c>
      <c r="R541" s="91"/>
      <c r="S541" s="745">
        <f>'Unit tariffs'!P138*'Calc Sheet 20_21'!M541</f>
        <v>0</v>
      </c>
      <c r="T541" s="745">
        <f>VLOOKUP($C541,'Unit tariffs'!$B$21:$F$157,5,FALSE)*$M541</f>
        <v>3985.9600000000005</v>
      </c>
      <c r="U541" s="101"/>
    </row>
    <row r="542" spans="1:21" ht="12.75">
      <c r="A542" s="97"/>
      <c r="B542" s="746"/>
      <c r="C542" s="746"/>
      <c r="D542" s="746"/>
      <c r="E542" s="746"/>
      <c r="F542" s="746"/>
      <c r="G542" s="91"/>
      <c r="H542" s="198">
        <f>SUM(H539:H541)</f>
        <v>25371.975</v>
      </c>
      <c r="I542" s="198">
        <f>SUM(I539:I541)</f>
        <v>27909.1725</v>
      </c>
      <c r="J542" s="101"/>
      <c r="M542" s="746"/>
      <c r="N542" s="746"/>
      <c r="O542" s="746"/>
      <c r="P542" s="746"/>
      <c r="Q542" s="746"/>
      <c r="R542" s="91"/>
      <c r="S542" s="198">
        <f>SUM(S539:S541)</f>
        <v>0</v>
      </c>
      <c r="T542" s="198">
        <f>SUM(T539:T541)</f>
        <v>9303.0575</v>
      </c>
      <c r="U542" s="101"/>
    </row>
    <row r="543" spans="1:21" ht="12.75">
      <c r="A543" s="97"/>
      <c r="B543" s="78"/>
      <c r="C543" s="78"/>
      <c r="D543" s="78"/>
      <c r="E543" s="78"/>
      <c r="F543" s="78"/>
      <c r="G543" s="78"/>
      <c r="H543" s="145"/>
      <c r="I543" s="78"/>
      <c r="J543" s="101"/>
      <c r="M543" s="78"/>
      <c r="N543" s="78"/>
      <c r="O543" s="78"/>
      <c r="P543" s="78"/>
      <c r="Q543" s="78"/>
      <c r="R543" s="78"/>
      <c r="S543" s="145"/>
      <c r="T543" s="78"/>
      <c r="U543" s="101"/>
    </row>
    <row r="544" spans="1:21" ht="12.75">
      <c r="A544" s="97"/>
      <c r="B544" s="78"/>
      <c r="C544" s="78"/>
      <c r="D544" s="78"/>
      <c r="E544" s="78"/>
      <c r="F544" s="78"/>
      <c r="G544" s="78"/>
      <c r="H544" s="145"/>
      <c r="I544" s="78"/>
      <c r="J544" s="101"/>
      <c r="M544" s="78"/>
      <c r="N544" s="78"/>
      <c r="O544" s="78"/>
      <c r="P544" s="78"/>
      <c r="Q544" s="78"/>
      <c r="R544" s="78"/>
      <c r="S544" s="145"/>
      <c r="T544" s="78"/>
      <c r="U544" s="101"/>
    </row>
    <row r="545" spans="1:21" ht="12.75">
      <c r="A545" s="97"/>
      <c r="B545" s="78"/>
      <c r="C545" s="78"/>
      <c r="D545" s="78"/>
      <c r="E545" s="78"/>
      <c r="F545" s="78"/>
      <c r="G545" s="78"/>
      <c r="H545" s="145"/>
      <c r="I545" s="78"/>
      <c r="J545" s="101"/>
      <c r="M545" s="78"/>
      <c r="N545" s="78"/>
      <c r="O545" s="78"/>
      <c r="P545" s="78"/>
      <c r="Q545" s="78"/>
      <c r="R545" s="78"/>
      <c r="S545" s="145"/>
      <c r="T545" s="78"/>
      <c r="U545" s="101"/>
    </row>
    <row r="546" spans="1:21" ht="12.75">
      <c r="A546" s="97"/>
      <c r="B546" s="110" t="s">
        <v>41</v>
      </c>
      <c r="C546" s="78"/>
      <c r="D546" s="78"/>
      <c r="E546" s="78"/>
      <c r="F546" s="78"/>
      <c r="G546" s="78"/>
      <c r="H546" s="145"/>
      <c r="I546" s="78"/>
      <c r="J546" s="101"/>
      <c r="M546" s="110" t="s">
        <v>41</v>
      </c>
      <c r="N546" s="78"/>
      <c r="O546" s="78"/>
      <c r="P546" s="78"/>
      <c r="Q546" s="78"/>
      <c r="R546" s="78"/>
      <c r="S546" s="145"/>
      <c r="T546" s="78"/>
      <c r="U546" s="101"/>
    </row>
    <row r="547" spans="1:21" ht="12.75">
      <c r="A547" s="97"/>
      <c r="B547" s="78">
        <v>1</v>
      </c>
      <c r="C547" s="78" t="str">
        <f>'Unit tariffs'!B34</f>
        <v>Prepaid meter (Split) 1 phase 59A Unique Mbani</v>
      </c>
      <c r="D547" s="78"/>
      <c r="E547" s="78"/>
      <c r="F547" s="78"/>
      <c r="G547" s="78"/>
      <c r="H547" s="80">
        <v>2084.0248169999995</v>
      </c>
      <c r="I547" s="80">
        <f>VLOOKUP($C547,'Unit tariffs'!$B$21:$F$122,5,FALSE)*$B547</f>
        <v>2171.5538593139995</v>
      </c>
      <c r="J547" s="471" t="e">
        <f>IF(+I547*'Unit tariffs'!#REF!&gt;'Unit tariffs'!#REF!,'Unit tariffs'!#REF!,+I547*'Unit tariffs'!#REF!)</f>
        <v>#REF!</v>
      </c>
      <c r="M547" s="78">
        <v>1</v>
      </c>
      <c r="N547" s="78">
        <f>'Unit tariffs'!M34</f>
        <v>0</v>
      </c>
      <c r="O547" s="78"/>
      <c r="P547" s="78"/>
      <c r="Q547" s="78"/>
      <c r="R547" s="78"/>
      <c r="S547" s="80">
        <v>2084.0248169999995</v>
      </c>
      <c r="T547" s="80">
        <f>VLOOKUP($C547,'Unit tariffs'!$B$21:$F$122,5,FALSE)*$B547</f>
        <v>2171.5538593139995</v>
      </c>
      <c r="U547" s="471" t="e">
        <f>IF(+T547*'Unit tariffs'!#REF!&gt;'Unit tariffs'!#REF!,'Unit tariffs'!#REF!,+T547*'Unit tariffs'!#REF!)</f>
        <v>#REF!</v>
      </c>
    </row>
    <row r="548" spans="1:21" ht="12.75">
      <c r="A548" s="97"/>
      <c r="B548" s="78">
        <v>1</v>
      </c>
      <c r="C548" s="78" t="str">
        <f>'Unit tariffs'!B42</f>
        <v>x 80 A circuit breaker (5kA) - Orange</v>
      </c>
      <c r="D548" s="78"/>
      <c r="E548" s="78"/>
      <c r="F548" s="78"/>
      <c r="G548" s="78"/>
      <c r="H548" s="80">
        <v>180.33804099999998</v>
      </c>
      <c r="I548" s="80">
        <f>VLOOKUP($C548,'Unit tariffs'!$B$21:$F$122,5,FALSE)*$B548</f>
        <v>187.91223872199998</v>
      </c>
      <c r="J548" s="471" t="e">
        <f>IF(+I548*'Unit tariffs'!#REF!&gt;'Unit tariffs'!#REF!,'Unit tariffs'!#REF!,+I548*'Unit tariffs'!#REF!)</f>
        <v>#REF!</v>
      </c>
      <c r="M548" s="78">
        <v>1</v>
      </c>
      <c r="N548" s="78">
        <f>'Unit tariffs'!M42</f>
        <v>0</v>
      </c>
      <c r="O548" s="78"/>
      <c r="P548" s="78"/>
      <c r="Q548" s="78"/>
      <c r="R548" s="78"/>
      <c r="S548" s="80">
        <v>180.33804099999998</v>
      </c>
      <c r="T548" s="80">
        <f>VLOOKUP($C548,'Unit tariffs'!$B$21:$F$122,5,FALSE)*$B548</f>
        <v>187.91223872199998</v>
      </c>
      <c r="U548" s="471" t="e">
        <f>IF(+T548*'Unit tariffs'!#REF!&gt;'Unit tariffs'!#REF!,'Unit tariffs'!#REF!,+T548*'Unit tariffs'!#REF!)</f>
        <v>#REF!</v>
      </c>
    </row>
    <row r="549" spans="1:21" ht="12.75">
      <c r="A549" s="97"/>
      <c r="B549" s="78">
        <v>0</v>
      </c>
      <c r="C549" s="78" t="str">
        <f>'Unit tariffs'!B71</f>
        <v>Cable clamp (Clampex) - K26</v>
      </c>
      <c r="D549" s="78"/>
      <c r="E549" s="78"/>
      <c r="F549" s="78"/>
      <c r="G549" s="78"/>
      <c r="H549" s="80">
        <v>0</v>
      </c>
      <c r="I549" s="80">
        <f>VLOOKUP($C549,'Unit tariffs'!$B$21:$F$122,5,FALSE)*$B549</f>
        <v>0</v>
      </c>
      <c r="J549" s="471" t="e">
        <f>IF(+I549*'Unit tariffs'!#REF!&gt;'Unit tariffs'!#REF!,'Unit tariffs'!#REF!,+I549*'Unit tariffs'!#REF!)</f>
        <v>#REF!</v>
      </c>
      <c r="M549" s="78">
        <v>0</v>
      </c>
      <c r="N549" s="78">
        <f>'Unit tariffs'!M71</f>
        <v>0</v>
      </c>
      <c r="O549" s="78"/>
      <c r="P549" s="78"/>
      <c r="Q549" s="78"/>
      <c r="R549" s="78"/>
      <c r="S549" s="80">
        <v>0</v>
      </c>
      <c r="T549" s="80">
        <f>VLOOKUP($C549,'Unit tariffs'!$B$21:$F$122,5,FALSE)*$B549</f>
        <v>0</v>
      </c>
      <c r="U549" s="471" t="e">
        <f>IF(+T549*'Unit tariffs'!#REF!&gt;'Unit tariffs'!#REF!,'Unit tariffs'!#REF!,+T549*'Unit tariffs'!#REF!)</f>
        <v>#REF!</v>
      </c>
    </row>
    <row r="550" spans="1:21" ht="12.75">
      <c r="A550" s="97"/>
      <c r="B550" s="91">
        <v>1</v>
      </c>
      <c r="C550" s="78" t="str">
        <f>'Unit tariffs'!B21</f>
        <v>Installation material</v>
      </c>
      <c r="D550" s="78"/>
      <c r="E550" s="78"/>
      <c r="F550" s="78"/>
      <c r="G550" s="78"/>
      <c r="H550" s="80">
        <v>454.579914</v>
      </c>
      <c r="I550" s="80">
        <f>VLOOKUP($C550,'Unit tariffs'!$B$21:$F$122,5,FALSE)*$B550</f>
        <v>260.5</v>
      </c>
      <c r="J550" s="471" t="e">
        <f>IF(+I550*'Unit tariffs'!#REF!&gt;'Unit tariffs'!#REF!,'Unit tariffs'!#REF!,+I550*'Unit tariffs'!#REF!)</f>
        <v>#REF!</v>
      </c>
      <c r="M550" s="91">
        <v>1</v>
      </c>
      <c r="N550" s="78">
        <f>'Unit tariffs'!M21</f>
        <v>0</v>
      </c>
      <c r="O550" s="78"/>
      <c r="P550" s="78"/>
      <c r="Q550" s="78"/>
      <c r="R550" s="78"/>
      <c r="S550" s="80">
        <v>454.579914</v>
      </c>
      <c r="T550" s="80">
        <f>VLOOKUP($C550,'Unit tariffs'!$B$21:$F$122,5,FALSE)*$B550</f>
        <v>260.5</v>
      </c>
      <c r="U550" s="471" t="e">
        <f>IF(+T550*'Unit tariffs'!#REF!&gt;'Unit tariffs'!#REF!,'Unit tariffs'!#REF!,+T550*'Unit tariffs'!#REF!)</f>
        <v>#REF!</v>
      </c>
    </row>
    <row r="551" spans="1:21" ht="12.75">
      <c r="A551" s="97"/>
      <c r="B551" s="91">
        <v>0</v>
      </c>
      <c r="C551" s="78" t="str">
        <f>'Unit tariffs'!B37</f>
        <v> Rural household meter box</v>
      </c>
      <c r="D551" s="78"/>
      <c r="E551" s="78"/>
      <c r="F551" s="78"/>
      <c r="G551" s="78"/>
      <c r="H551" s="80">
        <v>0</v>
      </c>
      <c r="I551" s="80">
        <f>VLOOKUP($C551,'Unit tariffs'!$B$21:$F$122,5,FALSE)*$B551</f>
        <v>0</v>
      </c>
      <c r="J551" s="471" t="e">
        <f>IF(+I551*'Unit tariffs'!#REF!&gt;'Unit tariffs'!#REF!,'Unit tariffs'!#REF!,+I551*'Unit tariffs'!#REF!)</f>
        <v>#REF!</v>
      </c>
      <c r="M551" s="91">
        <v>0</v>
      </c>
      <c r="N551" s="78">
        <f>'Unit tariffs'!M37</f>
        <v>0</v>
      </c>
      <c r="O551" s="78"/>
      <c r="P551" s="78"/>
      <c r="Q551" s="78"/>
      <c r="R551" s="78"/>
      <c r="S551" s="80">
        <v>0</v>
      </c>
      <c r="T551" s="80">
        <f>VLOOKUP($C551,'Unit tariffs'!$B$21:$F$122,5,FALSE)*$B551</f>
        <v>0</v>
      </c>
      <c r="U551" s="471" t="e">
        <f>IF(+T551*'Unit tariffs'!#REF!&gt;'Unit tariffs'!#REF!,'Unit tariffs'!#REF!,+T551*'Unit tariffs'!#REF!)</f>
        <v>#REF!</v>
      </c>
    </row>
    <row r="552" spans="1:21" ht="12.75">
      <c r="A552" s="97"/>
      <c r="B552" s="91">
        <v>0</v>
      </c>
      <c r="C552" s="78" t="str">
        <f>'Unit tariffs'!B61</f>
        <v>3m Pole for rural box</v>
      </c>
      <c r="D552" s="78"/>
      <c r="E552" s="78"/>
      <c r="F552" s="78"/>
      <c r="G552" s="78"/>
      <c r="H552" s="80">
        <v>0</v>
      </c>
      <c r="I552" s="80">
        <f>VLOOKUP($C552,'Unit tariffs'!$B$21:$F$122,5,FALSE)*$B552</f>
        <v>0</v>
      </c>
      <c r="J552" s="471" t="e">
        <f>IF(+I552*'Unit tariffs'!#REF!&gt;'Unit tariffs'!#REF!,'Unit tariffs'!#REF!,+I552*'Unit tariffs'!#REF!)</f>
        <v>#REF!</v>
      </c>
      <c r="M552" s="91">
        <v>0</v>
      </c>
      <c r="N552" s="78">
        <f>'Unit tariffs'!M61</f>
        <v>0</v>
      </c>
      <c r="O552" s="78"/>
      <c r="P552" s="78"/>
      <c r="Q552" s="78"/>
      <c r="R552" s="78"/>
      <c r="S552" s="80">
        <v>0</v>
      </c>
      <c r="T552" s="80">
        <f>VLOOKUP($C552,'Unit tariffs'!$B$21:$F$122,5,FALSE)*$B552</f>
        <v>0</v>
      </c>
      <c r="U552" s="471" t="e">
        <f>IF(+T552*'Unit tariffs'!#REF!&gt;'Unit tariffs'!#REF!,'Unit tariffs'!#REF!,+T552*'Unit tariffs'!#REF!)</f>
        <v>#REF!</v>
      </c>
    </row>
    <row r="553" spans="1:21" ht="12.75">
      <c r="A553" s="97"/>
      <c r="B553" s="91">
        <v>0</v>
      </c>
      <c r="C553" s="78" t="str">
        <f>'Unit tariffs'!B55</f>
        <v>m 16 mm x 4 Cu cable</v>
      </c>
      <c r="D553" s="78"/>
      <c r="E553" s="78"/>
      <c r="F553" s="78"/>
      <c r="G553" s="78"/>
      <c r="H553" s="80">
        <v>0</v>
      </c>
      <c r="I553" s="80">
        <f>VLOOKUP($C553,'Unit tariffs'!$B$21:$F$122,5,FALSE)*$B553</f>
        <v>0</v>
      </c>
      <c r="J553" s="471" t="e">
        <f>IF(+I553*'Unit tariffs'!#REF!&gt;'Unit tariffs'!#REF!,'Unit tariffs'!#REF!,+I553*'Unit tariffs'!#REF!)</f>
        <v>#REF!</v>
      </c>
      <c r="M553" s="91">
        <v>0</v>
      </c>
      <c r="N553" s="78">
        <f>'Unit tariffs'!M55</f>
        <v>0</v>
      </c>
      <c r="O553" s="78"/>
      <c r="P553" s="78"/>
      <c r="Q553" s="78"/>
      <c r="R553" s="78"/>
      <c r="S553" s="80">
        <v>0</v>
      </c>
      <c r="T553" s="80">
        <f>VLOOKUP($C553,'Unit tariffs'!$B$21:$F$122,5,FALSE)*$B553</f>
        <v>0</v>
      </c>
      <c r="U553" s="471" t="e">
        <f>IF(+T553*'Unit tariffs'!#REF!&gt;'Unit tariffs'!#REF!,'Unit tariffs'!#REF!,+T553*'Unit tariffs'!#REF!)</f>
        <v>#REF!</v>
      </c>
    </row>
    <row r="554" spans="1:21" ht="12.75">
      <c r="A554" s="97"/>
      <c r="B554" s="91">
        <v>0</v>
      </c>
      <c r="C554" s="78" t="str">
        <f>'Unit tariffs'!B43</f>
        <v>x 100 A circuit breaker</v>
      </c>
      <c r="D554" s="78"/>
      <c r="E554" s="78"/>
      <c r="F554" s="78"/>
      <c r="G554" s="78"/>
      <c r="H554" s="80">
        <v>0</v>
      </c>
      <c r="I554" s="80">
        <f>VLOOKUP($C554,'Unit tariffs'!$B$21:$F$122,5,FALSE)*$B554</f>
        <v>0</v>
      </c>
      <c r="J554" s="471" t="e">
        <f>IF(+I554*'Unit tariffs'!#REF!&gt;'Unit tariffs'!#REF!,'Unit tariffs'!#REF!,+I554*'Unit tariffs'!#REF!)</f>
        <v>#REF!</v>
      </c>
      <c r="M554" s="91">
        <v>0</v>
      </c>
      <c r="N554" s="78">
        <f>'Unit tariffs'!M43</f>
        <v>0</v>
      </c>
      <c r="O554" s="78"/>
      <c r="P554" s="78"/>
      <c r="Q554" s="78"/>
      <c r="R554" s="78"/>
      <c r="S554" s="80">
        <v>0</v>
      </c>
      <c r="T554" s="80">
        <f>VLOOKUP($C554,'Unit tariffs'!$B$21:$F$122,5,FALSE)*$B554</f>
        <v>0</v>
      </c>
      <c r="U554" s="471" t="e">
        <f>IF(+T554*'Unit tariffs'!#REF!&gt;'Unit tariffs'!#REF!,'Unit tariffs'!#REF!,+T554*'Unit tariffs'!#REF!)</f>
        <v>#REF!</v>
      </c>
    </row>
    <row r="555" spans="1:21" ht="12.75">
      <c r="A555" s="97"/>
      <c r="B555" s="91">
        <v>0</v>
      </c>
      <c r="C555" s="78" t="str">
        <f>'Unit tariffs'!B60</f>
        <v>SPB1 Pole box</v>
      </c>
      <c r="D555" s="78"/>
      <c r="E555" s="78"/>
      <c r="F555" s="78"/>
      <c r="G555" s="78"/>
      <c r="H555" s="80">
        <v>0</v>
      </c>
      <c r="I555" s="80">
        <f>VLOOKUP($C555,'Unit tariffs'!$B$21:$F$122,5,FALSE)*$B555</f>
        <v>0</v>
      </c>
      <c r="J555" s="471" t="e">
        <f>IF(+I555*'Unit tariffs'!#REF!&gt;'Unit tariffs'!#REF!,'Unit tariffs'!#REF!,+I555*'Unit tariffs'!#REF!)</f>
        <v>#REF!</v>
      </c>
      <c r="M555" s="91">
        <v>0</v>
      </c>
      <c r="N555" s="78">
        <f>'Unit tariffs'!M60</f>
        <v>0</v>
      </c>
      <c r="O555" s="78"/>
      <c r="P555" s="78"/>
      <c r="Q555" s="78"/>
      <c r="R555" s="78"/>
      <c r="S555" s="80">
        <v>0</v>
      </c>
      <c r="T555" s="80">
        <f>VLOOKUP($C555,'Unit tariffs'!$B$21:$F$122,5,FALSE)*$B555</f>
        <v>0</v>
      </c>
      <c r="U555" s="471" t="e">
        <f>IF(+T555*'Unit tariffs'!#REF!&gt;'Unit tariffs'!#REF!,'Unit tariffs'!#REF!,+T555*'Unit tariffs'!#REF!)</f>
        <v>#REF!</v>
      </c>
    </row>
    <row r="556" spans="1:21" ht="12.75">
      <c r="A556" s="97"/>
      <c r="B556" s="91">
        <v>0</v>
      </c>
      <c r="C556" s="78" t="str">
        <f>'Unit tariffs'!B49</f>
        <v>Gland (Pratley No1)</v>
      </c>
      <c r="D556" s="78"/>
      <c r="E556" s="78"/>
      <c r="F556" s="78"/>
      <c r="G556" s="78"/>
      <c r="H556" s="87">
        <v>0</v>
      </c>
      <c r="I556" s="87">
        <f>VLOOKUP($C556,'Unit tariffs'!$B$21:$F$122,5,FALSE)*$B556</f>
        <v>0</v>
      </c>
      <c r="J556" s="471" t="e">
        <f>IF(+I556*'Unit tariffs'!#REF!&gt;'Unit tariffs'!#REF!,'Unit tariffs'!#REF!,+I556*'Unit tariffs'!#REF!)</f>
        <v>#REF!</v>
      </c>
      <c r="M556" s="91">
        <v>0</v>
      </c>
      <c r="N556" s="78">
        <f>'Unit tariffs'!M49</f>
        <v>0</v>
      </c>
      <c r="O556" s="78"/>
      <c r="P556" s="78"/>
      <c r="Q556" s="78"/>
      <c r="R556" s="78"/>
      <c r="S556" s="87">
        <v>0</v>
      </c>
      <c r="T556" s="87">
        <f>VLOOKUP($C556,'Unit tariffs'!$B$21:$F$122,5,FALSE)*$B556</f>
        <v>0</v>
      </c>
      <c r="U556" s="471" t="e">
        <f>IF(+T556*'Unit tariffs'!#REF!&gt;'Unit tariffs'!#REF!,'Unit tariffs'!#REF!,+T556*'Unit tariffs'!#REF!)</f>
        <v>#REF!</v>
      </c>
    </row>
    <row r="557" spans="1:21" ht="12.75">
      <c r="A557" s="97"/>
      <c r="B557" s="78"/>
      <c r="C557" s="78"/>
      <c r="D557" s="78"/>
      <c r="E557" s="78"/>
      <c r="F557" s="78"/>
      <c r="G557" s="78"/>
      <c r="H557" s="80">
        <f>SUM(H547:H556)</f>
        <v>2718.9427719999994</v>
      </c>
      <c r="I557" s="80">
        <f>SUM(I547:I556)</f>
        <v>2619.9660980359995</v>
      </c>
      <c r="J557" s="111"/>
      <c r="M557" s="78"/>
      <c r="N557" s="78"/>
      <c r="O557" s="78"/>
      <c r="P557" s="78"/>
      <c r="Q557" s="78"/>
      <c r="R557" s="78"/>
      <c r="S557" s="80">
        <f>SUM(S547:S556)</f>
        <v>2718.9427719999994</v>
      </c>
      <c r="T557" s="80">
        <f>SUM(T547:T556)</f>
        <v>2619.9660980359995</v>
      </c>
      <c r="U557" s="111"/>
    </row>
    <row r="558" spans="1:21" ht="12.75">
      <c r="A558" s="97"/>
      <c r="B558" s="110" t="s">
        <v>42</v>
      </c>
      <c r="C558" s="78"/>
      <c r="D558" s="78"/>
      <c r="E558" s="78"/>
      <c r="F558" s="78"/>
      <c r="G558" s="80"/>
      <c r="H558" s="78"/>
      <c r="I558" s="78"/>
      <c r="J558" s="101"/>
      <c r="M558" s="110" t="s">
        <v>42</v>
      </c>
      <c r="N558" s="78"/>
      <c r="O558" s="78"/>
      <c r="P558" s="78"/>
      <c r="Q558" s="78"/>
      <c r="R558" s="80"/>
      <c r="S558" s="78"/>
      <c r="T558" s="78"/>
      <c r="U558" s="101"/>
    </row>
    <row r="559" spans="1:21" ht="12.75">
      <c r="A559" s="97"/>
      <c r="B559" s="78"/>
      <c r="C559" s="78"/>
      <c r="D559" s="78"/>
      <c r="E559" s="78"/>
      <c r="F559" s="78"/>
      <c r="G559" s="78"/>
      <c r="H559" s="78"/>
      <c r="I559" s="78"/>
      <c r="J559" s="101"/>
      <c r="M559" s="78"/>
      <c r="N559" s="78"/>
      <c r="O559" s="78"/>
      <c r="P559" s="78"/>
      <c r="Q559" s="78"/>
      <c r="R559" s="78"/>
      <c r="S559" s="78"/>
      <c r="T559" s="78"/>
      <c r="U559" s="101"/>
    </row>
    <row r="560" spans="1:21" ht="12.75">
      <c r="A560" s="97"/>
      <c r="B560" s="78">
        <v>2</v>
      </c>
      <c r="C560" s="78" t="str">
        <f>'Unit tariffs'!B$86</f>
        <v>hour-artisan </v>
      </c>
      <c r="D560" s="78"/>
      <c r="E560" s="78"/>
      <c r="F560" s="78"/>
      <c r="G560" s="78"/>
      <c r="H560" s="80">
        <f>720.234930253385</f>
        <v>720.234930253385</v>
      </c>
      <c r="I560" s="80">
        <f>VLOOKUP($C560,'Unit tariffs'!$B$21:$F$122,5,FALSE)*$B560</f>
        <v>645.7044634615385</v>
      </c>
      <c r="J560" s="111"/>
      <c r="M560" s="78">
        <v>2</v>
      </c>
      <c r="N560" s="78">
        <f>'Unit tariffs'!M$86</f>
        <v>0</v>
      </c>
      <c r="O560" s="78"/>
      <c r="P560" s="78"/>
      <c r="Q560" s="78"/>
      <c r="R560" s="78"/>
      <c r="S560" s="80">
        <f>720.234930253385</f>
        <v>720.234930253385</v>
      </c>
      <c r="T560" s="80">
        <f>VLOOKUP($C560,'Unit tariffs'!$B$21:$F$122,5,FALSE)*$B560</f>
        <v>645.7044634615385</v>
      </c>
      <c r="U560" s="111"/>
    </row>
    <row r="561" spans="1:21" ht="12.75">
      <c r="A561" s="97"/>
      <c r="B561" s="78">
        <v>8</v>
      </c>
      <c r="C561" s="78" t="str">
        <f>'Unit tariffs'!B$84</f>
        <v>hour-artisan assistant</v>
      </c>
      <c r="D561" s="78"/>
      <c r="E561" s="78"/>
      <c r="F561" s="78"/>
      <c r="G561" s="78"/>
      <c r="H561" s="87">
        <f>636.824447387446</f>
        <v>636.824447387446</v>
      </c>
      <c r="I561" s="87">
        <f>VLOOKUP($C561,'Unit tariffs'!$B$21:$F$122,5,FALSE)*$B561</f>
        <v>1028.2864615384617</v>
      </c>
      <c r="J561" s="111"/>
      <c r="M561" s="78">
        <v>8</v>
      </c>
      <c r="N561" s="78">
        <f>'Unit tariffs'!M$84</f>
        <v>263077.2</v>
      </c>
      <c r="O561" s="78"/>
      <c r="P561" s="78"/>
      <c r="Q561" s="78"/>
      <c r="R561" s="78"/>
      <c r="S561" s="87">
        <f>636.824447387446</f>
        <v>636.824447387446</v>
      </c>
      <c r="T561" s="87">
        <f>VLOOKUP($C561,'Unit tariffs'!$B$21:$F$122,5,FALSE)*$B561</f>
        <v>1028.2864615384617</v>
      </c>
      <c r="U561" s="111"/>
    </row>
    <row r="562" spans="1:22" ht="12.75">
      <c r="A562" s="97"/>
      <c r="B562" s="78"/>
      <c r="C562" s="78"/>
      <c r="D562" s="78"/>
      <c r="E562" s="78"/>
      <c r="F562" s="78"/>
      <c r="G562" s="78"/>
      <c r="H562" s="80">
        <f>SUM(H560:H561)</f>
        <v>1357.059377640831</v>
      </c>
      <c r="I562" s="80">
        <f>SUM(I560:I561)</f>
        <v>1673.990925</v>
      </c>
      <c r="J562" s="111"/>
      <c r="K562" s="121"/>
      <c r="M562" s="78"/>
      <c r="N562" s="78"/>
      <c r="O562" s="78"/>
      <c r="P562" s="78"/>
      <c r="Q562" s="78"/>
      <c r="R562" s="78"/>
      <c r="S562" s="80">
        <f>SUM(S560:S561)</f>
        <v>1357.059377640831</v>
      </c>
      <c r="T562" s="80">
        <f>SUM(T560:T561)</f>
        <v>1673.990925</v>
      </c>
      <c r="U562" s="111"/>
      <c r="V562" s="121"/>
    </row>
    <row r="563" spans="1:22" ht="12.75">
      <c r="A563" s="97"/>
      <c r="B563" s="110" t="s">
        <v>43</v>
      </c>
      <c r="C563" s="78"/>
      <c r="D563" s="91"/>
      <c r="E563" s="78"/>
      <c r="F563" s="78"/>
      <c r="G563" s="78"/>
      <c r="H563" s="78"/>
      <c r="I563" s="78"/>
      <c r="J563" s="101"/>
      <c r="K563" s="121"/>
      <c r="M563" s="110" t="s">
        <v>43</v>
      </c>
      <c r="N563" s="78"/>
      <c r="O563" s="91"/>
      <c r="P563" s="78"/>
      <c r="Q563" s="78"/>
      <c r="R563" s="78"/>
      <c r="S563" s="78"/>
      <c r="T563" s="78"/>
      <c r="U563" s="101"/>
      <c r="V563" s="121"/>
    </row>
    <row r="564" spans="1:22" ht="12.75">
      <c r="A564" s="97"/>
      <c r="B564" s="78"/>
      <c r="C564" s="78"/>
      <c r="D564" s="78"/>
      <c r="E564" s="78"/>
      <c r="F564" s="78"/>
      <c r="G564" s="78"/>
      <c r="H564" s="78"/>
      <c r="I564" s="78"/>
      <c r="J564" s="101"/>
      <c r="K564" s="121"/>
      <c r="M564" s="78"/>
      <c r="N564" s="78"/>
      <c r="O564" s="78"/>
      <c r="P564" s="78"/>
      <c r="Q564" s="78"/>
      <c r="R564" s="78"/>
      <c r="S564" s="78"/>
      <c r="T564" s="78"/>
      <c r="U564" s="101"/>
      <c r="V564" s="121"/>
    </row>
    <row r="565" spans="1:22" ht="12.75">
      <c r="A565" s="97"/>
      <c r="B565" s="78">
        <v>30</v>
      </c>
      <c r="C565" s="78" t="str">
        <f>'Unit tariffs'!B$110</f>
        <v>km-truck with platform</v>
      </c>
      <c r="D565" s="78"/>
      <c r="E565" s="78"/>
      <c r="F565" s="78"/>
      <c r="G565" s="78"/>
      <c r="H565" s="80">
        <f>973.9707276*B560</f>
        <v>1947.9414552</v>
      </c>
      <c r="I565" s="80">
        <f>VLOOKUP($C565,'Unit tariffs'!$B$21:$F$122,5,FALSE)*$B565</f>
        <v>1212.682441720518</v>
      </c>
      <c r="J565" s="111"/>
      <c r="K565" s="121"/>
      <c r="M565" s="78">
        <v>30</v>
      </c>
      <c r="N565" s="78" t="str">
        <f>'Unit tariffs'!M$110</f>
        <v>m</v>
      </c>
      <c r="O565" s="78"/>
      <c r="P565" s="78"/>
      <c r="Q565" s="78"/>
      <c r="R565" s="78"/>
      <c r="S565" s="80">
        <f>973.9707276*M560</f>
        <v>1947.9414552</v>
      </c>
      <c r="T565" s="80">
        <f>VLOOKUP($C565,'Unit tariffs'!$B$21:$F$122,5,FALSE)*$B565</f>
        <v>1212.682441720518</v>
      </c>
      <c r="U565" s="111"/>
      <c r="V565" s="121"/>
    </row>
    <row r="566" spans="1:22" ht="12.75">
      <c r="A566" s="97"/>
      <c r="B566" s="78">
        <f>+B560</f>
        <v>2</v>
      </c>
      <c r="C566" s="78" t="str">
        <f>'Unit tariffs'!B$111</f>
        <v>hour-truck with platform</v>
      </c>
      <c r="D566" s="78"/>
      <c r="E566" s="78"/>
      <c r="F566" s="78"/>
      <c r="G566" s="78"/>
      <c r="H566" s="87">
        <f>670.45004*B566</f>
        <v>1340.90008</v>
      </c>
      <c r="I566" s="87">
        <f>VLOOKUP($C566,'Unit tariffs'!$B$21:$F$122,5,FALSE)*$B566</f>
        <v>393.4441791011</v>
      </c>
      <c r="J566" s="111"/>
      <c r="K566" s="121"/>
      <c r="M566" s="78">
        <f>+M560</f>
        <v>2</v>
      </c>
      <c r="N566" s="78" t="str">
        <f>'Unit tariffs'!M$111</f>
        <v>m</v>
      </c>
      <c r="O566" s="78"/>
      <c r="P566" s="78"/>
      <c r="Q566" s="78"/>
      <c r="R566" s="78"/>
      <c r="S566" s="87">
        <f>670.45004*M566</f>
        <v>1340.90008</v>
      </c>
      <c r="T566" s="87">
        <f>VLOOKUP($C566,'Unit tariffs'!$B$21:$F$122,5,FALSE)*$B566</f>
        <v>393.4441791011</v>
      </c>
      <c r="U566" s="111"/>
      <c r="V566" s="121"/>
    </row>
    <row r="567" spans="1:22" ht="13.5" thickBot="1">
      <c r="A567" s="97"/>
      <c r="B567" s="78"/>
      <c r="C567" s="78"/>
      <c r="D567" s="78"/>
      <c r="E567" s="78"/>
      <c r="F567" s="78"/>
      <c r="G567" s="78"/>
      <c r="H567" s="113">
        <f>SUM(H565:H566)</f>
        <v>3288.8415352</v>
      </c>
      <c r="I567" s="113">
        <f>SUM(I565:I566)</f>
        <v>1606.126620821618</v>
      </c>
      <c r="J567" s="111"/>
      <c r="K567" s="121"/>
      <c r="M567" s="78"/>
      <c r="N567" s="78"/>
      <c r="O567" s="78"/>
      <c r="P567" s="78"/>
      <c r="Q567" s="78"/>
      <c r="R567" s="78"/>
      <c r="S567" s="113">
        <f>SUM(S565:S566)</f>
        <v>3288.8415352</v>
      </c>
      <c r="T567" s="113">
        <f>SUM(T565:T566)</f>
        <v>1606.126620821618</v>
      </c>
      <c r="U567" s="111"/>
      <c r="V567" s="121"/>
    </row>
    <row r="568" spans="1:21" ht="13.5" thickTop="1">
      <c r="A568" s="97"/>
      <c r="B568" s="78"/>
      <c r="C568" s="78"/>
      <c r="D568" s="78"/>
      <c r="E568" s="78"/>
      <c r="F568" s="78"/>
      <c r="G568" s="78"/>
      <c r="H568" s="80">
        <f>+H567+H562+H557+H542</f>
        <v>32736.81868484083</v>
      </c>
      <c r="I568" s="80">
        <f>+I567+I562+I557+I542</f>
        <v>33809.256143857616</v>
      </c>
      <c r="J568" s="111"/>
      <c r="M568" s="78"/>
      <c r="N568" s="78"/>
      <c r="O568" s="78"/>
      <c r="P568" s="78"/>
      <c r="Q568" s="78"/>
      <c r="R568" s="78"/>
      <c r="S568" s="80">
        <f>+S567+S562+S557+S542</f>
        <v>7364.84368484083</v>
      </c>
      <c r="T568" s="80">
        <f>+T567+T562+T557+T542</f>
        <v>15203.141143857618</v>
      </c>
      <c r="U568" s="111"/>
    </row>
    <row r="569" spans="1:21" ht="13.5" thickBot="1">
      <c r="A569" s="97"/>
      <c r="B569" s="110" t="str">
        <f>'Unit tariffs'!$B$7</f>
        <v>Administration Levy (Indirect Cost)</v>
      </c>
      <c r="C569" s="78"/>
      <c r="D569" s="112">
        <f>'Unit tariffs'!$C$7</f>
        <v>0.1</v>
      </c>
      <c r="E569" s="78" t="s">
        <v>312</v>
      </c>
      <c r="F569" s="196">
        <f>+'Unit tariffs'!$F$7</f>
        <v>10000</v>
      </c>
      <c r="G569" s="78" t="s">
        <v>44</v>
      </c>
      <c r="H569" s="114">
        <f>H568*0.2636</f>
        <v>8629.425405324042</v>
      </c>
      <c r="I569" s="114">
        <f>IF(I568*$D569&gt;='Unit tariffs'!$E$7,'Unit tariffs'!$E$7,I568*$D569)</f>
        <v>3380.925614385762</v>
      </c>
      <c r="J569" s="111"/>
      <c r="M569" s="110" t="str">
        <f>'Unit tariffs'!$B$7</f>
        <v>Administration Levy (Indirect Cost)</v>
      </c>
      <c r="N569" s="78"/>
      <c r="O569" s="112">
        <f>'Unit tariffs'!$C$7</f>
        <v>0.1</v>
      </c>
      <c r="P569" s="78" t="s">
        <v>312</v>
      </c>
      <c r="Q569" s="196">
        <f>+'Unit tariffs'!$F$7</f>
        <v>10000</v>
      </c>
      <c r="R569" s="78" t="s">
        <v>44</v>
      </c>
      <c r="S569" s="114">
        <f>S568*0.2636</f>
        <v>1941.3727953240427</v>
      </c>
      <c r="T569" s="114">
        <f>IF(T568*$D569&gt;='Unit tariffs'!$E$7,'Unit tariffs'!$E$7,T568*$D569)</f>
        <v>1520.314114385762</v>
      </c>
      <c r="U569" s="111"/>
    </row>
    <row r="570" spans="1:21" ht="13.5" thickTop="1">
      <c r="A570" s="97"/>
      <c r="B570" s="110" t="s">
        <v>44</v>
      </c>
      <c r="C570" s="78"/>
      <c r="D570" s="78"/>
      <c r="E570" s="78"/>
      <c r="F570" s="78"/>
      <c r="G570" s="80"/>
      <c r="H570" s="115">
        <f>SUM(H568:H569)</f>
        <v>41366.24409016487</v>
      </c>
      <c r="I570" s="115">
        <f>SUM(I568:I569)</f>
        <v>37190.18175824338</v>
      </c>
      <c r="J570" s="111"/>
      <c r="M570" s="110" t="s">
        <v>44</v>
      </c>
      <c r="N570" s="78"/>
      <c r="O570" s="78"/>
      <c r="P570" s="78"/>
      <c r="Q570" s="78"/>
      <c r="R570" s="80"/>
      <c r="S570" s="115">
        <f>SUM(S568:S569)</f>
        <v>9306.216480164872</v>
      </c>
      <c r="T570" s="115">
        <f>SUM(T568:T569)</f>
        <v>16723.45525824338</v>
      </c>
      <c r="U570" s="111"/>
    </row>
    <row r="571" spans="1:21" ht="12.75">
      <c r="A571" s="97"/>
      <c r="B571" s="110"/>
      <c r="C571" s="78"/>
      <c r="D571" s="78"/>
      <c r="E571" s="78"/>
      <c r="F571" s="78"/>
      <c r="G571" s="80"/>
      <c r="H571" s="80"/>
      <c r="I571" s="80"/>
      <c r="J571" s="111"/>
      <c r="M571" s="110"/>
      <c r="N571" s="78"/>
      <c r="O571" s="78"/>
      <c r="P571" s="78"/>
      <c r="Q571" s="78"/>
      <c r="R571" s="80"/>
      <c r="S571" s="80"/>
      <c r="T571" s="80"/>
      <c r="U571" s="111"/>
    </row>
    <row r="572" spans="1:21" ht="12.75">
      <c r="A572" s="97"/>
      <c r="B572" s="110" t="s">
        <v>45</v>
      </c>
      <c r="C572" s="78"/>
      <c r="D572" s="78"/>
      <c r="E572" s="78"/>
      <c r="F572" s="78"/>
      <c r="G572" s="80"/>
      <c r="H572" s="90">
        <f>ROUND(H570,-1)</f>
        <v>41370</v>
      </c>
      <c r="I572" s="90">
        <f>ROUND(I570,-1)</f>
        <v>37190</v>
      </c>
      <c r="J572" s="116"/>
      <c r="M572" s="110" t="s">
        <v>45</v>
      </c>
      <c r="N572" s="78"/>
      <c r="O572" s="78"/>
      <c r="P572" s="78"/>
      <c r="Q572" s="78"/>
      <c r="R572" s="80"/>
      <c r="S572" s="90">
        <f>ROUND(S570,-1)</f>
        <v>9310</v>
      </c>
      <c r="T572" s="90">
        <f>ROUND(T570,-1)</f>
        <v>16720</v>
      </c>
      <c r="U572" s="116"/>
    </row>
    <row r="573" spans="1:21" ht="12.75">
      <c r="A573" s="97"/>
      <c r="B573" s="110"/>
      <c r="C573" s="78"/>
      <c r="D573" s="78"/>
      <c r="E573" s="78"/>
      <c r="F573" s="78"/>
      <c r="G573" s="80"/>
      <c r="H573" s="90"/>
      <c r="I573" s="90"/>
      <c r="J573" s="116"/>
      <c r="M573" s="110"/>
      <c r="N573" s="78"/>
      <c r="O573" s="78"/>
      <c r="P573" s="78"/>
      <c r="Q573" s="78"/>
      <c r="R573" s="80"/>
      <c r="S573" s="90"/>
      <c r="T573" s="90"/>
      <c r="U573" s="116"/>
    </row>
    <row r="574" spans="1:21" ht="12.75">
      <c r="A574" s="97"/>
      <c r="B574" s="78"/>
      <c r="C574" s="78"/>
      <c r="D574" s="78"/>
      <c r="E574" s="78"/>
      <c r="F574" s="78"/>
      <c r="G574" s="78"/>
      <c r="H574" s="118">
        <v>0.03818301514154049</v>
      </c>
      <c r="I574" s="118">
        <f>(I572-H572)/H572</f>
        <v>-0.10103940053178632</v>
      </c>
      <c r="J574" s="116"/>
      <c r="M574" s="78"/>
      <c r="N574" s="78"/>
      <c r="O574" s="78"/>
      <c r="P574" s="78"/>
      <c r="Q574" s="78"/>
      <c r="R574" s="78"/>
      <c r="S574" s="118">
        <v>0.03818301514154049</v>
      </c>
      <c r="T574" s="118">
        <f>(T572-S572)/S572</f>
        <v>0.7959183673469388</v>
      </c>
      <c r="U574" s="116"/>
    </row>
    <row r="575" spans="1:21" ht="12.75">
      <c r="A575" s="97"/>
      <c r="B575" s="110"/>
      <c r="C575" s="78"/>
      <c r="D575" s="78"/>
      <c r="E575" s="78"/>
      <c r="F575" s="78"/>
      <c r="G575" s="80"/>
      <c r="H575" s="90"/>
      <c r="I575" s="90"/>
      <c r="J575" s="116"/>
      <c r="M575" s="110"/>
      <c r="N575" s="78"/>
      <c r="O575" s="78"/>
      <c r="P575" s="78"/>
      <c r="Q575" s="78"/>
      <c r="R575" s="80"/>
      <c r="S575" s="90"/>
      <c r="T575" s="90"/>
      <c r="U575" s="116"/>
    </row>
    <row r="576" spans="1:10" ht="12.75">
      <c r="A576" s="97"/>
      <c r="B576" s="110"/>
      <c r="C576" s="78"/>
      <c r="D576" s="78"/>
      <c r="E576" s="78"/>
      <c r="F576" s="78"/>
      <c r="G576" s="80"/>
      <c r="H576" s="90"/>
      <c r="I576" s="90"/>
      <c r="J576" s="116"/>
    </row>
    <row r="577" spans="1:21" ht="63.75">
      <c r="A577" s="97"/>
      <c r="B577" s="820" t="s">
        <v>636</v>
      </c>
      <c r="C577" s="821"/>
      <c r="D577" s="821"/>
      <c r="E577" s="821"/>
      <c r="F577" s="821"/>
      <c r="G577" s="822"/>
      <c r="H577" s="78"/>
      <c r="I577" s="140" t="s">
        <v>628</v>
      </c>
      <c r="J577" s="101"/>
      <c r="M577" s="820" t="s">
        <v>236</v>
      </c>
      <c r="N577" s="821"/>
      <c r="O577" s="821"/>
      <c r="P577" s="821"/>
      <c r="Q577" s="821"/>
      <c r="R577" s="822"/>
      <c r="S577" s="78"/>
      <c r="T577" s="140" t="s">
        <v>243</v>
      </c>
      <c r="U577" s="101"/>
    </row>
    <row r="578" spans="1:21" ht="12.75">
      <c r="A578" s="97"/>
      <c r="B578" s="78"/>
      <c r="C578" s="78"/>
      <c r="D578" s="78"/>
      <c r="E578" s="78"/>
      <c r="F578" s="78"/>
      <c r="G578" s="78"/>
      <c r="H578" s="109" t="str">
        <f>+H$11</f>
        <v>2020/2021</v>
      </c>
      <c r="I578" s="109" t="str">
        <f>+'Unit tariffs'!$F$11</f>
        <v>2021/2022</v>
      </c>
      <c r="J578" s="458" t="s">
        <v>315</v>
      </c>
      <c r="M578" s="78"/>
      <c r="N578" s="78"/>
      <c r="O578" s="78"/>
      <c r="P578" s="78"/>
      <c r="Q578" s="78"/>
      <c r="R578" s="78"/>
      <c r="S578" s="109">
        <f>+S$11</f>
        <v>0</v>
      </c>
      <c r="T578" s="109" t="str">
        <f>+'Unit tariffs'!$F$11</f>
        <v>2021/2022</v>
      </c>
      <c r="U578" s="458" t="s">
        <v>315</v>
      </c>
    </row>
    <row r="579" spans="1:21" ht="12.75">
      <c r="A579" s="97"/>
      <c r="B579" s="78"/>
      <c r="C579" s="78"/>
      <c r="D579" s="78"/>
      <c r="E579" s="78"/>
      <c r="F579" s="78"/>
      <c r="G579" s="78"/>
      <c r="H579" s="145"/>
      <c r="I579" s="78"/>
      <c r="J579" s="101"/>
      <c r="M579" s="78"/>
      <c r="N579" s="78"/>
      <c r="O579" s="78"/>
      <c r="P579" s="78"/>
      <c r="Q579" s="78"/>
      <c r="R579" s="78"/>
      <c r="S579" s="145"/>
      <c r="T579" s="78"/>
      <c r="U579" s="101"/>
    </row>
    <row r="580" spans="1:21" ht="13.5">
      <c r="A580" s="97"/>
      <c r="B580" s="226" t="s">
        <v>117</v>
      </c>
      <c r="C580" s="227"/>
      <c r="D580" s="91"/>
      <c r="E580" s="91"/>
      <c r="F580" s="91"/>
      <c r="G580" s="91"/>
      <c r="H580" s="742"/>
      <c r="I580" s="743"/>
      <c r="J580" s="101"/>
      <c r="M580" s="226" t="s">
        <v>117</v>
      </c>
      <c r="N580" s="227"/>
      <c r="O580" s="91"/>
      <c r="P580" s="91"/>
      <c r="Q580" s="91"/>
      <c r="R580" s="91"/>
      <c r="S580" s="742"/>
      <c r="T580" s="743"/>
      <c r="U580" s="101"/>
    </row>
    <row r="581" spans="1:21" ht="12.75">
      <c r="A581" s="97"/>
      <c r="B581" s="227" t="s">
        <v>118</v>
      </c>
      <c r="C581" s="227"/>
      <c r="D581" s="91"/>
      <c r="E581" s="91"/>
      <c r="F581" s="91"/>
      <c r="G581" s="91"/>
      <c r="H581" s="744"/>
      <c r="I581" s="743"/>
      <c r="J581" s="101"/>
      <c r="M581" s="227" t="s">
        <v>118</v>
      </c>
      <c r="N581" s="227"/>
      <c r="O581" s="91"/>
      <c r="P581" s="91"/>
      <c r="Q581" s="91"/>
      <c r="R581" s="91"/>
      <c r="S581" s="744"/>
      <c r="T581" s="743"/>
      <c r="U581" s="101"/>
    </row>
    <row r="582" spans="1:21" ht="12.75">
      <c r="A582" s="97"/>
      <c r="B582" s="227">
        <v>7.5</v>
      </c>
      <c r="C582" s="227" t="str">
        <f>'Unit tariffs'!B137</f>
        <v>Secondary Backbone - MV Peri Urban</v>
      </c>
      <c r="D582" s="91"/>
      <c r="E582" s="91"/>
      <c r="F582" s="91" t="str">
        <f>'Unit tariffs'!C$131</f>
        <v>per kVA</v>
      </c>
      <c r="G582" s="91"/>
      <c r="H582" s="198">
        <f>'Unit tariffs'!E180*'Calc Sheet 20_21'!B582</f>
        <v>0</v>
      </c>
      <c r="I582" s="198">
        <f>VLOOKUP($C582,'Unit tariffs'!$B$21:$F$157,5,FALSE)*$B582</f>
        <v>7289.287499999999</v>
      </c>
      <c r="J582" s="101"/>
      <c r="M582" s="227">
        <v>2.5</v>
      </c>
      <c r="N582" s="227" t="str">
        <f>C582</f>
        <v>Secondary Backbone - MV Peri Urban</v>
      </c>
      <c r="O582" s="91"/>
      <c r="P582" s="91"/>
      <c r="Q582" s="91" t="s">
        <v>95</v>
      </c>
      <c r="R582" s="91"/>
      <c r="S582" s="198">
        <f>'Unit tariffs'!P180*'Calc Sheet 20_21'!M582</f>
        <v>0</v>
      </c>
      <c r="T582" s="198">
        <f>VLOOKUP($C582,'Unit tariffs'!$B$21:$F$157,5,FALSE)*$M582</f>
        <v>2429.7625</v>
      </c>
      <c r="U582" s="101"/>
    </row>
    <row r="583" spans="1:21" ht="12.75">
      <c r="A583" s="97"/>
      <c r="B583" s="227">
        <v>7.5</v>
      </c>
      <c r="C583" s="227" t="str">
        <f>'Unit tariffs'!B138</f>
        <v>Secondary Backbone - LV Peri Urban</v>
      </c>
      <c r="D583" s="91"/>
      <c r="E583" s="91"/>
      <c r="F583" s="91" t="str">
        <f>'Unit tariffs'!C$132</f>
        <v>per kVA</v>
      </c>
      <c r="G583" s="91"/>
      <c r="H583" s="745">
        <f>'Unit tariffs'!E181*'Calc Sheet 20_21'!B583</f>
        <v>0</v>
      </c>
      <c r="I583" s="745">
        <f>VLOOKUP($C583,'Unit tariffs'!$B$21:$F$157,5,FALSE)*$B583</f>
        <v>11957.880000000001</v>
      </c>
      <c r="J583" s="101"/>
      <c r="M583" s="227">
        <v>2.5</v>
      </c>
      <c r="N583" s="227" t="str">
        <f>C583</f>
        <v>Secondary Backbone - LV Peri Urban</v>
      </c>
      <c r="O583" s="91"/>
      <c r="P583" s="91"/>
      <c r="Q583" s="91" t="s">
        <v>95</v>
      </c>
      <c r="R583" s="91"/>
      <c r="S583" s="745">
        <f>'Unit tariffs'!P181*'Calc Sheet 20_21'!M583</f>
        <v>0</v>
      </c>
      <c r="T583" s="745">
        <f>VLOOKUP($C583,'Unit tariffs'!$B$21:$F$157,5,FALSE)*$M583</f>
        <v>3985.9600000000005</v>
      </c>
      <c r="U583" s="101"/>
    </row>
    <row r="584" spans="1:21" ht="12.75">
      <c r="A584" s="97"/>
      <c r="B584" s="746"/>
      <c r="C584" s="746"/>
      <c r="D584" s="746"/>
      <c r="E584" s="746"/>
      <c r="F584" s="746"/>
      <c r="G584" s="91"/>
      <c r="H584" s="198">
        <f>SUM(H582:H583)</f>
        <v>0</v>
      </c>
      <c r="I584" s="198">
        <f>SUM(I582:I583)</f>
        <v>19247.1675</v>
      </c>
      <c r="J584" s="101"/>
      <c r="M584" s="746"/>
      <c r="N584" s="746"/>
      <c r="O584" s="746"/>
      <c r="P584" s="746"/>
      <c r="Q584" s="746"/>
      <c r="R584" s="91"/>
      <c r="S584" s="198">
        <f>SUM(S582:S583)</f>
        <v>0</v>
      </c>
      <c r="T584" s="198">
        <f>SUM(T582:T583)</f>
        <v>6415.7225</v>
      </c>
      <c r="U584" s="101"/>
    </row>
    <row r="585" spans="1:21" ht="12.75">
      <c r="A585" s="97"/>
      <c r="B585" s="78"/>
      <c r="C585" s="78"/>
      <c r="D585" s="78"/>
      <c r="E585" s="78"/>
      <c r="F585" s="78"/>
      <c r="G585" s="78"/>
      <c r="H585" s="145"/>
      <c r="I585" s="78"/>
      <c r="J585" s="101"/>
      <c r="M585" s="78"/>
      <c r="N585" s="78"/>
      <c r="O585" s="78"/>
      <c r="P585" s="78"/>
      <c r="Q585" s="78"/>
      <c r="R585" s="78"/>
      <c r="S585" s="145"/>
      <c r="T585" s="78"/>
      <c r="U585" s="101"/>
    </row>
    <row r="586" spans="1:21" ht="12.75">
      <c r="A586" s="97"/>
      <c r="B586" s="78"/>
      <c r="C586" s="78"/>
      <c r="D586" s="78"/>
      <c r="E586" s="78"/>
      <c r="F586" s="78"/>
      <c r="G586" s="78"/>
      <c r="H586" s="145"/>
      <c r="I586" s="78"/>
      <c r="J586" s="101"/>
      <c r="M586" s="78"/>
      <c r="N586" s="78"/>
      <c r="O586" s="78"/>
      <c r="P586" s="78"/>
      <c r="Q586" s="78"/>
      <c r="R586" s="78"/>
      <c r="S586" s="145"/>
      <c r="T586" s="78"/>
      <c r="U586" s="101"/>
    </row>
    <row r="587" spans="1:21" ht="12.75">
      <c r="A587" s="97"/>
      <c r="B587" s="78"/>
      <c r="C587" s="78"/>
      <c r="D587" s="78"/>
      <c r="E587" s="78"/>
      <c r="F587" s="78"/>
      <c r="G587" s="78"/>
      <c r="H587" s="145"/>
      <c r="I587" s="78"/>
      <c r="J587" s="101"/>
      <c r="M587" s="78"/>
      <c r="N587" s="78"/>
      <c r="O587" s="78"/>
      <c r="P587" s="78"/>
      <c r="Q587" s="78"/>
      <c r="R587" s="78"/>
      <c r="S587" s="145"/>
      <c r="T587" s="78"/>
      <c r="U587" s="101"/>
    </row>
    <row r="588" spans="1:21" ht="12.75">
      <c r="A588" s="97"/>
      <c r="B588" s="110" t="s">
        <v>41</v>
      </c>
      <c r="C588" s="78"/>
      <c r="D588" s="78"/>
      <c r="E588" s="78"/>
      <c r="F588" s="78"/>
      <c r="G588" s="78"/>
      <c r="H588" s="145"/>
      <c r="I588" s="78"/>
      <c r="J588" s="101"/>
      <c r="M588" s="110" t="s">
        <v>41</v>
      </c>
      <c r="N588" s="78"/>
      <c r="O588" s="78"/>
      <c r="P588" s="78"/>
      <c r="Q588" s="78"/>
      <c r="R588" s="78"/>
      <c r="S588" s="145"/>
      <c r="T588" s="78"/>
      <c r="U588" s="101"/>
    </row>
    <row r="589" spans="1:21" ht="12.75">
      <c r="A589" s="97"/>
      <c r="B589" s="78">
        <v>1</v>
      </c>
      <c r="C589" s="78" t="str">
        <f>'Unit tariffs'!B77</f>
        <v>LABOUR COSTS</v>
      </c>
      <c r="D589" s="78"/>
      <c r="E589" s="78"/>
      <c r="F589" s="78"/>
      <c r="G589" s="78"/>
      <c r="H589" s="80">
        <v>2084.0248169999995</v>
      </c>
      <c r="I589" s="80">
        <f>VLOOKUP($C589,'Unit tariffs'!$B$21:$F$122,5,FALSE)*$B589</f>
        <v>0</v>
      </c>
      <c r="J589" s="471" t="e">
        <f>IF(+I589*'Unit tariffs'!#REF!&gt;'Unit tariffs'!#REF!,'Unit tariffs'!#REF!,+I589*'Unit tariffs'!#REF!)</f>
        <v>#REF!</v>
      </c>
      <c r="M589" s="78">
        <v>1</v>
      </c>
      <c r="N589" s="78" t="str">
        <f>C589</f>
        <v>LABOUR COSTS</v>
      </c>
      <c r="O589" s="78"/>
      <c r="P589" s="78"/>
      <c r="Q589" s="78"/>
      <c r="R589" s="78"/>
      <c r="S589" s="80">
        <v>2084.0248169999995</v>
      </c>
      <c r="T589" s="80">
        <f>VLOOKUP($C589,'Unit tariffs'!$B$21:$F$122,5,FALSE)*$B589</f>
        <v>0</v>
      </c>
      <c r="U589" s="471" t="e">
        <f>IF(+T589*'Unit tariffs'!#REF!&gt;'Unit tariffs'!#REF!,'Unit tariffs'!#REF!,+T589*'Unit tariffs'!#REF!)</f>
        <v>#REF!</v>
      </c>
    </row>
    <row r="590" spans="1:21" ht="12.75">
      <c r="A590" s="97"/>
      <c r="B590" s="78">
        <v>1</v>
      </c>
      <c r="C590" s="78" t="str">
        <f>'Unit tariffs'!B85</f>
        <v>hour-meter assistant</v>
      </c>
      <c r="D590" s="78"/>
      <c r="E590" s="78"/>
      <c r="F590" s="78"/>
      <c r="G590" s="78"/>
      <c r="H590" s="80">
        <v>180.33804099999998</v>
      </c>
      <c r="I590" s="80">
        <f>VLOOKUP($C590,'Unit tariffs'!$B$21:$F$122,5,FALSE)*$B590</f>
        <v>128.5358076923077</v>
      </c>
      <c r="J590" s="471" t="e">
        <f>IF(+I590*'Unit tariffs'!#REF!&gt;'Unit tariffs'!#REF!,'Unit tariffs'!#REF!,+I590*'Unit tariffs'!#REF!)</f>
        <v>#REF!</v>
      </c>
      <c r="M590" s="78">
        <v>1</v>
      </c>
      <c r="N590" s="78" t="str">
        <f aca="true" t="shared" si="1" ref="N590:N598">C590</f>
        <v>hour-meter assistant</v>
      </c>
      <c r="O590" s="78"/>
      <c r="P590" s="78"/>
      <c r="Q590" s="78"/>
      <c r="R590" s="78"/>
      <c r="S590" s="80">
        <v>180.33804099999998</v>
      </c>
      <c r="T590" s="80">
        <f>VLOOKUP($C590,'Unit tariffs'!$B$21:$F$122,5,FALSE)*$B590</f>
        <v>128.5358076923077</v>
      </c>
      <c r="U590" s="471" t="e">
        <f>IF(+T590*'Unit tariffs'!#REF!&gt;'Unit tariffs'!#REF!,'Unit tariffs'!#REF!,+T590*'Unit tariffs'!#REF!)</f>
        <v>#REF!</v>
      </c>
    </row>
    <row r="591" spans="1:21" ht="12.75">
      <c r="A591" s="97"/>
      <c r="B591" s="78">
        <v>0</v>
      </c>
      <c r="C591" s="78" t="str">
        <f>'Unit tariffs'!B114</f>
        <v>km-panel van</v>
      </c>
      <c r="D591" s="78"/>
      <c r="E591" s="78"/>
      <c r="F591" s="78"/>
      <c r="G591" s="78"/>
      <c r="H591" s="80">
        <v>0</v>
      </c>
      <c r="I591" s="80">
        <f>VLOOKUP($C591,'Unit tariffs'!$B$21:$F$122,5,FALSE)*$B591</f>
        <v>0</v>
      </c>
      <c r="J591" s="471" t="e">
        <f>IF(+I591*'Unit tariffs'!#REF!&gt;'Unit tariffs'!#REF!,'Unit tariffs'!#REF!,+I591*'Unit tariffs'!#REF!)</f>
        <v>#REF!</v>
      </c>
      <c r="M591" s="78">
        <v>0</v>
      </c>
      <c r="N591" s="78" t="str">
        <f t="shared" si="1"/>
        <v>km-panel van</v>
      </c>
      <c r="O591" s="78"/>
      <c r="P591" s="78"/>
      <c r="Q591" s="78"/>
      <c r="R591" s="78"/>
      <c r="S591" s="80">
        <v>0</v>
      </c>
      <c r="T591" s="80">
        <f>VLOOKUP($C591,'Unit tariffs'!$B$21:$F$122,5,FALSE)*$B591</f>
        <v>0</v>
      </c>
      <c r="U591" s="471" t="e">
        <f>IF(+T591*'Unit tariffs'!#REF!&gt;'Unit tariffs'!#REF!,'Unit tariffs'!#REF!,+T591*'Unit tariffs'!#REF!)</f>
        <v>#REF!</v>
      </c>
    </row>
    <row r="592" spans="1:21" ht="12.75">
      <c r="A592" s="97"/>
      <c r="B592" s="91">
        <v>1</v>
      </c>
      <c r="C592" s="78" t="str">
        <f>'Unit tariffs'!B64</f>
        <v>16 mm Cu PVC conductor</v>
      </c>
      <c r="D592" s="78"/>
      <c r="E592" s="78"/>
      <c r="F592" s="78"/>
      <c r="G592" s="78"/>
      <c r="H592" s="80">
        <v>454.579914</v>
      </c>
      <c r="I592" s="80">
        <f>VLOOKUP($C592,'Unit tariffs'!$B$21:$F$122,5,FALSE)*$B592</f>
        <v>1834.962</v>
      </c>
      <c r="J592" s="471" t="e">
        <f>IF(+I592*'Unit tariffs'!#REF!&gt;'Unit tariffs'!#REF!,'Unit tariffs'!#REF!,+I592*'Unit tariffs'!#REF!)</f>
        <v>#REF!</v>
      </c>
      <c r="M592" s="91">
        <v>1</v>
      </c>
      <c r="N592" s="78" t="str">
        <f t="shared" si="1"/>
        <v>16 mm Cu PVC conductor</v>
      </c>
      <c r="O592" s="78"/>
      <c r="P592" s="78"/>
      <c r="Q592" s="78"/>
      <c r="R592" s="78"/>
      <c r="S592" s="80">
        <v>454.579914</v>
      </c>
      <c r="T592" s="80">
        <f>VLOOKUP($C592,'Unit tariffs'!$B$21:$F$122,5,FALSE)*$B592</f>
        <v>1834.962</v>
      </c>
      <c r="U592" s="471" t="e">
        <f>IF(+T592*'Unit tariffs'!#REF!&gt;'Unit tariffs'!#REF!,'Unit tariffs'!#REF!,+T592*'Unit tariffs'!#REF!)</f>
        <v>#REF!</v>
      </c>
    </row>
    <row r="593" spans="1:21" ht="12.75">
      <c r="A593" s="97"/>
      <c r="B593" s="91">
        <v>0</v>
      </c>
      <c r="C593" s="78">
        <f>'Unit tariffs'!B80</f>
        <v>0</v>
      </c>
      <c r="D593" s="78"/>
      <c r="E593" s="78"/>
      <c r="F593" s="78"/>
      <c r="G593" s="78"/>
      <c r="H593" s="80">
        <v>0</v>
      </c>
      <c r="I593" s="80">
        <v>0</v>
      </c>
      <c r="J593" s="471" t="e">
        <f>IF(+I593*'Unit tariffs'!#REF!&gt;'Unit tariffs'!#REF!,'Unit tariffs'!#REF!,+I593*'Unit tariffs'!#REF!)</f>
        <v>#REF!</v>
      </c>
      <c r="M593" s="91">
        <v>0</v>
      </c>
      <c r="N593" s="78">
        <f t="shared" si="1"/>
        <v>0</v>
      </c>
      <c r="O593" s="78"/>
      <c r="P593" s="78"/>
      <c r="Q593" s="78"/>
      <c r="R593" s="78"/>
      <c r="S593" s="80">
        <v>0</v>
      </c>
      <c r="T593" s="80">
        <v>0</v>
      </c>
      <c r="U593" s="471" t="e">
        <f>IF(+T593*'Unit tariffs'!#REF!&gt;'Unit tariffs'!#REF!,'Unit tariffs'!#REF!,+T593*'Unit tariffs'!#REF!)</f>
        <v>#REF!</v>
      </c>
    </row>
    <row r="594" spans="1:21" ht="12.75">
      <c r="A594" s="97"/>
      <c r="B594" s="91">
        <v>0</v>
      </c>
      <c r="C594" s="78">
        <f>'Unit tariffs'!B104</f>
        <v>0</v>
      </c>
      <c r="D594" s="78"/>
      <c r="E594" s="78"/>
      <c r="F594" s="78"/>
      <c r="G594" s="78"/>
      <c r="H594" s="80">
        <v>0</v>
      </c>
      <c r="I594" s="80">
        <v>0</v>
      </c>
      <c r="J594" s="471" t="e">
        <f>IF(+I594*'Unit tariffs'!#REF!&gt;'Unit tariffs'!#REF!,'Unit tariffs'!#REF!,+I594*'Unit tariffs'!#REF!)</f>
        <v>#REF!</v>
      </c>
      <c r="M594" s="91">
        <v>0</v>
      </c>
      <c r="N594" s="78">
        <f t="shared" si="1"/>
        <v>0</v>
      </c>
      <c r="O594" s="78"/>
      <c r="P594" s="78"/>
      <c r="Q594" s="78"/>
      <c r="R594" s="78"/>
      <c r="S594" s="80">
        <v>0</v>
      </c>
      <c r="T594" s="80">
        <v>0</v>
      </c>
      <c r="U594" s="471" t="e">
        <f>IF(+T594*'Unit tariffs'!#REF!&gt;'Unit tariffs'!#REF!,'Unit tariffs'!#REF!,+T594*'Unit tariffs'!#REF!)</f>
        <v>#REF!</v>
      </c>
    </row>
    <row r="595" spans="1:21" ht="12.75">
      <c r="A595" s="97"/>
      <c r="B595" s="91">
        <v>0</v>
      </c>
      <c r="C595" s="78" t="str">
        <f>'Unit tariffs'!B98</f>
        <v>m Additional rock per sqm (Internal)</v>
      </c>
      <c r="D595" s="78"/>
      <c r="E595" s="78"/>
      <c r="F595" s="78"/>
      <c r="G595" s="78"/>
      <c r="H595" s="80">
        <v>0</v>
      </c>
      <c r="I595" s="80">
        <f>VLOOKUP($C595,'Unit tariffs'!$B$21:$F$122,5,FALSE)*$B595</f>
        <v>0</v>
      </c>
      <c r="J595" s="471" t="e">
        <f>IF(+I595*'Unit tariffs'!#REF!&gt;'Unit tariffs'!#REF!,'Unit tariffs'!#REF!,+I595*'Unit tariffs'!#REF!)</f>
        <v>#REF!</v>
      </c>
      <c r="M595" s="91">
        <v>0</v>
      </c>
      <c r="N595" s="78" t="str">
        <f t="shared" si="1"/>
        <v>m Additional rock per sqm (Internal)</v>
      </c>
      <c r="O595" s="78"/>
      <c r="P595" s="78"/>
      <c r="Q595" s="78"/>
      <c r="R595" s="78"/>
      <c r="S595" s="80">
        <v>0</v>
      </c>
      <c r="T595" s="80">
        <f>VLOOKUP($C595,'Unit tariffs'!$B$21:$F$122,5,FALSE)*$B595</f>
        <v>0</v>
      </c>
      <c r="U595" s="471" t="e">
        <f>IF(+T595*'Unit tariffs'!#REF!&gt;'Unit tariffs'!#REF!,'Unit tariffs'!#REF!,+T595*'Unit tariffs'!#REF!)</f>
        <v>#REF!</v>
      </c>
    </row>
    <row r="596" spans="1:21" ht="12.75">
      <c r="A596" s="97"/>
      <c r="B596" s="91">
        <v>0</v>
      </c>
      <c r="C596" s="78" t="str">
        <f>'Unit tariffs'!B86</f>
        <v>hour-artisan </v>
      </c>
      <c r="D596" s="78"/>
      <c r="E596" s="78"/>
      <c r="F596" s="78"/>
      <c r="G596" s="78"/>
      <c r="H596" s="80">
        <v>0</v>
      </c>
      <c r="I596" s="80">
        <f>VLOOKUP($C596,'Unit tariffs'!$B$21:$F$122,5,FALSE)*$B596</f>
        <v>0</v>
      </c>
      <c r="J596" s="471" t="e">
        <f>IF(+I596*'Unit tariffs'!#REF!&gt;'Unit tariffs'!#REF!,'Unit tariffs'!#REF!,+I596*'Unit tariffs'!#REF!)</f>
        <v>#REF!</v>
      </c>
      <c r="M596" s="91">
        <v>0</v>
      </c>
      <c r="N596" s="78" t="str">
        <f t="shared" si="1"/>
        <v>hour-artisan </v>
      </c>
      <c r="O596" s="78"/>
      <c r="P596" s="78"/>
      <c r="Q596" s="78"/>
      <c r="R596" s="78"/>
      <c r="S596" s="80">
        <v>0</v>
      </c>
      <c r="T596" s="80">
        <f>VLOOKUP($C596,'Unit tariffs'!$B$21:$F$122,5,FALSE)*$B596</f>
        <v>0</v>
      </c>
      <c r="U596" s="471" t="e">
        <f>IF(+T596*'Unit tariffs'!#REF!&gt;'Unit tariffs'!#REF!,'Unit tariffs'!#REF!,+T596*'Unit tariffs'!#REF!)</f>
        <v>#REF!</v>
      </c>
    </row>
    <row r="597" spans="1:21" ht="12.75">
      <c r="A597" s="97"/>
      <c r="B597" s="91">
        <v>0</v>
      </c>
      <c r="C597" s="78" t="str">
        <f>'Unit tariffs'!B103</f>
        <v>m Paving &amp; Tar repair (contractor)</v>
      </c>
      <c r="D597" s="78"/>
      <c r="E597" s="78"/>
      <c r="F597" s="78"/>
      <c r="G597" s="78"/>
      <c r="H597" s="80">
        <v>0</v>
      </c>
      <c r="I597" s="80">
        <f>VLOOKUP($C597,'Unit tariffs'!$B$21:$F$122,5,FALSE)*$B597</f>
        <v>0</v>
      </c>
      <c r="J597" s="471" t="e">
        <f>IF(+I597*'Unit tariffs'!#REF!&gt;'Unit tariffs'!#REF!,'Unit tariffs'!#REF!,+I597*'Unit tariffs'!#REF!)</f>
        <v>#REF!</v>
      </c>
      <c r="M597" s="91">
        <v>0</v>
      </c>
      <c r="N597" s="78" t="str">
        <f t="shared" si="1"/>
        <v>m Paving &amp; Tar repair (contractor)</v>
      </c>
      <c r="O597" s="78"/>
      <c r="P597" s="78"/>
      <c r="Q597" s="78"/>
      <c r="R597" s="78"/>
      <c r="S597" s="80">
        <v>0</v>
      </c>
      <c r="T597" s="80">
        <f>VLOOKUP($C597,'Unit tariffs'!$B$21:$F$122,5,FALSE)*$B597</f>
        <v>0</v>
      </c>
      <c r="U597" s="471" t="e">
        <f>IF(+T597*'Unit tariffs'!#REF!&gt;'Unit tariffs'!#REF!,'Unit tariffs'!#REF!,+T597*'Unit tariffs'!#REF!)</f>
        <v>#REF!</v>
      </c>
    </row>
    <row r="598" spans="1:21" ht="12.75">
      <c r="A598" s="97"/>
      <c r="B598" s="91">
        <v>0</v>
      </c>
      <c r="C598" s="78" t="str">
        <f>'Unit tariffs'!B92</f>
        <v>hour-accountant</v>
      </c>
      <c r="D598" s="78"/>
      <c r="E598" s="78"/>
      <c r="F598" s="78"/>
      <c r="G598" s="78"/>
      <c r="H598" s="87">
        <v>0</v>
      </c>
      <c r="I598" s="87">
        <f>VLOOKUP($C598,'Unit tariffs'!$B$21:$F$122,5,FALSE)*$B598</f>
        <v>0</v>
      </c>
      <c r="J598" s="471" t="e">
        <f>IF(+I598*'Unit tariffs'!#REF!&gt;'Unit tariffs'!#REF!,'Unit tariffs'!#REF!,+I598*'Unit tariffs'!#REF!)</f>
        <v>#REF!</v>
      </c>
      <c r="M598" s="91">
        <v>0</v>
      </c>
      <c r="N598" s="78" t="str">
        <f t="shared" si="1"/>
        <v>hour-accountant</v>
      </c>
      <c r="O598" s="78"/>
      <c r="P598" s="78"/>
      <c r="Q598" s="78"/>
      <c r="R598" s="78"/>
      <c r="S598" s="87">
        <v>0</v>
      </c>
      <c r="T598" s="87">
        <f>VLOOKUP($C598,'Unit tariffs'!$B$21:$F$122,5,FALSE)*$B598</f>
        <v>0</v>
      </c>
      <c r="U598" s="471" t="e">
        <f>IF(+T598*'Unit tariffs'!#REF!&gt;'Unit tariffs'!#REF!,'Unit tariffs'!#REF!,+T598*'Unit tariffs'!#REF!)</f>
        <v>#REF!</v>
      </c>
    </row>
    <row r="599" spans="1:21" ht="12.75">
      <c r="A599" s="97"/>
      <c r="B599" s="78"/>
      <c r="C599" s="78"/>
      <c r="D599" s="78"/>
      <c r="E599" s="78"/>
      <c r="F599" s="78"/>
      <c r="G599" s="78"/>
      <c r="H599" s="80">
        <f>SUM(H589:H598)</f>
        <v>2718.9427719999994</v>
      </c>
      <c r="I599" s="80">
        <f>SUM(I589:I598)</f>
        <v>1963.4978076923078</v>
      </c>
      <c r="J599" s="111"/>
      <c r="M599" s="78"/>
      <c r="N599" s="78"/>
      <c r="O599" s="78"/>
      <c r="P599" s="78"/>
      <c r="Q599" s="78"/>
      <c r="R599" s="78"/>
      <c r="S599" s="80">
        <f>SUM(S589:S598)</f>
        <v>2718.9427719999994</v>
      </c>
      <c r="T599" s="80">
        <f>SUM(T589:T598)</f>
        <v>1963.4978076923078</v>
      </c>
      <c r="U599" s="111"/>
    </row>
    <row r="600" spans="1:21" ht="12.75">
      <c r="A600" s="97"/>
      <c r="B600" s="110" t="s">
        <v>42</v>
      </c>
      <c r="C600" s="78"/>
      <c r="D600" s="78"/>
      <c r="E600" s="78"/>
      <c r="F600" s="78"/>
      <c r="G600" s="80"/>
      <c r="H600" s="78"/>
      <c r="I600" s="78"/>
      <c r="J600" s="101"/>
      <c r="M600" s="110" t="s">
        <v>42</v>
      </c>
      <c r="N600" s="78"/>
      <c r="O600" s="78"/>
      <c r="P600" s="78"/>
      <c r="Q600" s="78"/>
      <c r="R600" s="80"/>
      <c r="S600" s="78"/>
      <c r="T600" s="78"/>
      <c r="U600" s="101"/>
    </row>
    <row r="601" spans="1:21" ht="12.75">
      <c r="A601" s="97"/>
      <c r="B601" s="78"/>
      <c r="C601" s="78"/>
      <c r="D601" s="78"/>
      <c r="E601" s="78"/>
      <c r="F601" s="78"/>
      <c r="G601" s="78"/>
      <c r="H601" s="78"/>
      <c r="I601" s="78"/>
      <c r="J601" s="101"/>
      <c r="M601" s="78"/>
      <c r="N601" s="78"/>
      <c r="O601" s="78"/>
      <c r="P601" s="78"/>
      <c r="Q601" s="78"/>
      <c r="R601" s="78"/>
      <c r="S601" s="78"/>
      <c r="T601" s="78"/>
      <c r="U601" s="101"/>
    </row>
    <row r="602" spans="1:21" ht="12.75">
      <c r="A602" s="97"/>
      <c r="B602" s="78">
        <v>2</v>
      </c>
      <c r="C602" s="78" t="str">
        <f>'Unit tariffs'!B$86</f>
        <v>hour-artisan </v>
      </c>
      <c r="D602" s="78"/>
      <c r="E602" s="78"/>
      <c r="F602" s="78"/>
      <c r="G602" s="78"/>
      <c r="H602" s="80">
        <f>720.234930253385</f>
        <v>720.234930253385</v>
      </c>
      <c r="I602" s="80">
        <f>VLOOKUP($C602,'Unit tariffs'!$B$21:$F$122,5,FALSE)*$B602</f>
        <v>645.7044634615385</v>
      </c>
      <c r="J602" s="111"/>
      <c r="M602" s="78">
        <v>2</v>
      </c>
      <c r="N602" s="78">
        <f>'Unit tariffs'!M$86</f>
        <v>0</v>
      </c>
      <c r="O602" s="78"/>
      <c r="P602" s="78"/>
      <c r="Q602" s="78"/>
      <c r="R602" s="78"/>
      <c r="S602" s="80">
        <f>720.234930253385</f>
        <v>720.234930253385</v>
      </c>
      <c r="T602" s="80">
        <f>VLOOKUP($C602,'Unit tariffs'!$B$21:$F$122,5,FALSE)*$B602</f>
        <v>645.7044634615385</v>
      </c>
      <c r="U602" s="111"/>
    </row>
    <row r="603" spans="1:21" ht="12.75">
      <c r="A603" s="97"/>
      <c r="B603" s="78">
        <v>8</v>
      </c>
      <c r="C603" s="78" t="str">
        <f>'Unit tariffs'!B$84</f>
        <v>hour-artisan assistant</v>
      </c>
      <c r="D603" s="78"/>
      <c r="E603" s="78"/>
      <c r="F603" s="78"/>
      <c r="G603" s="78"/>
      <c r="H603" s="87">
        <f>636.824447387446</f>
        <v>636.824447387446</v>
      </c>
      <c r="I603" s="87">
        <f>VLOOKUP($C603,'Unit tariffs'!$B$21:$F$122,5,FALSE)*$B603</f>
        <v>1028.2864615384617</v>
      </c>
      <c r="J603" s="111"/>
      <c r="M603" s="78">
        <v>8</v>
      </c>
      <c r="N603" s="78">
        <f>'Unit tariffs'!M$84</f>
        <v>263077.2</v>
      </c>
      <c r="O603" s="78"/>
      <c r="P603" s="78"/>
      <c r="Q603" s="78"/>
      <c r="R603" s="78"/>
      <c r="S603" s="87">
        <f>636.824447387446</f>
        <v>636.824447387446</v>
      </c>
      <c r="T603" s="87">
        <f>VLOOKUP($C603,'Unit tariffs'!$B$21:$F$122,5,FALSE)*$B603</f>
        <v>1028.2864615384617</v>
      </c>
      <c r="U603" s="111"/>
    </row>
    <row r="604" spans="1:21" ht="12.75">
      <c r="A604" s="97"/>
      <c r="B604" s="78"/>
      <c r="C604" s="78"/>
      <c r="D604" s="78"/>
      <c r="E604" s="78"/>
      <c r="F604" s="78"/>
      <c r="G604" s="78"/>
      <c r="H604" s="80">
        <f>SUM(H602:H603)</f>
        <v>1357.059377640831</v>
      </c>
      <c r="I604" s="80">
        <f>SUM(I602:I603)</f>
        <v>1673.990925</v>
      </c>
      <c r="J604" s="111"/>
      <c r="K604" s="121"/>
      <c r="M604" s="78"/>
      <c r="N604" s="78"/>
      <c r="O604" s="78"/>
      <c r="P604" s="78"/>
      <c r="Q604" s="78"/>
      <c r="R604" s="78"/>
      <c r="S604" s="80">
        <f>SUM(S602:S603)</f>
        <v>1357.059377640831</v>
      </c>
      <c r="T604" s="80">
        <f>SUM(T602:T603)</f>
        <v>1673.990925</v>
      </c>
      <c r="U604" s="111"/>
    </row>
    <row r="605" spans="1:21" ht="12.75">
      <c r="A605" s="97"/>
      <c r="B605" s="110" t="s">
        <v>43</v>
      </c>
      <c r="C605" s="78"/>
      <c r="D605" s="91"/>
      <c r="E605" s="78"/>
      <c r="F605" s="78"/>
      <c r="G605" s="78"/>
      <c r="H605" s="78"/>
      <c r="I605" s="78"/>
      <c r="J605" s="101"/>
      <c r="K605" s="121"/>
      <c r="M605" s="110" t="s">
        <v>43</v>
      </c>
      <c r="N605" s="78"/>
      <c r="O605" s="91"/>
      <c r="P605" s="78"/>
      <c r="Q605" s="78"/>
      <c r="R605" s="78"/>
      <c r="S605" s="78"/>
      <c r="T605" s="78"/>
      <c r="U605" s="101"/>
    </row>
    <row r="606" spans="1:21" ht="12.75">
      <c r="A606" s="97"/>
      <c r="B606" s="78"/>
      <c r="C606" s="78"/>
      <c r="D606" s="78"/>
      <c r="E606" s="78"/>
      <c r="F606" s="78"/>
      <c r="G606" s="78"/>
      <c r="H606" s="78"/>
      <c r="I606" s="78"/>
      <c r="J606" s="101"/>
      <c r="K606" s="121"/>
      <c r="M606" s="78"/>
      <c r="N606" s="78"/>
      <c r="O606" s="78"/>
      <c r="P606" s="78"/>
      <c r="Q606" s="78"/>
      <c r="R606" s="78"/>
      <c r="S606" s="78"/>
      <c r="T606" s="78"/>
      <c r="U606" s="101"/>
    </row>
    <row r="607" spans="1:21" ht="12.75">
      <c r="A607" s="97"/>
      <c r="B607" s="78">
        <v>30</v>
      </c>
      <c r="C607" s="78" t="str">
        <f>'Unit tariffs'!B$110</f>
        <v>km-truck with platform</v>
      </c>
      <c r="D607" s="78"/>
      <c r="E607" s="78"/>
      <c r="F607" s="78"/>
      <c r="G607" s="78"/>
      <c r="H607" s="80">
        <f>973.9707276*B602</f>
        <v>1947.9414552</v>
      </c>
      <c r="I607" s="80">
        <f>VLOOKUP($C607,'Unit tariffs'!$B$21:$F$122,5,FALSE)*$B607</f>
        <v>1212.682441720518</v>
      </c>
      <c r="J607" s="111"/>
      <c r="K607" s="121"/>
      <c r="M607" s="78">
        <v>30</v>
      </c>
      <c r="N607" s="78" t="str">
        <f>'Unit tariffs'!M$110</f>
        <v>m</v>
      </c>
      <c r="O607" s="78"/>
      <c r="P607" s="78"/>
      <c r="Q607" s="78"/>
      <c r="R607" s="78"/>
      <c r="S607" s="80">
        <f>973.9707276*M602</f>
        <v>1947.9414552</v>
      </c>
      <c r="T607" s="80">
        <f>VLOOKUP($C607,'Unit tariffs'!$B$21:$F$122,5,FALSE)*$B607</f>
        <v>1212.682441720518</v>
      </c>
      <c r="U607" s="111"/>
    </row>
    <row r="608" spans="1:21" ht="12.75">
      <c r="A608" s="97"/>
      <c r="B608" s="78">
        <f>+B602</f>
        <v>2</v>
      </c>
      <c r="C608" s="78" t="str">
        <f>'Unit tariffs'!B$111</f>
        <v>hour-truck with platform</v>
      </c>
      <c r="D608" s="78"/>
      <c r="E608" s="78"/>
      <c r="F608" s="78"/>
      <c r="G608" s="78"/>
      <c r="H608" s="87">
        <f>670.45004*B608</f>
        <v>1340.90008</v>
      </c>
      <c r="I608" s="87">
        <f>VLOOKUP($C608,'Unit tariffs'!$B$21:$F$122,5,FALSE)*$B608</f>
        <v>393.4441791011</v>
      </c>
      <c r="J608" s="111"/>
      <c r="K608" s="121"/>
      <c r="M608" s="78">
        <f>+M602</f>
        <v>2</v>
      </c>
      <c r="N608" s="78" t="str">
        <f>'Unit tariffs'!M$111</f>
        <v>m</v>
      </c>
      <c r="O608" s="78"/>
      <c r="P608" s="78"/>
      <c r="Q608" s="78"/>
      <c r="R608" s="78"/>
      <c r="S608" s="87">
        <f>670.45004*M608</f>
        <v>1340.90008</v>
      </c>
      <c r="T608" s="87">
        <f>VLOOKUP($C608,'Unit tariffs'!$B$21:$F$122,5,FALSE)*$B608</f>
        <v>393.4441791011</v>
      </c>
      <c r="U608" s="111"/>
    </row>
    <row r="609" spans="1:21" ht="13.5" thickBot="1">
      <c r="A609" s="97"/>
      <c r="B609" s="78"/>
      <c r="C609" s="78"/>
      <c r="D609" s="78"/>
      <c r="E609" s="78"/>
      <c r="F609" s="78"/>
      <c r="G609" s="78"/>
      <c r="H609" s="113">
        <f>SUM(H607:H608)</f>
        <v>3288.8415352</v>
      </c>
      <c r="I609" s="113">
        <f>SUM(I607:I608)</f>
        <v>1606.126620821618</v>
      </c>
      <c r="J609" s="111"/>
      <c r="K609" s="121"/>
      <c r="M609" s="78"/>
      <c r="N609" s="78"/>
      <c r="O609" s="78"/>
      <c r="P609" s="78"/>
      <c r="Q609" s="78"/>
      <c r="R609" s="78"/>
      <c r="S609" s="113">
        <f>SUM(S607:S608)</f>
        <v>3288.8415352</v>
      </c>
      <c r="T609" s="113">
        <f>SUM(T607:T608)</f>
        <v>1606.126620821618</v>
      </c>
      <c r="U609" s="111"/>
    </row>
    <row r="610" spans="1:21" ht="13.5" thickTop="1">
      <c r="A610" s="97"/>
      <c r="B610" s="78"/>
      <c r="C610" s="78"/>
      <c r="D610" s="78"/>
      <c r="E610" s="78"/>
      <c r="F610" s="78"/>
      <c r="G610" s="78"/>
      <c r="H610" s="80">
        <f>+H609+H604+H599+H584</f>
        <v>7364.84368484083</v>
      </c>
      <c r="I610" s="80">
        <f>+I609+I604+I599+I584</f>
        <v>24490.782853513927</v>
      </c>
      <c r="J610" s="111"/>
      <c r="M610" s="78"/>
      <c r="N610" s="78"/>
      <c r="O610" s="78"/>
      <c r="P610" s="78"/>
      <c r="Q610" s="78"/>
      <c r="R610" s="78"/>
      <c r="S610" s="80">
        <f>+S609+S604+S599+S584</f>
        <v>7364.84368484083</v>
      </c>
      <c r="T610" s="80">
        <f>+T609+T604+T599+T584</f>
        <v>11659.337853513925</v>
      </c>
      <c r="U610" s="111"/>
    </row>
    <row r="611" spans="1:21" ht="13.5" thickBot="1">
      <c r="A611" s="97"/>
      <c r="B611" s="110" t="str">
        <f>'Unit tariffs'!$B$7</f>
        <v>Administration Levy (Indirect Cost)</v>
      </c>
      <c r="C611" s="78"/>
      <c r="D611" s="112">
        <f>'Unit tariffs'!$C$7</f>
        <v>0.1</v>
      </c>
      <c r="E611" s="78" t="s">
        <v>312</v>
      </c>
      <c r="F611" s="196">
        <f>+'Unit tariffs'!$F$7</f>
        <v>10000</v>
      </c>
      <c r="G611" s="78" t="s">
        <v>44</v>
      </c>
      <c r="H611" s="114">
        <f>H610*0.2636</f>
        <v>1941.3727953240427</v>
      </c>
      <c r="I611" s="114">
        <f>IF(I610*$D611&gt;='Unit tariffs'!$E$7,'Unit tariffs'!$E$7,I610*$D611)</f>
        <v>2449.078285351393</v>
      </c>
      <c r="J611" s="111"/>
      <c r="M611" s="110" t="str">
        <f>'Unit tariffs'!$B$7</f>
        <v>Administration Levy (Indirect Cost)</v>
      </c>
      <c r="N611" s="78"/>
      <c r="O611" s="112">
        <f>'Unit tariffs'!$C$7</f>
        <v>0.1</v>
      </c>
      <c r="P611" s="78" t="s">
        <v>312</v>
      </c>
      <c r="Q611" s="196">
        <f>+'Unit tariffs'!$F$7</f>
        <v>10000</v>
      </c>
      <c r="R611" s="78" t="s">
        <v>44</v>
      </c>
      <c r="S611" s="114">
        <f>S610*0.2636</f>
        <v>1941.3727953240427</v>
      </c>
      <c r="T611" s="114">
        <f>IF(T610*$D611&gt;='Unit tariffs'!$E$7,'Unit tariffs'!$E$7,T610*$D611)</f>
        <v>1165.9337853513925</v>
      </c>
      <c r="U611" s="111"/>
    </row>
    <row r="612" spans="1:21" ht="13.5" thickTop="1">
      <c r="A612" s="97"/>
      <c r="B612" s="110" t="s">
        <v>44</v>
      </c>
      <c r="C612" s="78"/>
      <c r="D612" s="78"/>
      <c r="E612" s="78"/>
      <c r="F612" s="78"/>
      <c r="G612" s="80"/>
      <c r="H612" s="115">
        <f>SUM(H610:H611)</f>
        <v>9306.216480164872</v>
      </c>
      <c r="I612" s="115">
        <f>SUM(I610:I611)</f>
        <v>26939.86113886532</v>
      </c>
      <c r="J612" s="111"/>
      <c r="M612" s="110" t="s">
        <v>44</v>
      </c>
      <c r="N612" s="78"/>
      <c r="O612" s="78"/>
      <c r="P612" s="78"/>
      <c r="Q612" s="78"/>
      <c r="R612" s="80"/>
      <c r="S612" s="115">
        <f>SUM(S610:S611)</f>
        <v>9306.216480164872</v>
      </c>
      <c r="T612" s="115">
        <f>SUM(T610:T611)</f>
        <v>12825.271638865317</v>
      </c>
      <c r="U612" s="111"/>
    </row>
    <row r="613" spans="1:21" ht="12.75">
      <c r="A613" s="97"/>
      <c r="B613" s="110"/>
      <c r="C613" s="78"/>
      <c r="D613" s="78"/>
      <c r="E613" s="78"/>
      <c r="F613" s="78"/>
      <c r="G613" s="80"/>
      <c r="H613" s="80"/>
      <c r="I613" s="80"/>
      <c r="J613" s="111"/>
      <c r="M613" s="110"/>
      <c r="N613" s="78"/>
      <c r="O613" s="78"/>
      <c r="P613" s="78"/>
      <c r="Q613" s="78"/>
      <c r="R613" s="80"/>
      <c r="S613" s="80"/>
      <c r="T613" s="80"/>
      <c r="U613" s="111"/>
    </row>
    <row r="614" spans="1:21" ht="12.75">
      <c r="A614" s="97"/>
      <c r="B614" s="110" t="s">
        <v>45</v>
      </c>
      <c r="C614" s="78"/>
      <c r="D614" s="78"/>
      <c r="E614" s="78"/>
      <c r="F614" s="78"/>
      <c r="G614" s="80"/>
      <c r="H614" s="90">
        <f>ROUND(H612,-1)</f>
        <v>9310</v>
      </c>
      <c r="I614" s="90">
        <f>ROUND(I612,-1)</f>
        <v>26940</v>
      </c>
      <c r="J614" s="116"/>
      <c r="M614" s="110" t="s">
        <v>45</v>
      </c>
      <c r="N614" s="78"/>
      <c r="O614" s="78"/>
      <c r="P614" s="78"/>
      <c r="Q614" s="78"/>
      <c r="R614" s="80"/>
      <c r="S614" s="90">
        <f>ROUND(S612,-1)</f>
        <v>9310</v>
      </c>
      <c r="T614" s="90">
        <f>ROUND(T612,-1)</f>
        <v>12830</v>
      </c>
      <c r="U614" s="116"/>
    </row>
    <row r="615" spans="1:21" ht="12.75">
      <c r="A615" s="97"/>
      <c r="B615" s="110"/>
      <c r="C615" s="78"/>
      <c r="D615" s="78"/>
      <c r="E615" s="78"/>
      <c r="F615" s="78"/>
      <c r="G615" s="80"/>
      <c r="H615" s="90"/>
      <c r="I615" s="90"/>
      <c r="J615" s="116"/>
      <c r="M615" s="110"/>
      <c r="N615" s="78"/>
      <c r="O615" s="78"/>
      <c r="P615" s="78"/>
      <c r="Q615" s="78"/>
      <c r="R615" s="80"/>
      <c r="S615" s="90"/>
      <c r="T615" s="90"/>
      <c r="U615" s="116"/>
    </row>
    <row r="616" spans="1:21" ht="12.75">
      <c r="A616" s="97"/>
      <c r="B616" s="78"/>
      <c r="C616" s="78"/>
      <c r="D616" s="78"/>
      <c r="E616" s="78"/>
      <c r="F616" s="78"/>
      <c r="G616" s="78"/>
      <c r="H616" s="118">
        <v>0.03818301514154049</v>
      </c>
      <c r="I616" s="118">
        <f>(I614-H614)/H614</f>
        <v>1.8936627282491945</v>
      </c>
      <c r="J616" s="116"/>
      <c r="M616" s="78"/>
      <c r="N616" s="78"/>
      <c r="O616" s="78"/>
      <c r="P616" s="78"/>
      <c r="Q616" s="78"/>
      <c r="R616" s="78"/>
      <c r="S616" s="118">
        <v>0.03818301514154049</v>
      </c>
      <c r="T616" s="118">
        <f>(T614-S614)/S614</f>
        <v>0.37808807733619765</v>
      </c>
      <c r="U616" s="116"/>
    </row>
    <row r="617" spans="1:21" ht="12.75">
      <c r="A617" s="97"/>
      <c r="B617" s="110"/>
      <c r="C617" s="78"/>
      <c r="D617" s="78"/>
      <c r="E617" s="78"/>
      <c r="F617" s="78"/>
      <c r="G617" s="80"/>
      <c r="H617" s="90"/>
      <c r="I617" s="90"/>
      <c r="J617" s="116"/>
      <c r="M617" s="110"/>
      <c r="N617" s="78"/>
      <c r="O617" s="78"/>
      <c r="P617" s="78"/>
      <c r="Q617" s="78"/>
      <c r="R617" s="80"/>
      <c r="S617" s="90"/>
      <c r="T617" s="90"/>
      <c r="U617" s="116"/>
    </row>
    <row r="618" spans="1:10" ht="12.75">
      <c r="A618" s="97"/>
      <c r="B618" s="121"/>
      <c r="C618" s="121"/>
      <c r="D618" s="121"/>
      <c r="E618" s="78"/>
      <c r="F618" s="78"/>
      <c r="G618" s="78"/>
      <c r="H618" s="78"/>
      <c r="I618" s="78"/>
      <c r="J618" s="111"/>
    </row>
    <row r="619" spans="1:10" ht="12.75">
      <c r="A619" s="97"/>
      <c r="B619" s="121"/>
      <c r="C619" s="121"/>
      <c r="D619" s="121"/>
      <c r="E619" s="78"/>
      <c r="F619" s="78"/>
      <c r="G619" s="78"/>
      <c r="H619" s="78"/>
      <c r="I619" s="78"/>
      <c r="J619" s="111"/>
    </row>
    <row r="620" spans="1:10" ht="12.75">
      <c r="A620" s="97"/>
      <c r="B620" s="121"/>
      <c r="C620" s="121"/>
      <c r="D620" s="121"/>
      <c r="E620" s="78"/>
      <c r="F620" s="78"/>
      <c r="G620" s="78"/>
      <c r="H620" s="78"/>
      <c r="I620" s="78"/>
      <c r="J620" s="111"/>
    </row>
    <row r="621" spans="1:10" ht="12.75">
      <c r="A621" s="97"/>
      <c r="B621" s="121"/>
      <c r="C621" s="121"/>
      <c r="D621" s="121"/>
      <c r="E621" s="78"/>
      <c r="F621" s="78"/>
      <c r="G621" s="78"/>
      <c r="H621" s="78"/>
      <c r="I621" s="78"/>
      <c r="J621" s="111"/>
    </row>
    <row r="622" spans="1:10" ht="89.25">
      <c r="A622" s="97"/>
      <c r="B622" s="826" t="s">
        <v>637</v>
      </c>
      <c r="C622" s="827"/>
      <c r="D622" s="827"/>
      <c r="E622" s="827"/>
      <c r="F622" s="827"/>
      <c r="G622" s="828"/>
      <c r="H622" s="140" t="s">
        <v>510</v>
      </c>
      <c r="I622" s="140" t="s">
        <v>560</v>
      </c>
      <c r="J622" s="119"/>
    </row>
    <row r="623" spans="1:10" ht="12.75">
      <c r="A623" s="97"/>
      <c r="B623" s="78"/>
      <c r="C623" s="78"/>
      <c r="D623" s="78"/>
      <c r="E623" s="78"/>
      <c r="F623" s="78"/>
      <c r="G623" s="78"/>
      <c r="H623" s="78"/>
      <c r="I623" s="78"/>
      <c r="J623" s="101"/>
    </row>
    <row r="624" spans="1:10" ht="12.75">
      <c r="A624" s="97"/>
      <c r="B624" s="98" t="s">
        <v>489</v>
      </c>
      <c r="C624" s="99"/>
      <c r="D624" s="99"/>
      <c r="E624" s="99"/>
      <c r="F624" s="99"/>
      <c r="G624" s="100"/>
      <c r="H624" s="78"/>
      <c r="I624" s="78"/>
      <c r="J624" s="101"/>
    </row>
    <row r="625" spans="1:10" ht="12.75">
      <c r="A625" s="97"/>
      <c r="B625" s="110"/>
      <c r="C625" s="78"/>
      <c r="D625" s="78"/>
      <c r="E625" s="78"/>
      <c r="F625" s="78"/>
      <c r="G625" s="78"/>
      <c r="H625" s="78"/>
      <c r="I625" s="78"/>
      <c r="J625" s="101"/>
    </row>
    <row r="626" spans="1:10" ht="25.5" customHeight="1">
      <c r="A626" s="97"/>
      <c r="B626" s="820" t="s">
        <v>572</v>
      </c>
      <c r="C626" s="821"/>
      <c r="D626" s="821"/>
      <c r="E626" s="821"/>
      <c r="F626" s="821"/>
      <c r="G626" s="822"/>
      <c r="H626" s="78"/>
      <c r="I626" s="78"/>
      <c r="J626" s="101"/>
    </row>
    <row r="627" spans="1:10" ht="12.75">
      <c r="A627" s="97"/>
      <c r="B627" s="110"/>
      <c r="C627" s="78"/>
      <c r="D627" s="78"/>
      <c r="E627" s="78"/>
      <c r="F627" s="78"/>
      <c r="G627" s="78"/>
      <c r="H627" s="78"/>
      <c r="I627" s="78"/>
      <c r="J627" s="101"/>
    </row>
    <row r="628" spans="1:10" ht="14.25" customHeight="1">
      <c r="A628" s="97"/>
      <c r="B628" s="78"/>
      <c r="C628" s="78"/>
      <c r="D628" s="78"/>
      <c r="E628" s="78"/>
      <c r="F628" s="78"/>
      <c r="G628" s="78"/>
      <c r="H628" s="78"/>
      <c r="I628" s="78"/>
      <c r="J628" s="101"/>
    </row>
    <row r="629" spans="1:23" ht="28.5" customHeight="1">
      <c r="A629" s="97"/>
      <c r="B629" s="820" t="s">
        <v>570</v>
      </c>
      <c r="C629" s="821"/>
      <c r="D629" s="821"/>
      <c r="E629" s="821"/>
      <c r="F629" s="821"/>
      <c r="G629" s="822"/>
      <c r="H629" s="78"/>
      <c r="I629" s="140" t="s">
        <v>243</v>
      </c>
      <c r="J629" s="101"/>
      <c r="O629" s="820" t="s">
        <v>570</v>
      </c>
      <c r="P629" s="821"/>
      <c r="Q629" s="821"/>
      <c r="R629" s="821"/>
      <c r="S629" s="821"/>
      <c r="T629" s="822"/>
      <c r="U629" s="78"/>
      <c r="V629" s="140" t="s">
        <v>243</v>
      </c>
      <c r="W629" s="101"/>
    </row>
    <row r="630" spans="1:23" ht="12.75">
      <c r="A630" s="97"/>
      <c r="B630" s="133"/>
      <c r="C630" s="133"/>
      <c r="D630" s="133"/>
      <c r="E630" s="133"/>
      <c r="F630" s="133"/>
      <c r="G630" s="133"/>
      <c r="H630" s="78"/>
      <c r="I630" s="78"/>
      <c r="J630" s="101"/>
      <c r="O630" s="133"/>
      <c r="P630" s="133"/>
      <c r="Q630" s="133"/>
      <c r="R630" s="133"/>
      <c r="S630" s="133"/>
      <c r="T630" s="133"/>
      <c r="U630" s="78"/>
      <c r="V630" s="78"/>
      <c r="W630" s="101"/>
    </row>
    <row r="631" spans="1:23" ht="12.75">
      <c r="A631" s="97"/>
      <c r="B631" s="78"/>
      <c r="C631" s="78"/>
      <c r="D631" s="78"/>
      <c r="E631" s="78"/>
      <c r="F631" s="78"/>
      <c r="G631" s="78"/>
      <c r="H631" s="109" t="str">
        <f>+H$11</f>
        <v>2020/2021</v>
      </c>
      <c r="I631" s="109" t="str">
        <f>+'Unit tariffs'!$F$11</f>
        <v>2021/2022</v>
      </c>
      <c r="J631" s="458" t="s">
        <v>315</v>
      </c>
      <c r="O631" s="78"/>
      <c r="P631" s="78"/>
      <c r="Q631" s="78"/>
      <c r="R631" s="78"/>
      <c r="S631" s="78"/>
      <c r="T631" s="78"/>
      <c r="U631" s="109">
        <f>+U$11</f>
        <v>0</v>
      </c>
      <c r="V631" s="109" t="str">
        <f>+'Unit tariffs'!$F$11</f>
        <v>2021/2022</v>
      </c>
      <c r="W631" s="458" t="s">
        <v>315</v>
      </c>
    </row>
    <row r="632" spans="1:23" ht="12.75">
      <c r="A632" s="97"/>
      <c r="B632" s="110" t="s">
        <v>117</v>
      </c>
      <c r="C632" s="78"/>
      <c r="D632" s="78"/>
      <c r="E632" s="78"/>
      <c r="F632" s="78"/>
      <c r="G632" s="78"/>
      <c r="H632" s="78"/>
      <c r="I632" s="78"/>
      <c r="J632" s="101"/>
      <c r="O632" s="110" t="s">
        <v>117</v>
      </c>
      <c r="P632" s="78"/>
      <c r="Q632" s="78"/>
      <c r="R632" s="78"/>
      <c r="S632" s="78"/>
      <c r="T632" s="78"/>
      <c r="U632" s="78"/>
      <c r="V632" s="78"/>
      <c r="W632" s="101"/>
    </row>
    <row r="633" spans="1:23" ht="12.75">
      <c r="A633" s="97"/>
      <c r="B633" s="78" t="s">
        <v>118</v>
      </c>
      <c r="C633" s="78"/>
      <c r="D633" s="78"/>
      <c r="E633" s="78"/>
      <c r="F633" s="78"/>
      <c r="G633" s="78"/>
      <c r="H633" s="78"/>
      <c r="I633" s="78"/>
      <c r="J633" s="101"/>
      <c r="O633" s="78" t="s">
        <v>118</v>
      </c>
      <c r="P633" s="78"/>
      <c r="Q633" s="78"/>
      <c r="R633" s="78"/>
      <c r="S633" s="78"/>
      <c r="T633" s="78"/>
      <c r="U633" s="78"/>
      <c r="V633" s="78"/>
      <c r="W633" s="101"/>
    </row>
    <row r="634" spans="1:23" ht="12.75">
      <c r="A634" s="97"/>
      <c r="B634" s="78">
        <v>7.5</v>
      </c>
      <c r="C634" s="21" t="s">
        <v>123</v>
      </c>
      <c r="D634" s="78"/>
      <c r="E634" s="78"/>
      <c r="F634" s="78" t="str">
        <f>'Unit tariffs'!C$130</f>
        <v>per kVA</v>
      </c>
      <c r="G634" s="78"/>
      <c r="H634" s="80">
        <f>B634*'Unit tariffs'!E136</f>
        <v>7874.55</v>
      </c>
      <c r="I634" s="80">
        <f>'Unit tariffs'!F136*'Calc Sheet 20_21'!B634</f>
        <v>8662.005000000001</v>
      </c>
      <c r="J634" s="101"/>
      <c r="O634" s="78">
        <v>4.5</v>
      </c>
      <c r="P634" s="21" t="str">
        <f>'Unit tariffs'!B136</f>
        <v>Primary Backbone - Peri Urban</v>
      </c>
      <c r="Q634" s="78"/>
      <c r="R634" s="78"/>
      <c r="S634" s="78">
        <f>'Unit tariffs'!P$130</f>
        <v>155227</v>
      </c>
      <c r="T634" s="78"/>
      <c r="U634" s="80">
        <f>O634*'Unit tariffs'!R136</f>
        <v>0</v>
      </c>
      <c r="V634" s="80">
        <f>VLOOKUP($P634,'Unit tariffs'!$B$21:$F$157,5,FALSE)*$O634</f>
        <v>5197.203000000001</v>
      </c>
      <c r="W634" s="101"/>
    </row>
    <row r="635" spans="1:23" ht="12.75">
      <c r="A635" s="97"/>
      <c r="B635" s="78">
        <v>7.5</v>
      </c>
      <c r="C635" s="78" t="str">
        <f>'[1]Unit tariffs'!B$126</f>
        <v>Secondary Backbone - MV Peri Urban</v>
      </c>
      <c r="D635" s="78"/>
      <c r="E635" s="78"/>
      <c r="F635" s="78" t="str">
        <f>'Unit tariffs'!C$130</f>
        <v>per kVA</v>
      </c>
      <c r="G635" s="78"/>
      <c r="H635" s="80">
        <f>B635*'Unit tariffs'!E137</f>
        <v>6626.625</v>
      </c>
      <c r="I635" s="80">
        <f>B635*'Unit tariffs'!F137</f>
        <v>7289.287499999999</v>
      </c>
      <c r="J635" s="101"/>
      <c r="O635" s="78">
        <v>4.5</v>
      </c>
      <c r="P635" s="78" t="str">
        <f>C635</f>
        <v>Secondary Backbone - MV Peri Urban</v>
      </c>
      <c r="Q635" s="78"/>
      <c r="R635" s="78"/>
      <c r="S635" s="78">
        <f>'Unit tariffs'!P$130</f>
        <v>155227</v>
      </c>
      <c r="T635" s="78"/>
      <c r="U635" s="80">
        <f>O635*'Unit tariffs'!R137</f>
        <v>0</v>
      </c>
      <c r="V635" s="80">
        <f>VLOOKUP($P635,'Unit tariffs'!$B$21:$F$157,5,FALSE)*$O635</f>
        <v>4373.5725</v>
      </c>
      <c r="W635" s="101"/>
    </row>
    <row r="636" spans="1:23" ht="12.75">
      <c r="A636" s="97" t="s">
        <v>1</v>
      </c>
      <c r="B636" s="91">
        <v>7.5</v>
      </c>
      <c r="C636" s="747" t="str">
        <f>'Unit tariffs'!B138</f>
        <v>Secondary Backbone - LV Peri Urban</v>
      </c>
      <c r="D636" s="91"/>
      <c r="E636" s="91"/>
      <c r="F636" s="91" t="str">
        <f>'Unit tariffs'!C$132</f>
        <v>per kVA</v>
      </c>
      <c r="G636" s="91"/>
      <c r="H636" s="745">
        <f>B636*'Unit tariffs'!E138</f>
        <v>10870.800000000001</v>
      </c>
      <c r="I636" s="745">
        <f>B636*'Unit tariffs'!F138</f>
        <v>11957.880000000001</v>
      </c>
      <c r="J636" s="101"/>
      <c r="L636" s="92">
        <f>I636/B636</f>
        <v>1594.3840000000002</v>
      </c>
      <c r="O636" s="91">
        <v>4.5</v>
      </c>
      <c r="P636" s="747" t="str">
        <f>C636</f>
        <v>Secondary Backbone - LV Peri Urban</v>
      </c>
      <c r="Q636" s="91"/>
      <c r="R636" s="91"/>
      <c r="S636" s="91">
        <f>'Unit tariffs'!P$132</f>
        <v>177285</v>
      </c>
      <c r="T636" s="91"/>
      <c r="U636" s="745">
        <f>O636*'Unit tariffs'!R138</f>
        <v>0</v>
      </c>
      <c r="V636" s="80">
        <f>VLOOKUP($P636,'Unit tariffs'!$B$21:$F$157,5,FALSE)*$O636</f>
        <v>7174.728000000001</v>
      </c>
      <c r="W636" s="101"/>
    </row>
    <row r="637" spans="1:23" ht="12.75">
      <c r="A637" s="97"/>
      <c r="B637" s="78"/>
      <c r="C637" s="78"/>
      <c r="D637" s="78"/>
      <c r="E637" s="78"/>
      <c r="F637" s="78"/>
      <c r="G637" s="78"/>
      <c r="H637" s="80">
        <f>SUM(H634:H636)</f>
        <v>25371.975</v>
      </c>
      <c r="I637" s="80">
        <f>SUM(I634:I636)</f>
        <v>27909.1725</v>
      </c>
      <c r="J637" s="101"/>
      <c r="O637" s="78"/>
      <c r="P637" s="78"/>
      <c r="Q637" s="78"/>
      <c r="R637" s="78"/>
      <c r="S637" s="78"/>
      <c r="T637" s="78"/>
      <c r="U637" s="80">
        <f>SUM(U634:U636)</f>
        <v>0</v>
      </c>
      <c r="V637" s="80">
        <f>SUM(V634:V636)</f>
        <v>16745.503500000003</v>
      </c>
      <c r="W637" s="101"/>
    </row>
    <row r="638" spans="1:23" ht="12.75">
      <c r="A638" s="97"/>
      <c r="B638" s="78"/>
      <c r="C638" s="78"/>
      <c r="D638" s="78"/>
      <c r="E638" s="78"/>
      <c r="F638" s="78"/>
      <c r="G638" s="78"/>
      <c r="H638" s="80"/>
      <c r="I638" s="80"/>
      <c r="J638" s="101"/>
      <c r="O638" s="78"/>
      <c r="P638" s="78"/>
      <c r="Q638" s="78"/>
      <c r="R638" s="78"/>
      <c r="S638" s="78"/>
      <c r="T638" s="78"/>
      <c r="U638" s="80"/>
      <c r="V638" s="80"/>
      <c r="W638" s="101"/>
    </row>
    <row r="639" spans="1:23" ht="12.75">
      <c r="A639" s="97"/>
      <c r="B639" s="110" t="s">
        <v>41</v>
      </c>
      <c r="C639" s="78"/>
      <c r="D639" s="78"/>
      <c r="E639" s="78"/>
      <c r="F639" s="78"/>
      <c r="G639" s="78"/>
      <c r="H639" s="80"/>
      <c r="I639" s="80"/>
      <c r="J639" s="101"/>
      <c r="O639" s="110" t="s">
        <v>41</v>
      </c>
      <c r="P639" s="78"/>
      <c r="Q639" s="78"/>
      <c r="R639" s="78"/>
      <c r="S639" s="78"/>
      <c r="T639" s="78"/>
      <c r="U639" s="80"/>
      <c r="V639" s="80"/>
      <c r="W639" s="101"/>
    </row>
    <row r="640" spans="1:23" ht="12.75">
      <c r="A640" s="97"/>
      <c r="B640" s="110"/>
      <c r="C640" s="78"/>
      <c r="D640" s="78"/>
      <c r="E640" s="78"/>
      <c r="F640" s="78"/>
      <c r="G640" s="78"/>
      <c r="H640" s="80"/>
      <c r="I640" s="80"/>
      <c r="J640" s="101"/>
      <c r="O640" s="110"/>
      <c r="P640" s="78"/>
      <c r="Q640" s="78"/>
      <c r="R640" s="78"/>
      <c r="S640" s="78"/>
      <c r="T640" s="78"/>
      <c r="U640" s="80"/>
      <c r="V640" s="80"/>
      <c r="W640" s="101"/>
    </row>
    <row r="641" spans="1:23" ht="12.75">
      <c r="A641" s="97"/>
      <c r="B641" s="110">
        <v>1</v>
      </c>
      <c r="C641" s="45" t="str">
        <f>'Unit tariffs'!B45</f>
        <v>METER: TIME OF USE 100 AMP</v>
      </c>
      <c r="D641" s="78"/>
      <c r="E641" s="78"/>
      <c r="F641" s="91"/>
      <c r="G641" s="78"/>
      <c r="H641" s="80">
        <v>5100.68542</v>
      </c>
      <c r="I641" s="80">
        <f>VLOOKUP($C641,'Unit tariffs'!$B$21:$F$122,5,FALSE)*$B641</f>
        <v>5314.91420764</v>
      </c>
      <c r="J641" s="471" t="e">
        <f>IF(+I641*'Unit tariffs'!#REF!&gt;'Unit tariffs'!#REF!,'Unit tariffs'!#REF!,+I641*'Unit tariffs'!#REF!)</f>
        <v>#REF!</v>
      </c>
      <c r="O641" s="110">
        <v>1</v>
      </c>
      <c r="P641" s="45">
        <f>'Unit tariffs'!O45</f>
        <v>0</v>
      </c>
      <c r="Q641" s="78"/>
      <c r="R641" s="78"/>
      <c r="S641" s="91"/>
      <c r="T641" s="78"/>
      <c r="U641" s="80">
        <v>5100.68542</v>
      </c>
      <c r="V641" s="80">
        <f>VLOOKUP($C641,'Unit tariffs'!$B$21:$F$122,5,FALSE)*$B641</f>
        <v>5314.91420764</v>
      </c>
      <c r="W641" s="471" t="e">
        <f>IF(+V641*'Unit tariffs'!#REF!&gt;'Unit tariffs'!#REF!,'Unit tariffs'!#REF!,+V641*'Unit tariffs'!#REF!)</f>
        <v>#REF!</v>
      </c>
    </row>
    <row r="642" spans="1:23" ht="12.75">
      <c r="A642" s="97"/>
      <c r="B642" s="110">
        <v>1</v>
      </c>
      <c r="C642" s="78" t="str">
        <f>+'Unit tariffs'!B46</f>
        <v>Modum for TOU meter</v>
      </c>
      <c r="D642" s="78"/>
      <c r="E642" s="78"/>
      <c r="F642" s="78"/>
      <c r="G642" s="78"/>
      <c r="H642" s="80">
        <v>0</v>
      </c>
      <c r="I642" s="80">
        <f>VLOOKUP($C642,'Unit tariffs'!$B$21:$F$122,5,FALSE)*$B642</f>
        <v>3558.1015615999995</v>
      </c>
      <c r="J642" s="471" t="e">
        <f>IF(+I642*'Unit tariffs'!#REF!&gt;'Unit tariffs'!#REF!,'Unit tariffs'!#REF!,+I642*'Unit tariffs'!#REF!)</f>
        <v>#REF!</v>
      </c>
      <c r="O642" s="110">
        <v>1</v>
      </c>
      <c r="P642" s="78">
        <f>+'Unit tariffs'!O46</f>
        <v>0</v>
      </c>
      <c r="Q642" s="78"/>
      <c r="R642" s="78"/>
      <c r="S642" s="78"/>
      <c r="T642" s="78"/>
      <c r="U642" s="80">
        <v>0</v>
      </c>
      <c r="V642" s="80">
        <f>VLOOKUP($C642,'Unit tariffs'!$B$21:$F$122,5,FALSE)*$B642</f>
        <v>3558.1015615999995</v>
      </c>
      <c r="W642" s="471" t="e">
        <f>IF(+V642*'Unit tariffs'!#REF!&gt;'Unit tariffs'!#REF!,'Unit tariffs'!#REF!,+V642*'Unit tariffs'!#REF!)</f>
        <v>#REF!</v>
      </c>
    </row>
    <row r="643" spans="1:23" ht="12.75">
      <c r="A643" s="97"/>
      <c r="B643" s="110">
        <v>3</v>
      </c>
      <c r="C643" s="78" t="s">
        <v>99</v>
      </c>
      <c r="D643" s="78"/>
      <c r="E643" s="78"/>
      <c r="F643" s="78"/>
      <c r="G643" s="78"/>
      <c r="H643" s="80">
        <v>541.0141229999999</v>
      </c>
      <c r="I643" s="80">
        <f>VLOOKUP($C643,'Unit tariffs'!$B$21:$F$122,5,FALSE)*$B643</f>
        <v>563.736716166</v>
      </c>
      <c r="J643" s="471" t="e">
        <f>IF(+I643*'Unit tariffs'!#REF!&gt;'Unit tariffs'!#REF!,'Unit tariffs'!#REF!,+I643*'Unit tariffs'!#REF!)</f>
        <v>#REF!</v>
      </c>
      <c r="O643" s="110">
        <v>3</v>
      </c>
      <c r="P643" s="78" t="s">
        <v>99</v>
      </c>
      <c r="Q643" s="78"/>
      <c r="R643" s="78"/>
      <c r="S643" s="78"/>
      <c r="T643" s="78"/>
      <c r="U643" s="80">
        <v>541.0141229999999</v>
      </c>
      <c r="V643" s="80">
        <f>VLOOKUP($C643,'Unit tariffs'!$B$21:$F$122,5,FALSE)*$B643</f>
        <v>563.736716166</v>
      </c>
      <c r="W643" s="471" t="e">
        <f>IF(+V643*'Unit tariffs'!#REF!&gt;'Unit tariffs'!#REF!,'Unit tariffs'!#REF!,+V643*'Unit tariffs'!#REF!)</f>
        <v>#REF!</v>
      </c>
    </row>
    <row r="644" spans="1:23" ht="12.75">
      <c r="A644" s="97"/>
      <c r="B644" s="110">
        <v>0</v>
      </c>
      <c r="C644" s="78" t="s">
        <v>143</v>
      </c>
      <c r="D644" s="78"/>
      <c r="E644" s="78"/>
      <c r="F644" s="78"/>
      <c r="G644" s="78"/>
      <c r="H644" s="80">
        <v>32.08197743055</v>
      </c>
      <c r="I644" s="80">
        <f>VLOOKUP($C644,'Unit tariffs'!$B$21:$F$122,5,FALSE)*$B644</f>
        <v>0</v>
      </c>
      <c r="J644" s="471" t="e">
        <f>IF(+I644*'Unit tariffs'!#REF!&gt;'Unit tariffs'!#REF!,'Unit tariffs'!#REF!,+I644*'Unit tariffs'!#REF!)</f>
        <v>#REF!</v>
      </c>
      <c r="O644" s="110">
        <v>0</v>
      </c>
      <c r="P644" s="78" t="s">
        <v>143</v>
      </c>
      <c r="Q644" s="78"/>
      <c r="R644" s="78"/>
      <c r="S644" s="78"/>
      <c r="T644" s="78"/>
      <c r="U644" s="80">
        <v>32.08197743055</v>
      </c>
      <c r="V644" s="80">
        <f>VLOOKUP($C644,'Unit tariffs'!$B$21:$F$122,5,FALSE)*$B644</f>
        <v>0</v>
      </c>
      <c r="W644" s="471" t="e">
        <f>IF(+V644*'Unit tariffs'!#REF!&gt;'Unit tariffs'!#REF!,'Unit tariffs'!#REF!,+V644*'Unit tariffs'!#REF!)</f>
        <v>#REF!</v>
      </c>
    </row>
    <row r="645" spans="1:23" ht="12.75">
      <c r="A645" s="97"/>
      <c r="B645" s="743">
        <v>0</v>
      </c>
      <c r="C645" s="78" t="s">
        <v>17</v>
      </c>
      <c r="D645" s="78"/>
      <c r="E645" s="78"/>
      <c r="F645" s="78"/>
      <c r="G645" s="78"/>
      <c r="H645" s="80">
        <v>0</v>
      </c>
      <c r="I645" s="80">
        <f>VLOOKUP($C645,'Unit tariffs'!$B$21:$F$122,5,FALSE)*$B645</f>
        <v>0</v>
      </c>
      <c r="J645" s="471" t="e">
        <f>IF(+I645*'Unit tariffs'!#REF!&gt;'Unit tariffs'!#REF!,'Unit tariffs'!#REF!,+I645*'Unit tariffs'!#REF!)</f>
        <v>#REF!</v>
      </c>
      <c r="O645" s="743">
        <v>0</v>
      </c>
      <c r="P645" s="78" t="s">
        <v>17</v>
      </c>
      <c r="Q645" s="78"/>
      <c r="R645" s="78"/>
      <c r="S645" s="78"/>
      <c r="T645" s="78"/>
      <c r="U645" s="80">
        <v>0</v>
      </c>
      <c r="V645" s="80">
        <f>VLOOKUP($C645,'Unit tariffs'!$B$21:$F$122,5,FALSE)*$B645</f>
        <v>0</v>
      </c>
      <c r="W645" s="471" t="e">
        <f>IF(+V645*'Unit tariffs'!#REF!&gt;'Unit tariffs'!#REF!,'Unit tariffs'!#REF!,+V645*'Unit tariffs'!#REF!)</f>
        <v>#REF!</v>
      </c>
    </row>
    <row r="646" spans="1:23" ht="12.75">
      <c r="A646" s="97"/>
      <c r="B646" s="743">
        <v>0</v>
      </c>
      <c r="C646" s="78" t="s">
        <v>514</v>
      </c>
      <c r="D646" s="78"/>
      <c r="E646" s="78"/>
      <c r="F646" s="78"/>
      <c r="G646" s="78"/>
      <c r="H646" s="80">
        <v>0</v>
      </c>
      <c r="I646" s="80">
        <f>VLOOKUP($C646,'Unit tariffs'!$B$21:$F$122,5,FALSE)*$B646</f>
        <v>0</v>
      </c>
      <c r="J646" s="471" t="e">
        <f>IF(+I646*'Unit tariffs'!#REF!&gt;'Unit tariffs'!#REF!,'Unit tariffs'!#REF!,+I646*'Unit tariffs'!#REF!)</f>
        <v>#REF!</v>
      </c>
      <c r="O646" s="743">
        <v>0</v>
      </c>
      <c r="P646" s="78" t="s">
        <v>514</v>
      </c>
      <c r="Q646" s="78"/>
      <c r="R646" s="78"/>
      <c r="S646" s="78"/>
      <c r="T646" s="78"/>
      <c r="U646" s="80">
        <v>0</v>
      </c>
      <c r="V646" s="80">
        <f>VLOOKUP($C646,'Unit tariffs'!$B$21:$F$122,5,FALSE)*$B646</f>
        <v>0</v>
      </c>
      <c r="W646" s="471" t="e">
        <f>IF(+V646*'Unit tariffs'!#REF!&gt;'Unit tariffs'!#REF!,'Unit tariffs'!#REF!,+V646*'Unit tariffs'!#REF!)</f>
        <v>#REF!</v>
      </c>
    </row>
    <row r="647" spans="1:23" ht="12.75">
      <c r="A647" s="97"/>
      <c r="B647" s="743">
        <v>0</v>
      </c>
      <c r="C647" s="78" t="s">
        <v>90</v>
      </c>
      <c r="D647" s="78"/>
      <c r="E647" s="78"/>
      <c r="F647" s="78"/>
      <c r="G647" s="78"/>
      <c r="H647" s="80">
        <v>0</v>
      </c>
      <c r="I647" s="80">
        <f>VLOOKUP($C647,'Unit tariffs'!$B$21:$F$122,5,FALSE)*$B647</f>
        <v>0</v>
      </c>
      <c r="J647" s="471" t="e">
        <f>IF(+I647*'Unit tariffs'!#REF!&gt;'Unit tariffs'!#REF!,'Unit tariffs'!#REF!,+I647*'Unit tariffs'!#REF!)</f>
        <v>#REF!</v>
      </c>
      <c r="O647" s="743">
        <v>0</v>
      </c>
      <c r="P647" s="78" t="s">
        <v>90</v>
      </c>
      <c r="Q647" s="78"/>
      <c r="R647" s="78"/>
      <c r="S647" s="78"/>
      <c r="T647" s="78"/>
      <c r="U647" s="80">
        <v>0</v>
      </c>
      <c r="V647" s="80">
        <f>VLOOKUP($C647,'Unit tariffs'!$B$21:$F$122,5,FALSE)*$B647</f>
        <v>0</v>
      </c>
      <c r="W647" s="471" t="e">
        <f>IF(+V647*'Unit tariffs'!#REF!&gt;'Unit tariffs'!#REF!,'Unit tariffs'!#REF!,+V647*'Unit tariffs'!#REF!)</f>
        <v>#REF!</v>
      </c>
    </row>
    <row r="648" spans="1:23" ht="12.75">
      <c r="A648" s="97"/>
      <c r="B648" s="91">
        <v>0</v>
      </c>
      <c r="C648" s="78" t="s">
        <v>11</v>
      </c>
      <c r="D648" s="78"/>
      <c r="E648" s="78"/>
      <c r="F648" s="78"/>
      <c r="G648" s="78"/>
      <c r="H648" s="80">
        <v>0</v>
      </c>
      <c r="I648" s="80">
        <f>VLOOKUP($C648,'Unit tariffs'!$B$21:$F$122,5,FALSE)*$B648</f>
        <v>0</v>
      </c>
      <c r="J648" s="471" t="e">
        <f>IF(+I648*'Unit tariffs'!#REF!&gt;'Unit tariffs'!#REF!,'Unit tariffs'!#REF!,+I648*'Unit tariffs'!#REF!)</f>
        <v>#REF!</v>
      </c>
      <c r="O648" s="91">
        <v>0</v>
      </c>
      <c r="P648" s="78" t="s">
        <v>11</v>
      </c>
      <c r="Q648" s="78"/>
      <c r="R648" s="78"/>
      <c r="S648" s="78"/>
      <c r="T648" s="78"/>
      <c r="U648" s="80">
        <v>0</v>
      </c>
      <c r="V648" s="80">
        <f>VLOOKUP($C648,'Unit tariffs'!$B$21:$F$122,5,FALSE)*$B648</f>
        <v>0</v>
      </c>
      <c r="W648" s="471" t="e">
        <f>IF(+V648*'Unit tariffs'!#REF!&gt;'Unit tariffs'!#REF!,'Unit tariffs'!#REF!,+V648*'Unit tariffs'!#REF!)</f>
        <v>#REF!</v>
      </c>
    </row>
    <row r="649" spans="1:23" ht="12.75">
      <c r="A649" s="97"/>
      <c r="B649" s="91">
        <v>0</v>
      </c>
      <c r="C649" s="78" t="s">
        <v>5</v>
      </c>
      <c r="D649" s="78"/>
      <c r="E649" s="78"/>
      <c r="F649" s="78"/>
      <c r="G649" s="78"/>
      <c r="H649" s="80">
        <v>0</v>
      </c>
      <c r="I649" s="80">
        <f>VLOOKUP($C649,'Unit tariffs'!$B$21:$F$122,5,FALSE)*$B649</f>
        <v>0</v>
      </c>
      <c r="J649" s="471" t="e">
        <f>IF(+I649*'Unit tariffs'!#REF!&gt;'Unit tariffs'!#REF!,'Unit tariffs'!#REF!,+I649*'Unit tariffs'!#REF!)</f>
        <v>#REF!</v>
      </c>
      <c r="O649" s="91">
        <v>0</v>
      </c>
      <c r="P649" s="78" t="s">
        <v>5</v>
      </c>
      <c r="Q649" s="78"/>
      <c r="R649" s="78"/>
      <c r="S649" s="78"/>
      <c r="T649" s="78"/>
      <c r="U649" s="80">
        <v>0</v>
      </c>
      <c r="V649" s="80">
        <f>VLOOKUP($C649,'Unit tariffs'!$B$21:$F$122,5,FALSE)*$B649</f>
        <v>0</v>
      </c>
      <c r="W649" s="471" t="e">
        <f>IF(+V649*'Unit tariffs'!#REF!&gt;'Unit tariffs'!#REF!,'Unit tariffs'!#REF!,+V649*'Unit tariffs'!#REF!)</f>
        <v>#REF!</v>
      </c>
    </row>
    <row r="650" spans="1:23" ht="12.75">
      <c r="A650" s="97"/>
      <c r="B650" s="91">
        <v>0</v>
      </c>
      <c r="C650" s="78" t="s">
        <v>93</v>
      </c>
      <c r="D650" s="78"/>
      <c r="E650" s="78"/>
      <c r="F650" s="78"/>
      <c r="G650" s="78"/>
      <c r="H650" s="80">
        <v>0</v>
      </c>
      <c r="I650" s="80">
        <f>VLOOKUP($C650,'Unit tariffs'!$B$21:$F$122,5,FALSE)*$B650</f>
        <v>0</v>
      </c>
      <c r="J650" s="471" t="e">
        <f>IF(+I650*'Unit tariffs'!#REF!&gt;'Unit tariffs'!#REF!,'Unit tariffs'!#REF!,+I650*'Unit tariffs'!#REF!)</f>
        <v>#REF!</v>
      </c>
      <c r="O650" s="91">
        <v>0</v>
      </c>
      <c r="P650" s="78" t="s">
        <v>93</v>
      </c>
      <c r="Q650" s="78"/>
      <c r="R650" s="78"/>
      <c r="S650" s="78"/>
      <c r="T650" s="78"/>
      <c r="U650" s="80">
        <v>0</v>
      </c>
      <c r="V650" s="80">
        <f>VLOOKUP($C650,'Unit tariffs'!$B$21:$F$122,5,FALSE)*$B650</f>
        <v>0</v>
      </c>
      <c r="W650" s="471" t="e">
        <f>IF(+V650*'Unit tariffs'!#REF!&gt;'Unit tariffs'!#REF!,'Unit tariffs'!#REF!,+V650*'Unit tariffs'!#REF!)</f>
        <v>#REF!</v>
      </c>
    </row>
    <row r="651" spans="1:23" ht="12.75">
      <c r="A651" s="97"/>
      <c r="B651" s="91">
        <v>0</v>
      </c>
      <c r="C651" s="78" t="s">
        <v>188</v>
      </c>
      <c r="D651" s="78"/>
      <c r="E651" s="78"/>
      <c r="F651" s="78"/>
      <c r="G651" s="78"/>
      <c r="H651" s="80">
        <v>0</v>
      </c>
      <c r="I651" s="80">
        <f>VLOOKUP($C651,'Unit tariffs'!$B$21:$F$122,5,FALSE)*$B651</f>
        <v>0</v>
      </c>
      <c r="J651" s="471" t="e">
        <f>IF(+I651*'Unit tariffs'!#REF!&gt;'Unit tariffs'!#REF!,'Unit tariffs'!#REF!,+I651*'Unit tariffs'!#REF!)</f>
        <v>#REF!</v>
      </c>
      <c r="O651" s="91">
        <v>0</v>
      </c>
      <c r="P651" s="78" t="s">
        <v>188</v>
      </c>
      <c r="Q651" s="78"/>
      <c r="R651" s="78"/>
      <c r="S651" s="78"/>
      <c r="T651" s="78"/>
      <c r="U651" s="80">
        <v>0</v>
      </c>
      <c r="V651" s="80">
        <f>VLOOKUP($C651,'Unit tariffs'!$B$21:$F$122,5,FALSE)*$B651</f>
        <v>0</v>
      </c>
      <c r="W651" s="471" t="e">
        <f>IF(+V651*'Unit tariffs'!#REF!&gt;'Unit tariffs'!#REF!,'Unit tariffs'!#REF!,+V651*'Unit tariffs'!#REF!)</f>
        <v>#REF!</v>
      </c>
    </row>
    <row r="652" spans="1:23" ht="12.75">
      <c r="A652" s="97"/>
      <c r="B652" s="78"/>
      <c r="C652" s="78"/>
      <c r="D652" s="78"/>
      <c r="E652" s="78"/>
      <c r="F652" s="78"/>
      <c r="G652" s="80"/>
      <c r="H652" s="147">
        <f>SUM(H641:H651)</f>
        <v>5673.78152043055</v>
      </c>
      <c r="I652" s="147">
        <f>SUM(I641:I651)</f>
        <v>9436.752485406</v>
      </c>
      <c r="J652" s="101"/>
      <c r="O652" s="78"/>
      <c r="P652" s="78"/>
      <c r="Q652" s="78"/>
      <c r="R652" s="78"/>
      <c r="S652" s="78"/>
      <c r="T652" s="80"/>
      <c r="U652" s="147">
        <f>SUM(U641:U651)</f>
        <v>5673.78152043055</v>
      </c>
      <c r="V652" s="147">
        <f>SUM(V641:V651)</f>
        <v>9436.752485406</v>
      </c>
      <c r="W652" s="101"/>
    </row>
    <row r="653" spans="1:23" ht="12.75">
      <c r="A653" s="97"/>
      <c r="B653" s="78"/>
      <c r="C653" s="78"/>
      <c r="D653" s="78"/>
      <c r="E653" s="78"/>
      <c r="F653" s="78"/>
      <c r="G653" s="80"/>
      <c r="H653" s="80"/>
      <c r="I653" s="80"/>
      <c r="J653" s="101"/>
      <c r="O653" s="78"/>
      <c r="P653" s="78"/>
      <c r="Q653" s="78"/>
      <c r="R653" s="78"/>
      <c r="S653" s="78"/>
      <c r="T653" s="80"/>
      <c r="U653" s="80"/>
      <c r="V653" s="80"/>
      <c r="W653" s="101"/>
    </row>
    <row r="654" spans="1:23" ht="12.75">
      <c r="A654" s="97"/>
      <c r="B654" s="110" t="s">
        <v>42</v>
      </c>
      <c r="C654" s="78"/>
      <c r="D654" s="78"/>
      <c r="E654" s="78"/>
      <c r="F654" s="78"/>
      <c r="G654" s="78"/>
      <c r="H654" s="121"/>
      <c r="I654" s="121"/>
      <c r="J654" s="101"/>
      <c r="O654" s="110" t="s">
        <v>42</v>
      </c>
      <c r="P654" s="78"/>
      <c r="Q654" s="78"/>
      <c r="R654" s="78"/>
      <c r="S654" s="78"/>
      <c r="T654" s="78"/>
      <c r="U654" s="121"/>
      <c r="V654" s="121"/>
      <c r="W654" s="101"/>
    </row>
    <row r="655" spans="1:23" ht="12.75">
      <c r="A655" s="97"/>
      <c r="B655" s="78"/>
      <c r="C655" s="78"/>
      <c r="D655" s="78"/>
      <c r="E655" s="78"/>
      <c r="F655" s="78"/>
      <c r="G655" s="78"/>
      <c r="H655" s="121"/>
      <c r="I655" s="121"/>
      <c r="J655" s="101"/>
      <c r="O655" s="78"/>
      <c r="P655" s="78"/>
      <c r="Q655" s="78"/>
      <c r="R655" s="78"/>
      <c r="S655" s="78"/>
      <c r="T655" s="78"/>
      <c r="U655" s="121"/>
      <c r="V655" s="121"/>
      <c r="W655" s="101"/>
    </row>
    <row r="656" spans="1:23" ht="12.75">
      <c r="A656" s="97"/>
      <c r="B656" s="78">
        <v>2</v>
      </c>
      <c r="C656" s="78" t="str">
        <f>'Unit tariffs'!B$86</f>
        <v>hour-artisan </v>
      </c>
      <c r="D656" s="78"/>
      <c r="E656" s="78"/>
      <c r="F656" s="78"/>
      <c r="G656" s="78"/>
      <c r="H656" s="80">
        <f>360.117465126692*B656</f>
        <v>720.234930253384</v>
      </c>
      <c r="I656" s="80">
        <f>VLOOKUP($C656,'Unit tariffs'!$B$21:$F$122,5,FALSE)*$B656</f>
        <v>645.7044634615385</v>
      </c>
      <c r="J656" s="101"/>
      <c r="O656" s="78">
        <v>2</v>
      </c>
      <c r="P656" s="78">
        <f>'Unit tariffs'!O$86</f>
        <v>0</v>
      </c>
      <c r="Q656" s="78"/>
      <c r="R656" s="78"/>
      <c r="S656" s="78"/>
      <c r="T656" s="78"/>
      <c r="U656" s="80">
        <f>360.117465126692*O656</f>
        <v>720.234930253384</v>
      </c>
      <c r="V656" s="80">
        <f>VLOOKUP($C656,'Unit tariffs'!$B$21:$F$122,5,FALSE)*$B656</f>
        <v>645.7044634615385</v>
      </c>
      <c r="W656" s="101"/>
    </row>
    <row r="657" spans="1:23" ht="12.75">
      <c r="A657" s="97"/>
      <c r="B657" s="78">
        <v>8</v>
      </c>
      <c r="C657" s="78" t="str">
        <f>'Unit tariffs'!B$84</f>
        <v>hour-artisan assistant</v>
      </c>
      <c r="D657" s="78"/>
      <c r="E657" s="78"/>
      <c r="F657" s="78"/>
      <c r="G657" s="78"/>
      <c r="H657" s="87">
        <f>318.412223693723*B657</f>
        <v>2547.297789549784</v>
      </c>
      <c r="I657" s="87">
        <f>VLOOKUP($C657,'Unit tariffs'!$B$21:$F$122,5,FALSE)*$B657</f>
        <v>1028.2864615384617</v>
      </c>
      <c r="J657" s="101"/>
      <c r="O657" s="78">
        <v>8</v>
      </c>
      <c r="P657" s="78">
        <f>'Unit tariffs'!O$84</f>
        <v>407.54480769230764</v>
      </c>
      <c r="Q657" s="78"/>
      <c r="R657" s="78"/>
      <c r="S657" s="78"/>
      <c r="T657" s="78"/>
      <c r="U657" s="87">
        <f>318.412223693723*O657</f>
        <v>2547.297789549784</v>
      </c>
      <c r="V657" s="87">
        <f>VLOOKUP($C657,'Unit tariffs'!$B$21:$F$122,5,FALSE)*$B657</f>
        <v>1028.2864615384617</v>
      </c>
      <c r="W657" s="101"/>
    </row>
    <row r="658" spans="1:23" ht="12.75">
      <c r="A658" s="97"/>
      <c r="B658" s="78"/>
      <c r="C658" s="78"/>
      <c r="D658" s="78"/>
      <c r="E658" s="78"/>
      <c r="F658" s="78"/>
      <c r="G658" s="78"/>
      <c r="H658" s="80">
        <f>SUM(H656:H657)</f>
        <v>3267.5327198031678</v>
      </c>
      <c r="I658" s="80">
        <f>SUM(I656:I657)</f>
        <v>1673.990925</v>
      </c>
      <c r="J658" s="101"/>
      <c r="O658" s="78"/>
      <c r="P658" s="78"/>
      <c r="Q658" s="78"/>
      <c r="R658" s="78"/>
      <c r="S658" s="78"/>
      <c r="T658" s="78"/>
      <c r="U658" s="80">
        <f>SUM(U656:U657)</f>
        <v>3267.5327198031678</v>
      </c>
      <c r="V658" s="80">
        <f>SUM(V656:V657)</f>
        <v>1673.990925</v>
      </c>
      <c r="W658" s="101"/>
    </row>
    <row r="659" spans="1:23" ht="12.75">
      <c r="A659" s="97"/>
      <c r="B659" s="110" t="s">
        <v>43</v>
      </c>
      <c r="C659" s="78"/>
      <c r="D659" s="78"/>
      <c r="E659" s="78"/>
      <c r="F659" s="78"/>
      <c r="G659" s="78"/>
      <c r="H659" s="121"/>
      <c r="I659" s="121"/>
      <c r="J659" s="101"/>
      <c r="O659" s="110" t="s">
        <v>43</v>
      </c>
      <c r="P659" s="78"/>
      <c r="Q659" s="78"/>
      <c r="R659" s="78"/>
      <c r="S659" s="78"/>
      <c r="T659" s="78"/>
      <c r="U659" s="121"/>
      <c r="V659" s="121"/>
      <c r="W659" s="101"/>
    </row>
    <row r="660" spans="1:23" ht="12.75">
      <c r="A660" s="97"/>
      <c r="B660" s="78"/>
      <c r="C660" s="78"/>
      <c r="D660" s="78"/>
      <c r="E660" s="78"/>
      <c r="F660" s="78"/>
      <c r="G660" s="78"/>
      <c r="H660" s="121"/>
      <c r="I660" s="121"/>
      <c r="J660" s="101"/>
      <c r="O660" s="78"/>
      <c r="P660" s="78"/>
      <c r="Q660" s="78"/>
      <c r="R660" s="78"/>
      <c r="S660" s="78"/>
      <c r="T660" s="78"/>
      <c r="U660" s="121"/>
      <c r="V660" s="121"/>
      <c r="W660" s="101"/>
    </row>
    <row r="661" spans="1:23" ht="12.75">
      <c r="A661" s="97"/>
      <c r="B661" s="78">
        <v>30</v>
      </c>
      <c r="C661" s="78" t="str">
        <f>'Unit tariffs'!B$110</f>
        <v>km-truck with platform</v>
      </c>
      <c r="D661" s="78"/>
      <c r="E661" s="78"/>
      <c r="F661" s="78"/>
      <c r="G661" s="78"/>
      <c r="H661" s="80">
        <v>973.9707276000003</v>
      </c>
      <c r="I661" s="80">
        <f>VLOOKUP($C661,'Unit tariffs'!$B$21:$F$122,5,FALSE)*$B661</f>
        <v>1212.682441720518</v>
      </c>
      <c r="J661" s="101"/>
      <c r="O661" s="78">
        <v>30</v>
      </c>
      <c r="P661" s="78">
        <f>'Unit tariffs'!O$110</f>
        <v>0</v>
      </c>
      <c r="Q661" s="78"/>
      <c r="R661" s="78"/>
      <c r="S661" s="78"/>
      <c r="T661" s="78"/>
      <c r="U661" s="80">
        <v>973.9707276000003</v>
      </c>
      <c r="V661" s="80">
        <f>VLOOKUP($C661,'Unit tariffs'!$B$21:$F$122,5,FALSE)*$B661</f>
        <v>1212.682441720518</v>
      </c>
      <c r="W661" s="101"/>
    </row>
    <row r="662" spans="1:23" ht="12.75">
      <c r="A662" s="97"/>
      <c r="B662" s="78">
        <v>8</v>
      </c>
      <c r="C662" s="78" t="str">
        <f>'Unit tariffs'!B$111</f>
        <v>hour-truck with platform</v>
      </c>
      <c r="D662" s="78"/>
      <c r="E662" s="78"/>
      <c r="F662" s="78"/>
      <c r="G662" s="78"/>
      <c r="H662" s="87">
        <v>335.22502000000003</v>
      </c>
      <c r="I662" s="87">
        <f>VLOOKUP($C662,'Unit tariffs'!$B$21:$F$122,5,FALSE)*$B662</f>
        <v>1573.7767164044</v>
      </c>
      <c r="J662" s="101"/>
      <c r="O662" s="78">
        <v>8</v>
      </c>
      <c r="P662" s="78">
        <f>'Unit tariffs'!O$111</f>
        <v>0</v>
      </c>
      <c r="Q662" s="78"/>
      <c r="R662" s="78"/>
      <c r="S662" s="78"/>
      <c r="T662" s="78"/>
      <c r="U662" s="87">
        <v>335.22502000000003</v>
      </c>
      <c r="V662" s="87">
        <f>VLOOKUP($C662,'Unit tariffs'!$B$21:$F$122,5,FALSE)*$B662</f>
        <v>1573.7767164044</v>
      </c>
      <c r="W662" s="101"/>
    </row>
    <row r="663" spans="1:23" ht="13.5" thickBot="1">
      <c r="A663" s="97"/>
      <c r="B663" s="78"/>
      <c r="C663" s="78"/>
      <c r="D663" s="78"/>
      <c r="E663" s="78"/>
      <c r="F663" s="78"/>
      <c r="G663" s="78"/>
      <c r="H663" s="113">
        <f>SUM(H661:H662)</f>
        <v>1309.1957476000002</v>
      </c>
      <c r="I663" s="113">
        <f>SUM(I661:I662)</f>
        <v>2786.459158124918</v>
      </c>
      <c r="J663" s="101"/>
      <c r="O663" s="78"/>
      <c r="P663" s="78"/>
      <c r="Q663" s="78"/>
      <c r="R663" s="78"/>
      <c r="S663" s="78"/>
      <c r="T663" s="78"/>
      <c r="U663" s="113">
        <f>SUM(U661:U662)</f>
        <v>1309.1957476000002</v>
      </c>
      <c r="V663" s="113">
        <f>SUM(V661:V662)</f>
        <v>2786.459158124918</v>
      </c>
      <c r="W663" s="101"/>
    </row>
    <row r="664" spans="1:23" ht="13.5" thickTop="1">
      <c r="A664" s="97"/>
      <c r="B664" s="78"/>
      <c r="C664" s="78"/>
      <c r="D664" s="78"/>
      <c r="E664" s="78"/>
      <c r="F664" s="78"/>
      <c r="G664" s="80"/>
      <c r="H664" s="80">
        <f>H663+H658+H652+H637</f>
        <v>35622.48498783371</v>
      </c>
      <c r="I664" s="80">
        <f>+I663+I658+I652+I637</f>
        <v>41806.37506853092</v>
      </c>
      <c r="J664" s="101"/>
      <c r="O664" s="78"/>
      <c r="P664" s="78"/>
      <c r="Q664" s="78"/>
      <c r="R664" s="78"/>
      <c r="S664" s="78"/>
      <c r="T664" s="80"/>
      <c r="U664" s="80">
        <f>U663+U658+U652+U637</f>
        <v>10250.509987833717</v>
      </c>
      <c r="V664" s="80">
        <f>+V663+V658+V652+V637</f>
        <v>30642.70606853092</v>
      </c>
      <c r="W664" s="101"/>
    </row>
    <row r="665" spans="1:23" ht="13.5" thickBot="1">
      <c r="A665" s="97"/>
      <c r="B665" s="110" t="str">
        <f>'Unit tariffs'!$B$7</f>
        <v>Administration Levy (Indirect Cost)</v>
      </c>
      <c r="C665" s="78"/>
      <c r="D665" s="112">
        <f>'Unit tariffs'!$C$7</f>
        <v>0.1</v>
      </c>
      <c r="E665" s="78" t="s">
        <v>312</v>
      </c>
      <c r="F665" s="196">
        <f>+'Unit tariffs'!$F$7</f>
        <v>10000</v>
      </c>
      <c r="G665" s="80"/>
      <c r="H665" s="114">
        <f>H664*0.2636</f>
        <v>9390.087042792966</v>
      </c>
      <c r="I665" s="114">
        <f>IF(I664*$D665&gt;='Unit tariffs'!$E$7,'Unit tariffs'!$E$7,I664*$D665)</f>
        <v>4180.637506853092</v>
      </c>
      <c r="J665" s="101"/>
      <c r="O665" s="110" t="str">
        <f>'Unit tariffs'!$B$7</f>
        <v>Administration Levy (Indirect Cost)</v>
      </c>
      <c r="P665" s="78"/>
      <c r="Q665" s="112">
        <f>'Unit tariffs'!$C$7</f>
        <v>0.1</v>
      </c>
      <c r="R665" s="78" t="s">
        <v>312</v>
      </c>
      <c r="S665" s="196">
        <f>+'Unit tariffs'!$F$7</f>
        <v>10000</v>
      </c>
      <c r="T665" s="80"/>
      <c r="U665" s="114">
        <f>U664*0.2636</f>
        <v>2702.034432792968</v>
      </c>
      <c r="V665" s="114">
        <f>IF(V664*$D665&gt;='Unit tariffs'!$E$7,'Unit tariffs'!$E$7,V664*$D665)</f>
        <v>3064.270606853092</v>
      </c>
      <c r="W665" s="101"/>
    </row>
    <row r="666" spans="1:23" ht="13.5" thickTop="1">
      <c r="A666" s="97"/>
      <c r="B666" s="110" t="s">
        <v>44</v>
      </c>
      <c r="C666" s="78"/>
      <c r="D666" s="78"/>
      <c r="E666" s="78"/>
      <c r="F666" s="78"/>
      <c r="G666" s="80"/>
      <c r="H666" s="115">
        <f>SUM(H664:H665)</f>
        <v>45012.572030626674</v>
      </c>
      <c r="I666" s="115">
        <f>SUM(I664:I665)</f>
        <v>45987.01257538401</v>
      </c>
      <c r="J666" s="101"/>
      <c r="O666" s="110" t="s">
        <v>44</v>
      </c>
      <c r="P666" s="78"/>
      <c r="Q666" s="78"/>
      <c r="R666" s="78"/>
      <c r="S666" s="78"/>
      <c r="T666" s="80"/>
      <c r="U666" s="115">
        <f>SUM(U664:U665)</f>
        <v>12952.544420626684</v>
      </c>
      <c r="V666" s="115">
        <f>SUM(V664:V665)</f>
        <v>33706.97667538401</v>
      </c>
      <c r="W666" s="101"/>
    </row>
    <row r="667" spans="1:23" ht="12.75">
      <c r="A667" s="97"/>
      <c r="B667" s="110"/>
      <c r="C667" s="78"/>
      <c r="D667" s="78"/>
      <c r="E667" s="78"/>
      <c r="F667" s="78"/>
      <c r="G667" s="80"/>
      <c r="H667" s="78"/>
      <c r="I667" s="78"/>
      <c r="J667" s="119"/>
      <c r="O667" s="110"/>
      <c r="P667" s="78"/>
      <c r="Q667" s="78"/>
      <c r="R667" s="78"/>
      <c r="S667" s="78"/>
      <c r="T667" s="80"/>
      <c r="U667" s="78"/>
      <c r="V667" s="78"/>
      <c r="W667" s="119"/>
    </row>
    <row r="668" spans="1:23" ht="12.75">
      <c r="A668" s="97"/>
      <c r="B668" s="110" t="s">
        <v>45</v>
      </c>
      <c r="C668" s="78"/>
      <c r="D668" s="78"/>
      <c r="E668" s="78"/>
      <c r="F668" s="78"/>
      <c r="G668" s="78"/>
      <c r="H668" s="90">
        <f>ROUND(H666,-1)</f>
        <v>45010</v>
      </c>
      <c r="I668" s="90">
        <f>ROUND(I666,-1)</f>
        <v>45990</v>
      </c>
      <c r="J668" s="119"/>
      <c r="O668" s="110" t="s">
        <v>45</v>
      </c>
      <c r="P668" s="78"/>
      <c r="Q668" s="78"/>
      <c r="R668" s="78"/>
      <c r="S668" s="78"/>
      <c r="T668" s="78"/>
      <c r="U668" s="90">
        <f>ROUND(U666,-1)</f>
        <v>12950</v>
      </c>
      <c r="V668" s="90">
        <f>ROUND(V666,-1)</f>
        <v>33710</v>
      </c>
      <c r="W668" s="119"/>
    </row>
    <row r="669" spans="1:23" ht="12.75">
      <c r="A669" s="97"/>
      <c r="B669" s="78"/>
      <c r="C669" s="78"/>
      <c r="D669" s="78"/>
      <c r="E669" s="78"/>
      <c r="F669" s="78"/>
      <c r="G669" s="78"/>
      <c r="H669" s="80"/>
      <c r="I669" s="80"/>
      <c r="J669" s="119"/>
      <c r="O669" s="78"/>
      <c r="P669" s="78"/>
      <c r="Q669" s="78"/>
      <c r="R669" s="78"/>
      <c r="S669" s="78"/>
      <c r="T669" s="78"/>
      <c r="U669" s="80"/>
      <c r="V669" s="80"/>
      <c r="W669" s="119"/>
    </row>
    <row r="670" spans="1:23" ht="12.75">
      <c r="A670" s="97"/>
      <c r="B670" s="78"/>
      <c r="C670" s="78"/>
      <c r="D670" s="78"/>
      <c r="E670" s="78"/>
      <c r="F670" s="78"/>
      <c r="G670" s="78"/>
      <c r="H670" s="118">
        <v>0.048</v>
      </c>
      <c r="I670" s="118">
        <f>(I668-H668)/H668</f>
        <v>0.02177293934681182</v>
      </c>
      <c r="J670" s="119"/>
      <c r="O670" s="78"/>
      <c r="P670" s="78"/>
      <c r="Q670" s="78"/>
      <c r="R670" s="78"/>
      <c r="S670" s="78"/>
      <c r="T670" s="78"/>
      <c r="U670" s="118">
        <v>0.048</v>
      </c>
      <c r="V670" s="118">
        <f>(V668-U668)/U668</f>
        <v>1.603088803088803</v>
      </c>
      <c r="W670" s="119"/>
    </row>
    <row r="671" spans="1:23" ht="13.5" thickBot="1">
      <c r="A671" s="462"/>
      <c r="B671" s="130"/>
      <c r="C671" s="130"/>
      <c r="D671" s="130"/>
      <c r="E671" s="130"/>
      <c r="F671" s="130"/>
      <c r="G671" s="130"/>
      <c r="H671" s="130"/>
      <c r="I671" s="130"/>
      <c r="J671" s="101"/>
      <c r="O671" s="130"/>
      <c r="P671" s="130"/>
      <c r="Q671" s="130"/>
      <c r="R671" s="130"/>
      <c r="S671" s="130"/>
      <c r="T671" s="130"/>
      <c r="U671" s="130"/>
      <c r="V671" s="130"/>
      <c r="W671" s="101"/>
    </row>
    <row r="672" spans="1:23" ht="13.5" thickTop="1">
      <c r="A672" s="97"/>
      <c r="B672" s="78"/>
      <c r="C672" s="78"/>
      <c r="D672" s="78"/>
      <c r="E672" s="78"/>
      <c r="F672" s="78"/>
      <c r="G672" s="78"/>
      <c r="H672" s="78"/>
      <c r="I672" s="78"/>
      <c r="J672" s="101"/>
      <c r="O672" s="78"/>
      <c r="P672" s="78"/>
      <c r="Q672" s="78"/>
      <c r="R672" s="78"/>
      <c r="S672" s="78"/>
      <c r="T672" s="78"/>
      <c r="U672" s="78"/>
      <c r="V672" s="78"/>
      <c r="W672" s="101"/>
    </row>
    <row r="673" spans="1:23" ht="26.25" customHeight="1">
      <c r="A673" s="97"/>
      <c r="B673" s="820" t="s">
        <v>571</v>
      </c>
      <c r="C673" s="821"/>
      <c r="D673" s="821"/>
      <c r="E673" s="821"/>
      <c r="F673" s="821"/>
      <c r="G673" s="822"/>
      <c r="H673" s="78"/>
      <c r="I673" s="140" t="s">
        <v>244</v>
      </c>
      <c r="J673" s="101"/>
      <c r="O673" s="820" t="s">
        <v>571</v>
      </c>
      <c r="P673" s="821"/>
      <c r="Q673" s="821"/>
      <c r="R673" s="821"/>
      <c r="S673" s="821"/>
      <c r="T673" s="822"/>
      <c r="U673" s="78"/>
      <c r="V673" s="140" t="s">
        <v>244</v>
      </c>
      <c r="W673" s="101"/>
    </row>
    <row r="674" spans="1:23" ht="12.75">
      <c r="A674" s="97"/>
      <c r="B674" s="78"/>
      <c r="C674" s="78"/>
      <c r="D674" s="78"/>
      <c r="E674" s="78"/>
      <c r="F674" s="78"/>
      <c r="G674" s="78"/>
      <c r="H674" s="109" t="str">
        <f>+H$11</f>
        <v>2020/2021</v>
      </c>
      <c r="I674" s="109" t="str">
        <f>+'Unit tariffs'!$F$11</f>
        <v>2021/2022</v>
      </c>
      <c r="J674" s="458" t="s">
        <v>315</v>
      </c>
      <c r="O674" s="78"/>
      <c r="P674" s="78"/>
      <c r="Q674" s="78"/>
      <c r="R674" s="78"/>
      <c r="S674" s="78"/>
      <c r="T674" s="78"/>
      <c r="U674" s="109">
        <f>+U$11</f>
        <v>0</v>
      </c>
      <c r="V674" s="109" t="str">
        <f>+'Unit tariffs'!$F$11</f>
        <v>2021/2022</v>
      </c>
      <c r="W674" s="458" t="s">
        <v>315</v>
      </c>
    </row>
    <row r="675" spans="1:23" ht="13.5">
      <c r="A675" s="97"/>
      <c r="B675" s="78"/>
      <c r="C675" s="78"/>
      <c r="D675" s="78"/>
      <c r="E675" s="78"/>
      <c r="F675" s="78"/>
      <c r="G675" s="78"/>
      <c r="H675" s="144"/>
      <c r="I675" s="134"/>
      <c r="J675" s="464"/>
      <c r="O675" s="78"/>
      <c r="P675" s="78"/>
      <c r="Q675" s="78"/>
      <c r="R675" s="78"/>
      <c r="S675" s="78"/>
      <c r="T675" s="78"/>
      <c r="U675" s="144"/>
      <c r="V675" s="134"/>
      <c r="W675" s="464"/>
    </row>
    <row r="676" spans="1:23" ht="13.5">
      <c r="A676" s="97"/>
      <c r="B676" s="78"/>
      <c r="C676" s="78"/>
      <c r="D676" s="78"/>
      <c r="E676" s="78"/>
      <c r="F676" s="78"/>
      <c r="G676" s="78"/>
      <c r="H676" s="144"/>
      <c r="I676" s="148"/>
      <c r="J676" s="464"/>
      <c r="O676" s="78"/>
      <c r="P676" s="78"/>
      <c r="Q676" s="78"/>
      <c r="R676" s="78"/>
      <c r="S676" s="78"/>
      <c r="T676" s="78"/>
      <c r="U676" s="144"/>
      <c r="V676" s="148"/>
      <c r="W676" s="464"/>
    </row>
    <row r="677" spans="1:23" ht="13.5" customHeight="1">
      <c r="A677" s="97"/>
      <c r="B677" s="110" t="s">
        <v>117</v>
      </c>
      <c r="C677" s="78"/>
      <c r="D677" s="78"/>
      <c r="E677" s="78"/>
      <c r="F677" s="78"/>
      <c r="G677" s="78"/>
      <c r="H677" s="145"/>
      <c r="I677" s="78"/>
      <c r="J677" s="464"/>
      <c r="O677" s="110" t="s">
        <v>117</v>
      </c>
      <c r="P677" s="78"/>
      <c r="Q677" s="78"/>
      <c r="R677" s="78"/>
      <c r="S677" s="78"/>
      <c r="T677" s="78"/>
      <c r="U677" s="145"/>
      <c r="V677" s="78"/>
      <c r="W677" s="464"/>
    </row>
    <row r="678" spans="1:24" ht="13.5" customHeight="1">
      <c r="A678" s="97"/>
      <c r="B678" s="743">
        <v>7.5</v>
      </c>
      <c r="C678" s="91" t="str">
        <f>'Unit tariffs'!B137</f>
        <v>Secondary Backbone - MV Peri Urban</v>
      </c>
      <c r="D678" s="91"/>
      <c r="E678" s="91"/>
      <c r="F678" s="91" t="s">
        <v>95</v>
      </c>
      <c r="G678" s="91"/>
      <c r="H678" s="748">
        <f>'Unit tariffs'!E137*B678</f>
        <v>6626.625</v>
      </c>
      <c r="I678" s="198">
        <f>VLOOKUP($C678,'Unit tariffs'!$B$21:$F$154,5,FALSE)*$B678</f>
        <v>7289.287499999999</v>
      </c>
      <c r="J678" s="134"/>
      <c r="K678" s="121"/>
      <c r="O678" s="743">
        <v>4.5</v>
      </c>
      <c r="P678" s="91" t="str">
        <f>C678</f>
        <v>Secondary Backbone - MV Peri Urban</v>
      </c>
      <c r="Q678" s="91"/>
      <c r="R678" s="91"/>
      <c r="S678" s="91" t="s">
        <v>95</v>
      </c>
      <c r="T678" s="91"/>
      <c r="U678" s="748">
        <f>'Unit tariffs'!R137*O678</f>
        <v>0</v>
      </c>
      <c r="V678" s="198">
        <f>VLOOKUP($C678,'Unit tariffs'!$B$21:$F$154,5,FALSE)*$O678</f>
        <v>4373.5725</v>
      </c>
      <c r="W678" s="134"/>
      <c r="X678" s="121"/>
    </row>
    <row r="679" spans="1:23" ht="12.75">
      <c r="A679" s="97"/>
      <c r="B679" s="78">
        <v>7.5</v>
      </c>
      <c r="C679" s="78" t="str">
        <f>+'Unit tariffs'!B138</f>
        <v>Secondary Backbone - LV Peri Urban</v>
      </c>
      <c r="D679" s="78"/>
      <c r="E679" s="78"/>
      <c r="F679" s="78" t="s">
        <v>95</v>
      </c>
      <c r="G679" s="78"/>
      <c r="H679" s="89">
        <f>'Unit tariffs'!E138*B679</f>
        <v>10870.800000000001</v>
      </c>
      <c r="I679" s="87">
        <f>VLOOKUP($C679,'Unit tariffs'!$B$21:$F$154,5,FALSE)*$B679</f>
        <v>11957.880000000001</v>
      </c>
      <c r="J679" s="111"/>
      <c r="O679" s="78">
        <v>4.5</v>
      </c>
      <c r="P679" s="78" t="str">
        <f>C679</f>
        <v>Secondary Backbone - LV Peri Urban</v>
      </c>
      <c r="Q679" s="78"/>
      <c r="R679" s="78"/>
      <c r="S679" s="78" t="s">
        <v>95</v>
      </c>
      <c r="T679" s="78"/>
      <c r="U679" s="89">
        <f>'Unit tariffs'!R138*O679</f>
        <v>0</v>
      </c>
      <c r="V679" s="87">
        <f>VLOOKUP($C679,'Unit tariffs'!$B$21:$F$154,5,FALSE)*$O679</f>
        <v>7174.728000000001</v>
      </c>
      <c r="W679" s="111"/>
    </row>
    <row r="680" spans="1:23" ht="12.75">
      <c r="A680" s="97"/>
      <c r="B680" s="78"/>
      <c r="C680" s="78"/>
      <c r="D680" s="78"/>
      <c r="E680" s="78"/>
      <c r="F680" s="78"/>
      <c r="G680" s="78"/>
      <c r="H680" s="80">
        <f>SUM(H678:H679)</f>
        <v>17497.425000000003</v>
      </c>
      <c r="I680" s="90">
        <f>SUM(I677:I679)</f>
        <v>19247.1675</v>
      </c>
      <c r="J680" s="101"/>
      <c r="O680" s="78"/>
      <c r="P680" s="78"/>
      <c r="Q680" s="78"/>
      <c r="R680" s="78"/>
      <c r="S680" s="78"/>
      <c r="T680" s="78"/>
      <c r="U680" s="80">
        <f>SUM(U678:U679)</f>
        <v>0</v>
      </c>
      <c r="V680" s="90">
        <f>SUM(V677:V679)</f>
        <v>11548.300500000001</v>
      </c>
      <c r="W680" s="101"/>
    </row>
    <row r="681" spans="1:23" ht="12.75">
      <c r="A681" s="97"/>
      <c r="B681" s="110" t="s">
        <v>41</v>
      </c>
      <c r="C681" s="78"/>
      <c r="D681" s="78"/>
      <c r="E681" s="78"/>
      <c r="F681" s="78"/>
      <c r="G681" s="78"/>
      <c r="H681" s="145"/>
      <c r="I681" s="142"/>
      <c r="J681" s="101"/>
      <c r="O681" s="110" t="s">
        <v>41</v>
      </c>
      <c r="P681" s="78"/>
      <c r="Q681" s="78"/>
      <c r="R681" s="78"/>
      <c r="S681" s="78"/>
      <c r="T681" s="78"/>
      <c r="U681" s="145"/>
      <c r="V681" s="142"/>
      <c r="W681" s="101"/>
    </row>
    <row r="682" spans="1:23" ht="12.75">
      <c r="A682" s="97"/>
      <c r="B682" s="78"/>
      <c r="C682" s="78"/>
      <c r="D682" s="78"/>
      <c r="E682" s="78"/>
      <c r="F682" s="78"/>
      <c r="G682" s="78"/>
      <c r="H682" s="88"/>
      <c r="I682" s="142"/>
      <c r="J682" s="111"/>
      <c r="O682" s="78"/>
      <c r="P682" s="78"/>
      <c r="Q682" s="78"/>
      <c r="R682" s="78"/>
      <c r="S682" s="78"/>
      <c r="T682" s="78"/>
      <c r="U682" s="88"/>
      <c r="V682" s="142"/>
      <c r="W682" s="111"/>
    </row>
    <row r="683" spans="1:23" ht="15">
      <c r="A683" s="97"/>
      <c r="B683" s="78">
        <v>1</v>
      </c>
      <c r="C683" s="470" t="str">
        <f>+'Unit tariffs'!B45</f>
        <v>METER: TIME OF USE 100 AMP</v>
      </c>
      <c r="D683" s="78"/>
      <c r="E683" s="78"/>
      <c r="F683" s="78"/>
      <c r="G683" s="78"/>
      <c r="H683" s="80">
        <v>5100.68542</v>
      </c>
      <c r="I683" s="80">
        <f>VLOOKUP($C683,'Unit tariffs'!$B$21:$F$122,5,FALSE)*$B683</f>
        <v>5314.91420764</v>
      </c>
      <c r="J683" s="471" t="e">
        <f>IF(+I683*'Unit tariffs'!#REF!&gt;'Unit tariffs'!#REF!,'Unit tariffs'!#REF!,+I683*'Unit tariffs'!#REF!)</f>
        <v>#REF!</v>
      </c>
      <c r="O683" s="78">
        <v>1</v>
      </c>
      <c r="P683" s="470">
        <f>+'Unit tariffs'!O45</f>
        <v>0</v>
      </c>
      <c r="Q683" s="78"/>
      <c r="R683" s="78"/>
      <c r="S683" s="78"/>
      <c r="T683" s="78"/>
      <c r="U683" s="80">
        <v>5100.68542</v>
      </c>
      <c r="V683" s="80">
        <f>VLOOKUP($C683,'Unit tariffs'!$B$21:$F$122,5,FALSE)*$B683</f>
        <v>5314.91420764</v>
      </c>
      <c r="W683" s="471" t="e">
        <f>IF(+V683*'Unit tariffs'!#REF!&gt;'Unit tariffs'!#REF!,'Unit tariffs'!#REF!,+V683*'Unit tariffs'!#REF!)</f>
        <v>#REF!</v>
      </c>
    </row>
    <row r="684" spans="1:23" ht="12.75">
      <c r="A684" s="97"/>
      <c r="B684" s="78">
        <v>1</v>
      </c>
      <c r="C684" s="78" t="s">
        <v>230</v>
      </c>
      <c r="D684" s="78"/>
      <c r="E684" s="78"/>
      <c r="F684" s="78"/>
      <c r="G684" s="78"/>
      <c r="H684" s="80">
        <v>3414.6847999999995</v>
      </c>
      <c r="I684" s="80">
        <f>VLOOKUP($C684,'Unit tariffs'!$B$21:$F$122,5,FALSE)*$B684</f>
        <v>3558.1015615999995</v>
      </c>
      <c r="J684" s="471" t="e">
        <f>IF(+I684*'Unit tariffs'!#REF!&gt;'Unit tariffs'!#REF!,'Unit tariffs'!#REF!,+I684*'Unit tariffs'!#REF!)</f>
        <v>#REF!</v>
      </c>
      <c r="O684" s="78">
        <v>1</v>
      </c>
      <c r="P684" s="78" t="s">
        <v>230</v>
      </c>
      <c r="Q684" s="78"/>
      <c r="R684" s="78"/>
      <c r="S684" s="78"/>
      <c r="T684" s="78"/>
      <c r="U684" s="80">
        <v>3414.6847999999995</v>
      </c>
      <c r="V684" s="80">
        <f>VLOOKUP($C684,'Unit tariffs'!$B$21:$F$122,5,FALSE)*$B684</f>
        <v>3558.1015615999995</v>
      </c>
      <c r="W684" s="471" t="e">
        <f>IF(+V684*'Unit tariffs'!#REF!&gt;'Unit tariffs'!#REF!,'Unit tariffs'!#REF!,+V684*'Unit tariffs'!#REF!)</f>
        <v>#REF!</v>
      </c>
    </row>
    <row r="685" spans="1:23" ht="12.75">
      <c r="A685" s="97"/>
      <c r="B685" s="78">
        <v>3</v>
      </c>
      <c r="C685" s="78" t="str">
        <f>'Unit tariffs'!B42</f>
        <v>x 80 A circuit breaker (5kA) - Orange</v>
      </c>
      <c r="D685" s="78"/>
      <c r="E685" s="78"/>
      <c r="F685" s="78"/>
      <c r="G685" s="78"/>
      <c r="H685" s="80">
        <v>541.0141229999999</v>
      </c>
      <c r="I685" s="80">
        <f>VLOOKUP($C685,'Unit tariffs'!$B$21:$F$122,5,FALSE)*$B685</f>
        <v>563.736716166</v>
      </c>
      <c r="J685" s="471" t="e">
        <f>IF(+I685*'Unit tariffs'!#REF!&gt;'Unit tariffs'!#REF!,'Unit tariffs'!#REF!,+I685*'Unit tariffs'!#REF!)</f>
        <v>#REF!</v>
      </c>
      <c r="O685" s="78">
        <v>3</v>
      </c>
      <c r="P685" s="78">
        <f>'Unit tariffs'!O42</f>
        <v>0</v>
      </c>
      <c r="Q685" s="78"/>
      <c r="R685" s="78"/>
      <c r="S685" s="78"/>
      <c r="T685" s="78"/>
      <c r="U685" s="80">
        <v>541.0141229999999</v>
      </c>
      <c r="V685" s="80">
        <f>VLOOKUP($C685,'Unit tariffs'!$B$21:$F$122,5,FALSE)*$B685</f>
        <v>563.736716166</v>
      </c>
      <c r="W685" s="471" t="e">
        <f>IF(+V685*'Unit tariffs'!#REF!&gt;'Unit tariffs'!#REF!,'Unit tariffs'!#REF!,+V685*'Unit tariffs'!#REF!)</f>
        <v>#REF!</v>
      </c>
    </row>
    <row r="686" spans="1:23" ht="12.75">
      <c r="A686" s="97"/>
      <c r="B686" s="91">
        <v>0</v>
      </c>
      <c r="C686" s="78" t="str">
        <f>'Unit tariffs'!B71</f>
        <v>Cable clamp (Clampex) - K26</v>
      </c>
      <c r="D686" s="78"/>
      <c r="E686" s="78"/>
      <c r="F686" s="78"/>
      <c r="G686" s="78"/>
      <c r="H686" s="80">
        <v>32.08197743055</v>
      </c>
      <c r="I686" s="80">
        <f>VLOOKUP($C686,'Unit tariffs'!$B$21:$F$122,5,FALSE)*$B686</f>
        <v>0</v>
      </c>
      <c r="J686" s="471" t="e">
        <f>IF(+I686*'Unit tariffs'!#REF!&gt;'Unit tariffs'!#REF!,'Unit tariffs'!#REF!,+I686*'Unit tariffs'!#REF!)</f>
        <v>#REF!</v>
      </c>
      <c r="O686" s="91">
        <v>0</v>
      </c>
      <c r="P686" s="78">
        <f>'Unit tariffs'!O71</f>
        <v>0</v>
      </c>
      <c r="Q686" s="78"/>
      <c r="R686" s="78"/>
      <c r="S686" s="78"/>
      <c r="T686" s="78"/>
      <c r="U686" s="80">
        <v>32.08197743055</v>
      </c>
      <c r="V686" s="80">
        <f>VLOOKUP($C686,'Unit tariffs'!$B$21:$F$122,5,FALSE)*$B686</f>
        <v>0</v>
      </c>
      <c r="W686" s="471" t="e">
        <f>IF(+V686*'Unit tariffs'!#REF!&gt;'Unit tariffs'!#REF!,'Unit tariffs'!#REF!,+V686*'Unit tariffs'!#REF!)</f>
        <v>#REF!</v>
      </c>
    </row>
    <row r="687" spans="1:23" ht="12.75">
      <c r="A687" s="97"/>
      <c r="B687" s="91">
        <v>0</v>
      </c>
      <c r="C687" s="78" t="str">
        <f>'Unit tariffs'!B21</f>
        <v>Installation material</v>
      </c>
      <c r="D687" s="78"/>
      <c r="E687" s="78"/>
      <c r="F687" s="78"/>
      <c r="G687" s="78"/>
      <c r="H687" s="80">
        <v>227.289957</v>
      </c>
      <c r="I687" s="80">
        <f>VLOOKUP($C687,'Unit tariffs'!$B$21:$F$122,5,FALSE)*$B687</f>
        <v>0</v>
      </c>
      <c r="J687" s="471" t="e">
        <f>IF(+I687*'Unit tariffs'!#REF!&gt;'Unit tariffs'!#REF!,'Unit tariffs'!#REF!,+I687*'Unit tariffs'!#REF!)</f>
        <v>#REF!</v>
      </c>
      <c r="O687" s="91">
        <v>0</v>
      </c>
      <c r="P687" s="78">
        <f>'Unit tariffs'!O21</f>
        <v>0</v>
      </c>
      <c r="Q687" s="78"/>
      <c r="R687" s="78"/>
      <c r="S687" s="78"/>
      <c r="T687" s="78"/>
      <c r="U687" s="80">
        <v>227.289957</v>
      </c>
      <c r="V687" s="80">
        <f>VLOOKUP($C687,'Unit tariffs'!$B$21:$F$122,5,FALSE)*$B687</f>
        <v>0</v>
      </c>
      <c r="W687" s="471" t="e">
        <f>IF(+V687*'Unit tariffs'!#REF!&gt;'Unit tariffs'!#REF!,'Unit tariffs'!#REF!,+V687*'Unit tariffs'!#REF!)</f>
        <v>#REF!</v>
      </c>
    </row>
    <row r="688" spans="1:23" ht="12.75">
      <c r="A688" s="97"/>
      <c r="B688" s="91">
        <v>0</v>
      </c>
      <c r="C688" s="78" t="str">
        <f>'Unit tariffs'!B37</f>
        <v> Rural household meter box</v>
      </c>
      <c r="D688" s="78"/>
      <c r="E688" s="78"/>
      <c r="F688" s="78"/>
      <c r="G688" s="78"/>
      <c r="H688" s="80">
        <v>1844.9968809999996</v>
      </c>
      <c r="I688" s="80">
        <f>VLOOKUP($C688,'Unit tariffs'!$B$21:$F$122,5,FALSE)*$B688</f>
        <v>0</v>
      </c>
      <c r="J688" s="471" t="e">
        <f>IF(+I688*'Unit tariffs'!#REF!&gt;'Unit tariffs'!#REF!,'Unit tariffs'!#REF!,+I688*'Unit tariffs'!#REF!)</f>
        <v>#REF!</v>
      </c>
      <c r="O688" s="91">
        <v>0</v>
      </c>
      <c r="P688" s="78">
        <f>'Unit tariffs'!O37</f>
        <v>0</v>
      </c>
      <c r="Q688" s="78"/>
      <c r="R688" s="78"/>
      <c r="S688" s="78"/>
      <c r="T688" s="78"/>
      <c r="U688" s="80">
        <v>1844.9968809999996</v>
      </c>
      <c r="V688" s="80">
        <f>VLOOKUP($C688,'Unit tariffs'!$B$21:$F$122,5,FALSE)*$B688</f>
        <v>0</v>
      </c>
      <c r="W688" s="471" t="e">
        <f>IF(+V688*'Unit tariffs'!#REF!&gt;'Unit tariffs'!#REF!,'Unit tariffs'!#REF!,+V688*'Unit tariffs'!#REF!)</f>
        <v>#REF!</v>
      </c>
    </row>
    <row r="689" spans="1:23" ht="12.75">
      <c r="A689" s="97"/>
      <c r="B689" s="91">
        <v>0</v>
      </c>
      <c r="C689" s="78" t="str">
        <f>'Unit tariffs'!B61</f>
        <v>3m Pole for rural box</v>
      </c>
      <c r="D689" s="78"/>
      <c r="E689" s="78"/>
      <c r="F689" s="78"/>
      <c r="G689" s="78"/>
      <c r="H689" s="80">
        <v>229.23205897999998</v>
      </c>
      <c r="I689" s="80">
        <f>VLOOKUP($C689,'Unit tariffs'!$B$21:$F$122,5,FALSE)*$B689</f>
        <v>0</v>
      </c>
      <c r="J689" s="471" t="e">
        <f>IF(+I689*'Unit tariffs'!#REF!&gt;'Unit tariffs'!#REF!,'Unit tariffs'!#REF!,+I689*'Unit tariffs'!#REF!)</f>
        <v>#REF!</v>
      </c>
      <c r="O689" s="91">
        <v>0</v>
      </c>
      <c r="P689" s="78">
        <f>'Unit tariffs'!O61</f>
        <v>0</v>
      </c>
      <c r="Q689" s="78"/>
      <c r="R689" s="78"/>
      <c r="S689" s="78"/>
      <c r="T689" s="78"/>
      <c r="U689" s="80">
        <v>229.23205897999998</v>
      </c>
      <c r="V689" s="80">
        <f>VLOOKUP($C689,'Unit tariffs'!$B$21:$F$122,5,FALSE)*$B689</f>
        <v>0</v>
      </c>
      <c r="W689" s="471" t="e">
        <f>IF(+V689*'Unit tariffs'!#REF!&gt;'Unit tariffs'!#REF!,'Unit tariffs'!#REF!,+V689*'Unit tariffs'!#REF!)</f>
        <v>#REF!</v>
      </c>
    </row>
    <row r="690" spans="1:23" ht="12.75">
      <c r="A690" s="97"/>
      <c r="B690" s="91">
        <v>0</v>
      </c>
      <c r="C690" s="78" t="str">
        <f>'Unit tariffs'!B55</f>
        <v>m 16 mm x 4 Cu cable</v>
      </c>
      <c r="D690" s="78"/>
      <c r="E690" s="78"/>
      <c r="F690" s="78"/>
      <c r="G690" s="78"/>
      <c r="H690" s="80">
        <v>4072.2831981504996</v>
      </c>
      <c r="I690" s="80">
        <f>VLOOKUP($C690,'Unit tariffs'!$B$21:$F$122,5,FALSE)*$B690</f>
        <v>0</v>
      </c>
      <c r="J690" s="471" t="e">
        <f>IF(+I690*'Unit tariffs'!#REF!&gt;'Unit tariffs'!#REF!,'Unit tariffs'!#REF!,+I690*'Unit tariffs'!#REF!)</f>
        <v>#REF!</v>
      </c>
      <c r="O690" s="91">
        <v>0</v>
      </c>
      <c r="P690" s="78">
        <f>'Unit tariffs'!O55</f>
        <v>0</v>
      </c>
      <c r="Q690" s="78"/>
      <c r="R690" s="78"/>
      <c r="S690" s="78"/>
      <c r="T690" s="78"/>
      <c r="U690" s="80">
        <v>4072.2831981504996</v>
      </c>
      <c r="V690" s="80">
        <f>VLOOKUP($C690,'Unit tariffs'!$B$21:$F$122,5,FALSE)*$B690</f>
        <v>0</v>
      </c>
      <c r="W690" s="471" t="e">
        <f>IF(+V690*'Unit tariffs'!#REF!&gt;'Unit tariffs'!#REF!,'Unit tariffs'!#REF!,+V690*'Unit tariffs'!#REF!)</f>
        <v>#REF!</v>
      </c>
    </row>
    <row r="691" spans="1:23" ht="12.75">
      <c r="A691" s="97"/>
      <c r="B691" s="91">
        <v>0</v>
      </c>
      <c r="C691" s="78" t="str">
        <f>'Unit tariffs'!B43</f>
        <v>x 100 A circuit breaker</v>
      </c>
      <c r="D691" s="78"/>
      <c r="E691" s="78"/>
      <c r="F691" s="78"/>
      <c r="G691" s="78"/>
      <c r="H691" s="80">
        <v>774.2224223662499</v>
      </c>
      <c r="I691" s="80">
        <f>VLOOKUP($C691,'Unit tariffs'!$B$21:$F$122,5,FALSE)*$B691</f>
        <v>0</v>
      </c>
      <c r="J691" s="471" t="e">
        <f>IF(+I691*'Unit tariffs'!#REF!&gt;'Unit tariffs'!#REF!,'Unit tariffs'!#REF!,+I691*'Unit tariffs'!#REF!)</f>
        <v>#REF!</v>
      </c>
      <c r="O691" s="91">
        <v>0</v>
      </c>
      <c r="P691" s="78">
        <f>'Unit tariffs'!O43</f>
        <v>0</v>
      </c>
      <c r="Q691" s="78"/>
      <c r="R691" s="78"/>
      <c r="S691" s="78"/>
      <c r="T691" s="78"/>
      <c r="U691" s="80">
        <v>774.2224223662499</v>
      </c>
      <c r="V691" s="80">
        <f>VLOOKUP($C691,'Unit tariffs'!$B$21:$F$122,5,FALSE)*$B691</f>
        <v>0</v>
      </c>
      <c r="W691" s="471" t="e">
        <f>IF(+V691*'Unit tariffs'!#REF!&gt;'Unit tariffs'!#REF!,'Unit tariffs'!#REF!,+V691*'Unit tariffs'!#REF!)</f>
        <v>#REF!</v>
      </c>
    </row>
    <row r="692" spans="1:23" ht="12.75">
      <c r="A692" s="97"/>
      <c r="B692" s="91">
        <v>0</v>
      </c>
      <c r="C692" s="78" t="str">
        <f>'Unit tariffs'!B60</f>
        <v>SPB1 Pole box</v>
      </c>
      <c r="D692" s="78"/>
      <c r="E692" s="78"/>
      <c r="F692" s="78"/>
      <c r="G692" s="78"/>
      <c r="H692" s="80">
        <v>229.23205897999998</v>
      </c>
      <c r="I692" s="80">
        <f>VLOOKUP($C692,'Unit tariffs'!$B$21:$F$122,5,FALSE)*$B692</f>
        <v>0</v>
      </c>
      <c r="J692" s="471" t="e">
        <f>IF(+I692*'Unit tariffs'!#REF!&gt;'Unit tariffs'!#REF!,'Unit tariffs'!#REF!,+I692*'Unit tariffs'!#REF!)</f>
        <v>#REF!</v>
      </c>
      <c r="O692" s="91">
        <v>0</v>
      </c>
      <c r="P692" s="78">
        <f>'Unit tariffs'!O60</f>
        <v>0</v>
      </c>
      <c r="Q692" s="78"/>
      <c r="R692" s="78"/>
      <c r="S692" s="78"/>
      <c r="T692" s="78"/>
      <c r="U692" s="80">
        <v>229.23205897999998</v>
      </c>
      <c r="V692" s="80">
        <f>VLOOKUP($C692,'Unit tariffs'!$B$21:$F$122,5,FALSE)*$B692</f>
        <v>0</v>
      </c>
      <c r="W692" s="471" t="e">
        <f>IF(+V692*'Unit tariffs'!#REF!&gt;'Unit tariffs'!#REF!,'Unit tariffs'!#REF!,+V692*'Unit tariffs'!#REF!)</f>
        <v>#REF!</v>
      </c>
    </row>
    <row r="693" spans="1:23" ht="12.75">
      <c r="A693" s="97"/>
      <c r="B693" s="91">
        <v>0</v>
      </c>
      <c r="C693" s="78" t="str">
        <f>'Unit tariffs'!B49</f>
        <v>Gland (Pratley No1)</v>
      </c>
      <c r="D693" s="78"/>
      <c r="E693" s="78"/>
      <c r="F693" s="78"/>
      <c r="G693" s="78"/>
      <c r="H693" s="80">
        <v>28.990834015349993</v>
      </c>
      <c r="I693" s="80">
        <f>VLOOKUP($C693,'Unit tariffs'!$B$21:$F$122,5,FALSE)*$B693</f>
        <v>0</v>
      </c>
      <c r="J693" s="471" t="e">
        <f>IF(+I693*'Unit tariffs'!#REF!&gt;'Unit tariffs'!#REF!,'Unit tariffs'!#REF!,+I693*'Unit tariffs'!#REF!)</f>
        <v>#REF!</v>
      </c>
      <c r="O693" s="91">
        <v>0</v>
      </c>
      <c r="P693" s="78">
        <f>'Unit tariffs'!O49</f>
        <v>0</v>
      </c>
      <c r="Q693" s="78"/>
      <c r="R693" s="78"/>
      <c r="S693" s="78"/>
      <c r="T693" s="78"/>
      <c r="U693" s="80">
        <v>28.990834015349993</v>
      </c>
      <c r="V693" s="80">
        <f>VLOOKUP($C693,'Unit tariffs'!$B$21:$F$122,5,FALSE)*$B693</f>
        <v>0</v>
      </c>
      <c r="W693" s="471" t="e">
        <f>IF(+V693*'Unit tariffs'!#REF!&gt;'Unit tariffs'!#REF!,'Unit tariffs'!#REF!,+V693*'Unit tariffs'!#REF!)</f>
        <v>#REF!</v>
      </c>
    </row>
    <row r="694" spans="1:23" ht="12.75">
      <c r="A694" s="97"/>
      <c r="B694" s="78"/>
      <c r="C694" s="78"/>
      <c r="D694" s="78"/>
      <c r="E694" s="78"/>
      <c r="F694" s="78"/>
      <c r="G694" s="80"/>
      <c r="H694" s="149">
        <f>SUM(H683:H693)</f>
        <v>16494.713730922645</v>
      </c>
      <c r="I694" s="149">
        <f>SUM(I683:I693)</f>
        <v>9436.752485406</v>
      </c>
      <c r="J694" s="101"/>
      <c r="O694" s="78"/>
      <c r="P694" s="78"/>
      <c r="Q694" s="78"/>
      <c r="R694" s="78"/>
      <c r="S694" s="78"/>
      <c r="T694" s="80"/>
      <c r="U694" s="149">
        <f>SUM(U683:U693)</f>
        <v>16494.713730922645</v>
      </c>
      <c r="V694" s="149">
        <f>SUM(V683:V693)</f>
        <v>9436.752485406</v>
      </c>
      <c r="W694" s="101"/>
    </row>
    <row r="695" spans="1:23" ht="12.75">
      <c r="A695" s="97"/>
      <c r="B695" s="110" t="s">
        <v>42</v>
      </c>
      <c r="C695" s="78"/>
      <c r="D695" s="78"/>
      <c r="E695" s="78"/>
      <c r="F695" s="78"/>
      <c r="G695" s="78"/>
      <c r="H695" s="80"/>
      <c r="I695" s="80"/>
      <c r="J695" s="101"/>
      <c r="O695" s="110" t="s">
        <v>42</v>
      </c>
      <c r="P695" s="78"/>
      <c r="Q695" s="78"/>
      <c r="R695" s="78"/>
      <c r="S695" s="78"/>
      <c r="T695" s="78"/>
      <c r="U695" s="80"/>
      <c r="V695" s="80"/>
      <c r="W695" s="101"/>
    </row>
    <row r="696" spans="1:23" ht="12.75">
      <c r="A696" s="97"/>
      <c r="B696" s="78"/>
      <c r="C696" s="78"/>
      <c r="D696" s="78"/>
      <c r="E696" s="78"/>
      <c r="F696" s="78"/>
      <c r="G696" s="78"/>
      <c r="H696" s="121"/>
      <c r="I696" s="121"/>
      <c r="J696" s="111"/>
      <c r="O696" s="78"/>
      <c r="P696" s="78"/>
      <c r="Q696" s="78"/>
      <c r="R696" s="78"/>
      <c r="S696" s="78"/>
      <c r="T696" s="78"/>
      <c r="U696" s="121"/>
      <c r="V696" s="121"/>
      <c r="W696" s="111"/>
    </row>
    <row r="697" spans="1:23" ht="12.75">
      <c r="A697" s="97"/>
      <c r="B697" s="78">
        <v>2</v>
      </c>
      <c r="C697" s="78" t="str">
        <f>'Unit tariffs'!B$86</f>
        <v>hour-artisan </v>
      </c>
      <c r="D697" s="78"/>
      <c r="E697" s="78"/>
      <c r="F697" s="78"/>
      <c r="G697" s="78"/>
      <c r="H697" s="80">
        <v>720.2349302533846</v>
      </c>
      <c r="I697" s="80">
        <f>VLOOKUP($C697,'Unit tariffs'!$B$21:$F$122,5,FALSE)*$B697</f>
        <v>645.7044634615385</v>
      </c>
      <c r="J697" s="111"/>
      <c r="O697" s="78">
        <v>2</v>
      </c>
      <c r="P697" s="78">
        <f>'Unit tariffs'!O$86</f>
        <v>0</v>
      </c>
      <c r="Q697" s="78"/>
      <c r="R697" s="78"/>
      <c r="S697" s="78"/>
      <c r="T697" s="78"/>
      <c r="U697" s="80">
        <v>720.2349302533846</v>
      </c>
      <c r="V697" s="80">
        <f>VLOOKUP($C697,'Unit tariffs'!$B$21:$F$122,5,FALSE)*$B697</f>
        <v>645.7044634615385</v>
      </c>
      <c r="W697" s="111"/>
    </row>
    <row r="698" spans="1:23" ht="12.75">
      <c r="A698" s="97"/>
      <c r="B698" s="78">
        <v>8</v>
      </c>
      <c r="C698" s="78" t="str">
        <f>'Unit tariffs'!B$84</f>
        <v>hour-artisan assistant</v>
      </c>
      <c r="D698" s="78"/>
      <c r="E698" s="78"/>
      <c r="F698" s="78"/>
      <c r="G698" s="78"/>
      <c r="H698" s="87">
        <v>636.8244473874462</v>
      </c>
      <c r="I698" s="87">
        <f>VLOOKUP($C698,'Unit tariffs'!$B$21:$F$122,5,FALSE)*$B698</f>
        <v>1028.2864615384617</v>
      </c>
      <c r="J698" s="111"/>
      <c r="O698" s="78">
        <v>8</v>
      </c>
      <c r="P698" s="78">
        <f>'Unit tariffs'!O$84</f>
        <v>407.54480769230764</v>
      </c>
      <c r="Q698" s="78"/>
      <c r="R698" s="78"/>
      <c r="S698" s="78"/>
      <c r="T698" s="78"/>
      <c r="U698" s="87">
        <v>636.8244473874462</v>
      </c>
      <c r="V698" s="87">
        <f>VLOOKUP($C698,'Unit tariffs'!$B$21:$F$122,5,FALSE)*$B698</f>
        <v>1028.2864615384617</v>
      </c>
      <c r="W698" s="111"/>
    </row>
    <row r="699" spans="1:23" ht="12.75">
      <c r="A699" s="97"/>
      <c r="B699" s="78"/>
      <c r="C699" s="78"/>
      <c r="D699" s="78"/>
      <c r="E699" s="78"/>
      <c r="F699" s="78"/>
      <c r="G699" s="78"/>
      <c r="H699" s="90">
        <f>SUM(H697:H698)</f>
        <v>1357.059377640831</v>
      </c>
      <c r="I699" s="90">
        <f>SUM(I697:I698)</f>
        <v>1673.990925</v>
      </c>
      <c r="J699" s="101"/>
      <c r="O699" s="78"/>
      <c r="P699" s="78"/>
      <c r="Q699" s="78"/>
      <c r="R699" s="78"/>
      <c r="S699" s="78"/>
      <c r="T699" s="78"/>
      <c r="U699" s="90">
        <f>SUM(U697:U698)</f>
        <v>1357.059377640831</v>
      </c>
      <c r="V699" s="90">
        <f>SUM(V697:V698)</f>
        <v>1673.990925</v>
      </c>
      <c r="W699" s="101"/>
    </row>
    <row r="700" spans="1:23" ht="12.75">
      <c r="A700" s="97"/>
      <c r="B700" s="110" t="s">
        <v>43</v>
      </c>
      <c r="C700" s="78"/>
      <c r="D700" s="78"/>
      <c r="E700" s="78"/>
      <c r="F700" s="78"/>
      <c r="G700" s="78"/>
      <c r="H700" s="121"/>
      <c r="I700" s="121"/>
      <c r="J700" s="101"/>
      <c r="O700" s="110" t="s">
        <v>43</v>
      </c>
      <c r="P700" s="78"/>
      <c r="Q700" s="78"/>
      <c r="R700" s="78"/>
      <c r="S700" s="78"/>
      <c r="T700" s="78"/>
      <c r="U700" s="121"/>
      <c r="V700" s="121"/>
      <c r="W700" s="101"/>
    </row>
    <row r="701" spans="1:23" ht="12.75">
      <c r="A701" s="97"/>
      <c r="B701" s="78"/>
      <c r="C701" s="78"/>
      <c r="D701" s="78"/>
      <c r="E701" s="78"/>
      <c r="F701" s="78"/>
      <c r="G701" s="78"/>
      <c r="H701" s="121"/>
      <c r="I701" s="121"/>
      <c r="J701" s="111"/>
      <c r="O701" s="78"/>
      <c r="P701" s="78"/>
      <c r="Q701" s="78"/>
      <c r="R701" s="78"/>
      <c r="S701" s="78"/>
      <c r="T701" s="78"/>
      <c r="U701" s="121"/>
      <c r="V701" s="121"/>
      <c r="W701" s="111"/>
    </row>
    <row r="702" spans="1:23" ht="12.75">
      <c r="A702" s="97"/>
      <c r="B702" s="78">
        <v>30</v>
      </c>
      <c r="C702" s="78" t="str">
        <f>'Unit tariffs'!B$110</f>
        <v>km-truck with platform</v>
      </c>
      <c r="D702" s="78"/>
      <c r="E702" s="78"/>
      <c r="F702" s="78"/>
      <c r="G702" s="78"/>
      <c r="H702" s="80">
        <v>973.9707276000003</v>
      </c>
      <c r="I702" s="80">
        <f>VLOOKUP($C702,'Unit tariffs'!$B$21:$F$122,5,FALSE)*$B702</f>
        <v>1212.682441720518</v>
      </c>
      <c r="J702" s="111"/>
      <c r="O702" s="78">
        <v>30</v>
      </c>
      <c r="P702" s="78">
        <f>'Unit tariffs'!O$110</f>
        <v>0</v>
      </c>
      <c r="Q702" s="78"/>
      <c r="R702" s="78"/>
      <c r="S702" s="78"/>
      <c r="T702" s="78"/>
      <c r="U702" s="80">
        <v>973.9707276000003</v>
      </c>
      <c r="V702" s="80">
        <f>VLOOKUP($C702,'Unit tariffs'!$B$21:$F$122,5,FALSE)*$B702</f>
        <v>1212.682441720518</v>
      </c>
      <c r="W702" s="111"/>
    </row>
    <row r="703" spans="1:23" ht="12.75">
      <c r="A703" s="97"/>
      <c r="B703" s="78">
        <v>2</v>
      </c>
      <c r="C703" s="78" t="str">
        <f>'Unit tariffs'!B$111</f>
        <v>hour-truck with platform</v>
      </c>
      <c r="D703" s="78"/>
      <c r="E703" s="78"/>
      <c r="F703" s="78"/>
      <c r="G703" s="78"/>
      <c r="H703" s="87">
        <v>670.4500400000001</v>
      </c>
      <c r="I703" s="87">
        <f>VLOOKUP($C703,'Unit tariffs'!$B$21:$F$122,5,FALSE)*$B703</f>
        <v>393.4441791011</v>
      </c>
      <c r="J703" s="111"/>
      <c r="O703" s="78">
        <v>2</v>
      </c>
      <c r="P703" s="78">
        <f>'Unit tariffs'!O$111</f>
        <v>0</v>
      </c>
      <c r="Q703" s="78"/>
      <c r="R703" s="78"/>
      <c r="S703" s="78"/>
      <c r="T703" s="78"/>
      <c r="U703" s="87">
        <v>670.4500400000001</v>
      </c>
      <c r="V703" s="87">
        <f>VLOOKUP($C703,'Unit tariffs'!$B$21:$F$122,5,FALSE)*$B703</f>
        <v>393.4441791011</v>
      </c>
      <c r="W703" s="111"/>
    </row>
    <row r="704" spans="1:23" ht="13.5" thickBot="1">
      <c r="A704" s="97"/>
      <c r="B704" s="78"/>
      <c r="C704" s="78"/>
      <c r="D704" s="78"/>
      <c r="E704" s="78"/>
      <c r="F704" s="78"/>
      <c r="G704" s="78"/>
      <c r="H704" s="150">
        <f>SUM(H702:H703)</f>
        <v>1644.4207676000003</v>
      </c>
      <c r="I704" s="150">
        <f>SUM(I702:I703)</f>
        <v>1606.126620821618</v>
      </c>
      <c r="J704" s="111"/>
      <c r="O704" s="78"/>
      <c r="P704" s="78"/>
      <c r="Q704" s="78"/>
      <c r="R704" s="78"/>
      <c r="S704" s="78"/>
      <c r="T704" s="78"/>
      <c r="U704" s="150">
        <f>SUM(U702:U703)</f>
        <v>1644.4207676000003</v>
      </c>
      <c r="V704" s="150">
        <f>SUM(V702:V703)</f>
        <v>1606.126620821618</v>
      </c>
      <c r="W704" s="111"/>
    </row>
    <row r="705" spans="1:23" ht="13.5" thickTop="1">
      <c r="A705" s="97"/>
      <c r="B705" s="78"/>
      <c r="C705" s="78"/>
      <c r="D705" s="78"/>
      <c r="E705" s="78"/>
      <c r="F705" s="78"/>
      <c r="G705" s="80"/>
      <c r="H705" s="90">
        <f>H704+H699+H694+H680</f>
        <v>36993.618876163484</v>
      </c>
      <c r="I705" s="90">
        <f>+I704+I699+I694+I680</f>
        <v>31964.037531227616</v>
      </c>
      <c r="J705" s="111"/>
      <c r="O705" s="78"/>
      <c r="P705" s="78"/>
      <c r="Q705" s="78"/>
      <c r="R705" s="78"/>
      <c r="S705" s="78"/>
      <c r="T705" s="80"/>
      <c r="U705" s="90">
        <f>U704+U699+U694+U680</f>
        <v>19496.193876163477</v>
      </c>
      <c r="V705" s="90">
        <f>+V704+V699+V694+V680</f>
        <v>24265.170531227617</v>
      </c>
      <c r="W705" s="111"/>
    </row>
    <row r="706" spans="1:23" ht="13.5" thickBot="1">
      <c r="A706" s="97"/>
      <c r="B706" s="110" t="str">
        <f>'Unit tariffs'!$B$7</f>
        <v>Administration Levy (Indirect Cost)</v>
      </c>
      <c r="C706" s="78"/>
      <c r="D706" s="112">
        <f>'Unit tariffs'!$C$7</f>
        <v>0.1</v>
      </c>
      <c r="E706" s="78" t="s">
        <v>312</v>
      </c>
      <c r="F706" s="196">
        <f>+'Unit tariffs'!$F$7</f>
        <v>10000</v>
      </c>
      <c r="G706" s="80"/>
      <c r="H706" s="114">
        <f>H705*0.2636</f>
        <v>9751.517935756694</v>
      </c>
      <c r="I706" s="114">
        <f>IF(I705*$D706&gt;='Unit tariffs'!$E$7,'Unit tariffs'!$E$7,I705*$D706)</f>
        <v>3196.403753122762</v>
      </c>
      <c r="J706" s="111"/>
      <c r="O706" s="110" t="str">
        <f>'Unit tariffs'!$B$7</f>
        <v>Administration Levy (Indirect Cost)</v>
      </c>
      <c r="P706" s="78"/>
      <c r="Q706" s="112">
        <f>'Unit tariffs'!$C$7</f>
        <v>0.1</v>
      </c>
      <c r="R706" s="78" t="s">
        <v>312</v>
      </c>
      <c r="S706" s="196">
        <f>+'Unit tariffs'!$F$7</f>
        <v>10000</v>
      </c>
      <c r="T706" s="80"/>
      <c r="U706" s="114">
        <f>U705*0.2636</f>
        <v>5139.196705756693</v>
      </c>
      <c r="V706" s="114">
        <f>IF(V705*$D706&gt;='Unit tariffs'!$E$7,'Unit tariffs'!$E$7,V705*$D706)</f>
        <v>2426.517053122762</v>
      </c>
      <c r="W706" s="111"/>
    </row>
    <row r="707" spans="1:23" ht="13.5" thickTop="1">
      <c r="A707" s="97"/>
      <c r="B707" s="110" t="s">
        <v>44</v>
      </c>
      <c r="C707" s="78"/>
      <c r="D707" s="78"/>
      <c r="E707" s="78"/>
      <c r="F707" s="78"/>
      <c r="G707" s="80"/>
      <c r="H707" s="151">
        <f>SUM(H705:H706)</f>
        <v>46745.13681192018</v>
      </c>
      <c r="I707" s="151">
        <f>SUM(I705:I706)</f>
        <v>35160.441284350374</v>
      </c>
      <c r="J707" s="111"/>
      <c r="O707" s="110" t="s">
        <v>44</v>
      </c>
      <c r="P707" s="78"/>
      <c r="Q707" s="78"/>
      <c r="R707" s="78"/>
      <c r="S707" s="78"/>
      <c r="T707" s="80"/>
      <c r="U707" s="151">
        <f>SUM(U705:U706)</f>
        <v>24635.39058192017</v>
      </c>
      <c r="V707" s="151">
        <f>SUM(V705:V706)</f>
        <v>26691.68758435038</v>
      </c>
      <c r="W707" s="111"/>
    </row>
    <row r="708" spans="1:23" ht="12.75">
      <c r="A708" s="97"/>
      <c r="B708" s="110"/>
      <c r="C708" s="78"/>
      <c r="D708" s="78"/>
      <c r="E708" s="78"/>
      <c r="F708" s="78"/>
      <c r="G708" s="80"/>
      <c r="H708" s="78"/>
      <c r="I708" s="78"/>
      <c r="J708" s="116"/>
      <c r="O708" s="110"/>
      <c r="P708" s="78"/>
      <c r="Q708" s="78"/>
      <c r="R708" s="78"/>
      <c r="S708" s="78"/>
      <c r="T708" s="80"/>
      <c r="U708" s="78"/>
      <c r="V708" s="78"/>
      <c r="W708" s="116"/>
    </row>
    <row r="709" spans="1:23" ht="12.75">
      <c r="A709" s="97"/>
      <c r="B709" s="110" t="s">
        <v>45</v>
      </c>
      <c r="C709" s="78"/>
      <c r="D709" s="78"/>
      <c r="E709" s="78"/>
      <c r="F709" s="78"/>
      <c r="G709" s="78"/>
      <c r="H709" s="90">
        <f>ROUND(H707,-1)</f>
        <v>46750</v>
      </c>
      <c r="I709" s="90">
        <f>ROUND(I707,-1)</f>
        <v>35160</v>
      </c>
      <c r="J709" s="111"/>
      <c r="O709" s="110" t="s">
        <v>45</v>
      </c>
      <c r="P709" s="78"/>
      <c r="Q709" s="78"/>
      <c r="R709" s="78"/>
      <c r="S709" s="78"/>
      <c r="T709" s="78"/>
      <c r="U709" s="90">
        <f>ROUND(U707,-1)</f>
        <v>24640</v>
      </c>
      <c r="V709" s="90">
        <f>ROUND(V707,-1)</f>
        <v>26690</v>
      </c>
      <c r="W709" s="111"/>
    </row>
    <row r="710" spans="1:23" ht="12.75">
      <c r="A710" s="97"/>
      <c r="B710" s="78"/>
      <c r="C710" s="78"/>
      <c r="D710" s="78"/>
      <c r="E710" s="78"/>
      <c r="F710" s="78"/>
      <c r="G710" s="78"/>
      <c r="H710" s="80"/>
      <c r="I710" s="80"/>
      <c r="J710" s="119"/>
      <c r="O710" s="78"/>
      <c r="P710" s="78"/>
      <c r="Q710" s="78"/>
      <c r="R710" s="78"/>
      <c r="S710" s="78"/>
      <c r="T710" s="78"/>
      <c r="U710" s="80"/>
      <c r="V710" s="80"/>
      <c r="W710" s="119"/>
    </row>
    <row r="711" spans="1:23" ht="12.75">
      <c r="A711" s="97"/>
      <c r="B711" s="78"/>
      <c r="C711" s="78"/>
      <c r="D711" s="78"/>
      <c r="E711" s="78"/>
      <c r="F711" s="78"/>
      <c r="G711" s="78"/>
      <c r="H711" s="118">
        <v>0.04621542940320233</v>
      </c>
      <c r="I711" s="152">
        <f>+(I709-H709)/H709</f>
        <v>-0.2479144385026738</v>
      </c>
      <c r="J711" s="119"/>
      <c r="O711" s="78"/>
      <c r="P711" s="78"/>
      <c r="Q711" s="78"/>
      <c r="R711" s="78"/>
      <c r="S711" s="78"/>
      <c r="T711" s="78"/>
      <c r="U711" s="118">
        <v>0.04621542940320233</v>
      </c>
      <c r="V711" s="152">
        <f>+(V709-U709)/U709</f>
        <v>0.08319805194805195</v>
      </c>
      <c r="W711" s="119"/>
    </row>
    <row r="712" spans="1:23" ht="12.75">
      <c r="A712" s="97"/>
      <c r="B712" s="110"/>
      <c r="C712" s="78"/>
      <c r="D712" s="118"/>
      <c r="E712" s="118"/>
      <c r="F712" s="78"/>
      <c r="G712" s="78"/>
      <c r="H712" s="121"/>
      <c r="I712" s="121"/>
      <c r="J712" s="119"/>
      <c r="O712" s="110"/>
      <c r="P712" s="78"/>
      <c r="Q712" s="118"/>
      <c r="R712" s="118"/>
      <c r="S712" s="78"/>
      <c r="T712" s="78"/>
      <c r="U712" s="121"/>
      <c r="V712" s="121"/>
      <c r="W712" s="119"/>
    </row>
    <row r="713" spans="1:23" ht="13.5" thickBot="1">
      <c r="A713" s="97"/>
      <c r="B713" s="130"/>
      <c r="C713" s="130"/>
      <c r="D713" s="130"/>
      <c r="E713" s="130"/>
      <c r="F713" s="130"/>
      <c r="G713" s="130"/>
      <c r="H713" s="78"/>
      <c r="I713" s="78"/>
      <c r="J713" s="101"/>
      <c r="O713" s="130"/>
      <c r="P713" s="130"/>
      <c r="Q713" s="130"/>
      <c r="R713" s="130"/>
      <c r="S713" s="130"/>
      <c r="T713" s="130"/>
      <c r="U713" s="78"/>
      <c r="V713" s="78"/>
      <c r="W713" s="101"/>
    </row>
    <row r="714" spans="1:23" ht="13.5" thickTop="1">
      <c r="A714" s="459"/>
      <c r="B714" s="78"/>
      <c r="C714" s="78"/>
      <c r="D714" s="78"/>
      <c r="E714" s="78"/>
      <c r="F714" s="78"/>
      <c r="G714" s="78"/>
      <c r="H714" s="127"/>
      <c r="I714" s="127"/>
      <c r="J714" s="460"/>
      <c r="O714" s="78"/>
      <c r="P714" s="78"/>
      <c r="Q714" s="78"/>
      <c r="R714" s="78"/>
      <c r="S714" s="78"/>
      <c r="T714" s="78"/>
      <c r="U714" s="127"/>
      <c r="V714" s="127"/>
      <c r="W714" s="460"/>
    </row>
    <row r="715" spans="1:23" ht="12.75">
      <c r="A715" s="97"/>
      <c r="B715" s="78"/>
      <c r="C715" s="78"/>
      <c r="D715" s="78"/>
      <c r="E715" s="78"/>
      <c r="F715" s="78"/>
      <c r="G715" s="78"/>
      <c r="H715" s="78"/>
      <c r="I715" s="121"/>
      <c r="J715" s="101"/>
      <c r="O715" s="78"/>
      <c r="P715" s="78"/>
      <c r="Q715" s="78"/>
      <c r="R715" s="78"/>
      <c r="S715" s="78"/>
      <c r="T715" s="78"/>
      <c r="U715" s="78"/>
      <c r="V715" s="121"/>
      <c r="W715" s="101"/>
    </row>
    <row r="716" spans="1:23" ht="25.5" customHeight="1">
      <c r="A716" s="97"/>
      <c r="B716" s="823" t="s">
        <v>573</v>
      </c>
      <c r="C716" s="824"/>
      <c r="D716" s="824"/>
      <c r="E716" s="824"/>
      <c r="F716" s="824"/>
      <c r="G716" s="825"/>
      <c r="H716" s="78"/>
      <c r="I716" s="140" t="s">
        <v>243</v>
      </c>
      <c r="J716" s="101"/>
      <c r="O716" s="823" t="s">
        <v>573</v>
      </c>
      <c r="P716" s="824"/>
      <c r="Q716" s="824"/>
      <c r="R716" s="824"/>
      <c r="S716" s="824"/>
      <c r="T716" s="825"/>
      <c r="U716" s="78"/>
      <c r="V716" s="140" t="s">
        <v>243</v>
      </c>
      <c r="W716" s="101"/>
    </row>
    <row r="717" spans="1:23" ht="12.75">
      <c r="A717" s="97"/>
      <c r="B717" s="78"/>
      <c r="C717" s="78"/>
      <c r="D717" s="78"/>
      <c r="E717" s="78"/>
      <c r="F717" s="78"/>
      <c r="G717" s="78"/>
      <c r="H717" s="109" t="str">
        <f>+H$11</f>
        <v>2020/2021</v>
      </c>
      <c r="I717" s="109" t="str">
        <f>+'Unit tariffs'!$F$11</f>
        <v>2021/2022</v>
      </c>
      <c r="J717" s="458" t="s">
        <v>315</v>
      </c>
      <c r="O717" s="78"/>
      <c r="P717" s="78"/>
      <c r="Q717" s="78"/>
      <c r="R717" s="78"/>
      <c r="S717" s="78"/>
      <c r="T717" s="78"/>
      <c r="U717" s="109">
        <f>+U$11</f>
        <v>0</v>
      </c>
      <c r="V717" s="109" t="str">
        <f>+'Unit tariffs'!$F$11</f>
        <v>2021/2022</v>
      </c>
      <c r="W717" s="458" t="s">
        <v>315</v>
      </c>
    </row>
    <row r="718" spans="1:23" ht="13.5">
      <c r="A718" s="97"/>
      <c r="B718" s="78"/>
      <c r="C718" s="78"/>
      <c r="D718" s="78"/>
      <c r="E718" s="78"/>
      <c r="F718" s="78"/>
      <c r="G718" s="78"/>
      <c r="H718" s="144"/>
      <c r="I718" s="134"/>
      <c r="J718" s="464"/>
      <c r="O718" s="78"/>
      <c r="P718" s="78"/>
      <c r="Q718" s="78"/>
      <c r="R718" s="78"/>
      <c r="S718" s="78"/>
      <c r="T718" s="78"/>
      <c r="U718" s="144"/>
      <c r="V718" s="134"/>
      <c r="W718" s="464"/>
    </row>
    <row r="719" spans="1:23" ht="12.75">
      <c r="A719" s="97"/>
      <c r="B719" s="110" t="s">
        <v>117</v>
      </c>
      <c r="C719" s="78"/>
      <c r="D719" s="78"/>
      <c r="E719" s="78"/>
      <c r="F719" s="78"/>
      <c r="G719" s="78"/>
      <c r="H719" s="145"/>
      <c r="I719" s="134"/>
      <c r="J719" s="464"/>
      <c r="O719" s="110" t="s">
        <v>117</v>
      </c>
      <c r="P719" s="78"/>
      <c r="Q719" s="78"/>
      <c r="R719" s="78"/>
      <c r="S719" s="78"/>
      <c r="T719" s="78"/>
      <c r="U719" s="145"/>
      <c r="V719" s="134"/>
      <c r="W719" s="464"/>
    </row>
    <row r="720" spans="1:23" ht="12.75">
      <c r="A720" s="97"/>
      <c r="B720" s="78" t="s">
        <v>118</v>
      </c>
      <c r="C720" s="78"/>
      <c r="D720" s="78"/>
      <c r="E720" s="78"/>
      <c r="F720" s="78"/>
      <c r="G720" s="78"/>
      <c r="H720" s="121"/>
      <c r="I720" s="121"/>
      <c r="J720" s="111"/>
      <c r="O720" s="78" t="s">
        <v>118</v>
      </c>
      <c r="P720" s="78"/>
      <c r="Q720" s="78"/>
      <c r="R720" s="78"/>
      <c r="S720" s="78"/>
      <c r="T720" s="78"/>
      <c r="U720" s="121"/>
      <c r="V720" s="121"/>
      <c r="W720" s="111"/>
    </row>
    <row r="721" spans="1:23" ht="12.75">
      <c r="A721" s="97"/>
      <c r="B721" s="78"/>
      <c r="C721" s="78"/>
      <c r="D721" s="78"/>
      <c r="E721" s="78"/>
      <c r="F721" s="78"/>
      <c r="G721" s="78"/>
      <c r="H721" s="121"/>
      <c r="I721" s="121"/>
      <c r="J721" s="111"/>
      <c r="O721" s="78"/>
      <c r="P721" s="78"/>
      <c r="Q721" s="78"/>
      <c r="R721" s="78"/>
      <c r="S721" s="78"/>
      <c r="T721" s="78"/>
      <c r="U721" s="121"/>
      <c r="V721" s="121"/>
      <c r="W721" s="111"/>
    </row>
    <row r="722" spans="1:23" ht="12.75">
      <c r="A722" s="97"/>
      <c r="B722" s="78">
        <v>7.5</v>
      </c>
      <c r="C722" s="78" t="str">
        <f>'Unit tariffs'!B$136</f>
        <v>Primary Backbone - Peri Urban</v>
      </c>
      <c r="D722" s="78"/>
      <c r="E722" s="78"/>
      <c r="F722" s="78" t="str">
        <f>'Unit tariffs'!C$136</f>
        <v>per kVA</v>
      </c>
      <c r="G722" s="78"/>
      <c r="H722" s="80">
        <f>('Unit tariffs'!E130)*'Calc Sheet 20_21'!B722</f>
        <v>7874.55</v>
      </c>
      <c r="I722" s="80">
        <f>VLOOKUP($C722,'Unit tariffs'!$B$21:$F$154,5,FALSE)*$B722</f>
        <v>8662.005000000001</v>
      </c>
      <c r="J722" s="111"/>
      <c r="O722" s="78">
        <v>4.5</v>
      </c>
      <c r="P722" s="78" t="str">
        <f>C722</f>
        <v>Primary Backbone - Peri Urban</v>
      </c>
      <c r="Q722" s="78"/>
      <c r="R722" s="78"/>
      <c r="S722" s="78">
        <f>'Unit tariffs'!P$136</f>
        <v>0</v>
      </c>
      <c r="T722" s="78"/>
      <c r="U722" s="80">
        <f>('Unit tariffs'!R130)*'Calc Sheet 20_21'!O722</f>
        <v>2914.695</v>
      </c>
      <c r="V722" s="80">
        <f>VLOOKUP($C722,'Unit tariffs'!$B$21:$F$154,5,FALSE)*$O722</f>
        <v>5197.203000000001</v>
      </c>
      <c r="W722" s="111"/>
    </row>
    <row r="723" spans="1:23" ht="12.75">
      <c r="A723" s="97"/>
      <c r="B723" s="91">
        <v>7.5</v>
      </c>
      <c r="C723" s="91" t="str">
        <f>'Unit tariffs'!B137</f>
        <v>Secondary Backbone - MV Peri Urban</v>
      </c>
      <c r="D723" s="91"/>
      <c r="E723" s="91"/>
      <c r="F723" s="91" t="str">
        <f>'Unit tariffs'!C$136</f>
        <v>per kVA</v>
      </c>
      <c r="G723" s="91"/>
      <c r="H723" s="198">
        <f>('Unit tariffs'!F131)*'Calc Sheet 20_21'!B723</f>
        <v>6635.062500000001</v>
      </c>
      <c r="I723" s="198">
        <f>VLOOKUP($C723,'Unit tariffs'!$B$21:$F$154,5,FALSE)*$B723</f>
        <v>7289.287499999999</v>
      </c>
      <c r="J723" s="111"/>
      <c r="O723" s="91">
        <v>4.5</v>
      </c>
      <c r="P723" s="91" t="str">
        <f>C723</f>
        <v>Secondary Backbone - MV Peri Urban</v>
      </c>
      <c r="Q723" s="91"/>
      <c r="R723" s="91"/>
      <c r="S723" s="91">
        <f>'Unit tariffs'!P$136</f>
        <v>0</v>
      </c>
      <c r="T723" s="91"/>
      <c r="U723" s="198" t="e">
        <f>('Unit tariffs'!S131)*'Calc Sheet 20_21'!O723</f>
        <v>#VALUE!</v>
      </c>
      <c r="V723" s="198">
        <f>VLOOKUP($C723,'Unit tariffs'!$B$21:$F$154,5,FALSE)*$O723</f>
        <v>4373.5725</v>
      </c>
      <c r="W723" s="111"/>
    </row>
    <row r="724" spans="1:23" ht="12.75">
      <c r="A724" s="97"/>
      <c r="B724" s="78">
        <v>7.5</v>
      </c>
      <c r="C724" s="78" t="str">
        <f>'Unit tariffs'!B$138</f>
        <v>Secondary Backbone - LV Peri Urban</v>
      </c>
      <c r="D724" s="78"/>
      <c r="E724" s="78"/>
      <c r="F724" s="78" t="str">
        <f>'Unit tariffs'!C$136</f>
        <v>per kVA</v>
      </c>
      <c r="G724" s="78"/>
      <c r="H724" s="89">
        <f>('Unit tariffs'!E138)*'Calc Sheet 20_21'!B724</f>
        <v>10870.800000000001</v>
      </c>
      <c r="I724" s="89">
        <f>VLOOKUP($C724,'Unit tariffs'!$B$21:$F$154,5,FALSE)*$B724</f>
        <v>11957.880000000001</v>
      </c>
      <c r="J724" s="111"/>
      <c r="O724" s="78">
        <v>4.5</v>
      </c>
      <c r="P724" s="78" t="str">
        <f>C724</f>
        <v>Secondary Backbone - LV Peri Urban</v>
      </c>
      <c r="Q724" s="78"/>
      <c r="R724" s="78"/>
      <c r="S724" s="78">
        <f>'Unit tariffs'!P$136</f>
        <v>0</v>
      </c>
      <c r="T724" s="78"/>
      <c r="U724" s="89">
        <f>('Unit tariffs'!R138)*'Calc Sheet 20_21'!O724</f>
        <v>0</v>
      </c>
      <c r="V724" s="89">
        <f>VLOOKUP($C724,'Unit tariffs'!$B$21:$F$154,5,FALSE)*$O724</f>
        <v>7174.728000000001</v>
      </c>
      <c r="W724" s="111"/>
    </row>
    <row r="725" spans="1:23" ht="12.75">
      <c r="A725" s="97"/>
      <c r="B725" s="78"/>
      <c r="C725" s="78"/>
      <c r="D725" s="78"/>
      <c r="E725" s="78"/>
      <c r="F725" s="78"/>
      <c r="G725" s="78"/>
      <c r="H725" s="88">
        <f>SUM(H722:H724)</f>
        <v>25380.412500000002</v>
      </c>
      <c r="I725" s="88">
        <f>+I724+I722</f>
        <v>20619.885000000002</v>
      </c>
      <c r="J725" s="111"/>
      <c r="O725" s="78"/>
      <c r="P725" s="78"/>
      <c r="Q725" s="78"/>
      <c r="R725" s="78"/>
      <c r="S725" s="78"/>
      <c r="T725" s="78"/>
      <c r="U725" s="88" t="e">
        <f>SUM(U722:U724)</f>
        <v>#VALUE!</v>
      </c>
      <c r="V725" s="88">
        <f>+V724+V722</f>
        <v>12371.931000000002</v>
      </c>
      <c r="W725" s="111"/>
    </row>
    <row r="726" spans="1:23" ht="13.5">
      <c r="A726" s="97"/>
      <c r="B726" s="78"/>
      <c r="C726" s="78"/>
      <c r="D726" s="78"/>
      <c r="E726" s="78"/>
      <c r="F726" s="78"/>
      <c r="G726" s="78"/>
      <c r="H726" s="144"/>
      <c r="I726" s="144"/>
      <c r="J726" s="464"/>
      <c r="O726" s="78"/>
      <c r="P726" s="78"/>
      <c r="Q726" s="78"/>
      <c r="R726" s="78"/>
      <c r="S726" s="78"/>
      <c r="T726" s="78"/>
      <c r="U726" s="144"/>
      <c r="V726" s="144"/>
      <c r="W726" s="464"/>
    </row>
    <row r="727" spans="1:23" ht="12.75" hidden="1">
      <c r="A727" s="97"/>
      <c r="B727" s="78"/>
      <c r="C727" s="78"/>
      <c r="D727" s="78"/>
      <c r="E727" s="78"/>
      <c r="F727" s="78"/>
      <c r="G727" s="78"/>
      <c r="H727" s="145"/>
      <c r="I727" s="145"/>
      <c r="J727" s="101"/>
      <c r="O727" s="78"/>
      <c r="P727" s="78"/>
      <c r="Q727" s="78"/>
      <c r="R727" s="78"/>
      <c r="S727" s="78"/>
      <c r="T727" s="78"/>
      <c r="U727" s="145"/>
      <c r="V727" s="145"/>
      <c r="W727" s="101"/>
    </row>
    <row r="728" spans="1:23" ht="12.75" hidden="1">
      <c r="A728" s="97"/>
      <c r="B728" s="110" t="s">
        <v>41</v>
      </c>
      <c r="C728" s="78"/>
      <c r="D728" s="78"/>
      <c r="E728" s="78"/>
      <c r="F728" s="78"/>
      <c r="G728" s="78"/>
      <c r="H728" s="145"/>
      <c r="I728" s="145"/>
      <c r="J728" s="101"/>
      <c r="O728" s="110" t="s">
        <v>41</v>
      </c>
      <c r="P728" s="78"/>
      <c r="Q728" s="78"/>
      <c r="R728" s="78"/>
      <c r="S728" s="78"/>
      <c r="T728" s="78"/>
      <c r="U728" s="145"/>
      <c r="V728" s="145"/>
      <c r="W728" s="101"/>
    </row>
    <row r="729" spans="1:23" ht="12.75" hidden="1">
      <c r="A729" s="97"/>
      <c r="B729" s="78"/>
      <c r="C729" s="78"/>
      <c r="D729" s="78"/>
      <c r="E729" s="78"/>
      <c r="F729" s="78"/>
      <c r="G729" s="78"/>
      <c r="H729" s="88">
        <v>6745.069568999999</v>
      </c>
      <c r="I729" s="80">
        <f>VLOOKUP($C730,'Unit tariffs'!$B$21:$F$122,5,FALSE)*$B730</f>
        <v>7028.362490897999</v>
      </c>
      <c r="J729" s="111"/>
      <c r="O729" s="78"/>
      <c r="P729" s="78"/>
      <c r="Q729" s="78"/>
      <c r="R729" s="78"/>
      <c r="S729" s="78"/>
      <c r="T729" s="78"/>
      <c r="U729" s="88">
        <v>6745.069568999999</v>
      </c>
      <c r="V729" s="80">
        <f>VLOOKUP($C730,'Unit tariffs'!$B$21:$F$122,5,FALSE)*$B730</f>
        <v>7028.362490897999</v>
      </c>
      <c r="W729" s="111"/>
    </row>
    <row r="730" spans="1:23" ht="12.75" hidden="1">
      <c r="A730" s="97"/>
      <c r="B730" s="78">
        <v>1</v>
      </c>
      <c r="C730" s="78" t="str">
        <f>'Unit tariffs'!B35</f>
        <v>Prepaid meter (Split) 3 phase - </v>
      </c>
      <c r="D730" s="78"/>
      <c r="E730" s="78"/>
      <c r="F730" s="78"/>
      <c r="G730" s="78"/>
      <c r="H730" s="88">
        <v>541.0141229999999</v>
      </c>
      <c r="I730" s="80">
        <f>VLOOKUP($C731,'Unit tariffs'!$B$21:$F$122,5,FALSE)*$B731</f>
        <v>563.736716166</v>
      </c>
      <c r="J730" s="111"/>
      <c r="O730" s="78">
        <v>1</v>
      </c>
      <c r="P730" s="78">
        <f>'Unit tariffs'!O35</f>
        <v>0</v>
      </c>
      <c r="Q730" s="78"/>
      <c r="R730" s="78"/>
      <c r="S730" s="78"/>
      <c r="T730" s="78"/>
      <c r="U730" s="88">
        <v>541.0141229999999</v>
      </c>
      <c r="V730" s="80">
        <f>VLOOKUP($C731,'Unit tariffs'!$B$21:$F$122,5,FALSE)*$B731</f>
        <v>563.736716166</v>
      </c>
      <c r="W730" s="111"/>
    </row>
    <row r="731" spans="1:23" ht="12.75" hidden="1">
      <c r="A731" s="97"/>
      <c r="B731" s="78">
        <v>3</v>
      </c>
      <c r="C731" s="78" t="str">
        <f>'Unit tariffs'!B42</f>
        <v>x 80 A circuit breaker (5kA) - Orange</v>
      </c>
      <c r="D731" s="78"/>
      <c r="E731" s="78"/>
      <c r="F731" s="78"/>
      <c r="G731" s="78"/>
      <c r="H731" s="88">
        <v>541.0141229999999</v>
      </c>
      <c r="I731" s="80">
        <f>VLOOKUP($C733,'Unit tariffs'!$B$21:$F$122,5,FALSE)*$B733</f>
        <v>563.736716166</v>
      </c>
      <c r="J731" s="111"/>
      <c r="O731" s="78">
        <v>3</v>
      </c>
      <c r="P731" s="78">
        <f>'Unit tariffs'!O42</f>
        <v>0</v>
      </c>
      <c r="Q731" s="78"/>
      <c r="R731" s="78"/>
      <c r="S731" s="78"/>
      <c r="T731" s="78"/>
      <c r="U731" s="88">
        <v>541.0141229999999</v>
      </c>
      <c r="V731" s="80">
        <f>VLOOKUP($C733,'Unit tariffs'!$B$21:$F$122,5,FALSE)*$B733</f>
        <v>563.736716166</v>
      </c>
      <c r="W731" s="111"/>
    </row>
    <row r="732" spans="1:23" ht="12.75">
      <c r="A732" s="97"/>
      <c r="B732" s="78">
        <v>1</v>
      </c>
      <c r="C732" s="82" t="s">
        <v>229</v>
      </c>
      <c r="D732" s="78"/>
      <c r="E732" s="78"/>
      <c r="F732" s="78"/>
      <c r="G732" s="78"/>
      <c r="H732" s="88">
        <f>'Unit tariffs'!E35</f>
        <v>6745.069568999999</v>
      </c>
      <c r="I732" s="199">
        <f>VLOOKUP($C732,'Unit tariffs'!$B$21:$F$122,5,FALSE)*$B732</f>
        <v>7028.362490897999</v>
      </c>
      <c r="J732" s="471" t="e">
        <f>IF(+I732*'Unit tariffs'!#REF!&gt;'Unit tariffs'!#REF!,'Unit tariffs'!#REF!,+I732*'Unit tariffs'!#REF!)</f>
        <v>#REF!</v>
      </c>
      <c r="O732" s="78">
        <v>1</v>
      </c>
      <c r="P732" s="82" t="s">
        <v>229</v>
      </c>
      <c r="Q732" s="78"/>
      <c r="R732" s="78"/>
      <c r="S732" s="78"/>
      <c r="T732" s="78"/>
      <c r="U732" s="88">
        <f>'Unit tariffs'!R35</f>
        <v>0</v>
      </c>
      <c r="V732" s="199">
        <f>VLOOKUP($C732,'Unit tariffs'!$B$21:$F$122,5,FALSE)*$B732</f>
        <v>7028.362490897999</v>
      </c>
      <c r="W732" s="471" t="e">
        <f>IF(+V732*'Unit tariffs'!#REF!&gt;'Unit tariffs'!#REF!,'Unit tariffs'!#REF!,+V732*'Unit tariffs'!#REF!)</f>
        <v>#REF!</v>
      </c>
    </row>
    <row r="733" spans="1:23" ht="12.75">
      <c r="A733" s="97"/>
      <c r="B733" s="78">
        <v>3</v>
      </c>
      <c r="C733" s="78" t="s">
        <v>99</v>
      </c>
      <c r="D733" s="78"/>
      <c r="E733" s="78"/>
      <c r="F733" s="78"/>
      <c r="G733" s="78"/>
      <c r="H733" s="80">
        <v>541.01</v>
      </c>
      <c r="I733" s="80">
        <f>VLOOKUP($C733,'Unit tariffs'!$B$21:$F$122,5,FALSE)*$B733</f>
        <v>563.736716166</v>
      </c>
      <c r="J733" s="471" t="e">
        <f>IF(+I733*'Unit tariffs'!#REF!&gt;'Unit tariffs'!#REF!,'Unit tariffs'!#REF!,+I733*'Unit tariffs'!#REF!)</f>
        <v>#REF!</v>
      </c>
      <c r="O733" s="78">
        <v>3</v>
      </c>
      <c r="P733" s="78" t="s">
        <v>99</v>
      </c>
      <c r="Q733" s="78"/>
      <c r="R733" s="78"/>
      <c r="S733" s="78"/>
      <c r="T733" s="78"/>
      <c r="U733" s="80">
        <v>541.01</v>
      </c>
      <c r="V733" s="80">
        <f>VLOOKUP($C733,'Unit tariffs'!$B$21:$F$122,5,FALSE)*$B733</f>
        <v>563.736716166</v>
      </c>
      <c r="W733" s="471" t="e">
        <f>IF(+V733*'Unit tariffs'!#REF!&gt;'Unit tariffs'!#REF!,'Unit tariffs'!#REF!,+V733*'Unit tariffs'!#REF!)</f>
        <v>#REF!</v>
      </c>
    </row>
    <row r="734" spans="1:23" ht="12.75">
      <c r="A734" s="97"/>
      <c r="B734" s="78">
        <v>0</v>
      </c>
      <c r="C734" s="78" t="s">
        <v>143</v>
      </c>
      <c r="D734" s="78"/>
      <c r="E734" s="78"/>
      <c r="F734" s="78"/>
      <c r="G734" s="78"/>
      <c r="H734" s="80">
        <v>0</v>
      </c>
      <c r="I734" s="80">
        <f>VLOOKUP($C734,'Unit tariffs'!$B$21:$F$122,5,FALSE)*$B734</f>
        <v>0</v>
      </c>
      <c r="J734" s="471" t="e">
        <f>IF(+I734*'Unit tariffs'!#REF!&gt;'Unit tariffs'!#REF!,'Unit tariffs'!#REF!,+I734*'Unit tariffs'!#REF!)</f>
        <v>#REF!</v>
      </c>
      <c r="O734" s="78">
        <v>0</v>
      </c>
      <c r="P734" s="78" t="s">
        <v>143</v>
      </c>
      <c r="Q734" s="78"/>
      <c r="R734" s="78"/>
      <c r="S734" s="78"/>
      <c r="T734" s="78"/>
      <c r="U734" s="80">
        <v>0</v>
      </c>
      <c r="V734" s="80">
        <f>VLOOKUP($C734,'Unit tariffs'!$B$21:$F$122,5,FALSE)*$B734</f>
        <v>0</v>
      </c>
      <c r="W734" s="471" t="e">
        <f>IF(+V734*'Unit tariffs'!#REF!&gt;'Unit tariffs'!#REF!,'Unit tariffs'!#REF!,+V734*'Unit tariffs'!#REF!)</f>
        <v>#REF!</v>
      </c>
    </row>
    <row r="735" spans="1:23" ht="12.75">
      <c r="A735" s="97"/>
      <c r="B735" s="91">
        <v>0</v>
      </c>
      <c r="C735" s="78" t="s">
        <v>17</v>
      </c>
      <c r="D735" s="78"/>
      <c r="E735" s="78"/>
      <c r="F735" s="78"/>
      <c r="G735" s="78"/>
      <c r="H735" s="80">
        <v>0</v>
      </c>
      <c r="I735" s="80">
        <f>VLOOKUP($C735,'Unit tariffs'!$B$21:$F$122,5,FALSE)*$B735</f>
        <v>0</v>
      </c>
      <c r="J735" s="471" t="e">
        <f>IF(+I735*'Unit tariffs'!#REF!&gt;'Unit tariffs'!#REF!,'Unit tariffs'!#REF!,+I735*'Unit tariffs'!#REF!)</f>
        <v>#REF!</v>
      </c>
      <c r="O735" s="91">
        <v>0</v>
      </c>
      <c r="P735" s="78" t="s">
        <v>17</v>
      </c>
      <c r="Q735" s="78"/>
      <c r="R735" s="78"/>
      <c r="S735" s="78"/>
      <c r="T735" s="78"/>
      <c r="U735" s="80">
        <v>0</v>
      </c>
      <c r="V735" s="80">
        <f>VLOOKUP($C735,'Unit tariffs'!$B$21:$F$122,5,FALSE)*$B735</f>
        <v>0</v>
      </c>
      <c r="W735" s="471" t="e">
        <f>IF(+V735*'Unit tariffs'!#REF!&gt;'Unit tariffs'!#REF!,'Unit tariffs'!#REF!,+V735*'Unit tariffs'!#REF!)</f>
        <v>#REF!</v>
      </c>
    </row>
    <row r="736" spans="1:23" ht="12.75">
      <c r="A736" s="97"/>
      <c r="B736" s="91">
        <v>0</v>
      </c>
      <c r="C736" s="78" t="str">
        <f>'Unit tariffs'!B37</f>
        <v> Rural household meter box</v>
      </c>
      <c r="D736" s="78"/>
      <c r="E736" s="78"/>
      <c r="F736" s="78"/>
      <c r="G736" s="78"/>
      <c r="H736" s="80">
        <v>0</v>
      </c>
      <c r="I736" s="80">
        <f>VLOOKUP($C736,'Unit tariffs'!$B$21:$F$122,5,FALSE)*$B736</f>
        <v>0</v>
      </c>
      <c r="J736" s="471" t="e">
        <f>IF(+I736*'Unit tariffs'!#REF!&gt;'Unit tariffs'!#REF!,'Unit tariffs'!#REF!,+I736*'Unit tariffs'!#REF!)</f>
        <v>#REF!</v>
      </c>
      <c r="O736" s="91">
        <v>0</v>
      </c>
      <c r="P736" s="78">
        <f>'Unit tariffs'!O37</f>
        <v>0</v>
      </c>
      <c r="Q736" s="78"/>
      <c r="R736" s="78"/>
      <c r="S736" s="78"/>
      <c r="T736" s="78"/>
      <c r="U736" s="80">
        <v>0</v>
      </c>
      <c r="V736" s="80">
        <f>VLOOKUP($C736,'Unit tariffs'!$B$21:$F$122,5,FALSE)*$B736</f>
        <v>0</v>
      </c>
      <c r="W736" s="471" t="e">
        <f>IF(+V736*'Unit tariffs'!#REF!&gt;'Unit tariffs'!#REF!,'Unit tariffs'!#REF!,+V736*'Unit tariffs'!#REF!)</f>
        <v>#REF!</v>
      </c>
    </row>
    <row r="737" spans="1:23" ht="12.75">
      <c r="A737" s="97"/>
      <c r="B737" s="91">
        <v>0</v>
      </c>
      <c r="C737" s="78" t="s">
        <v>90</v>
      </c>
      <c r="D737" s="78"/>
      <c r="E737" s="78"/>
      <c r="F737" s="78"/>
      <c r="G737" s="78"/>
      <c r="H737" s="80">
        <v>0</v>
      </c>
      <c r="I737" s="80">
        <f>VLOOKUP($C737,'Unit tariffs'!$B$21:$F$122,5,FALSE)*$B737</f>
        <v>0</v>
      </c>
      <c r="J737" s="471" t="e">
        <f>IF(+I737*'Unit tariffs'!#REF!&gt;'Unit tariffs'!#REF!,'Unit tariffs'!#REF!,+I737*'Unit tariffs'!#REF!)</f>
        <v>#REF!</v>
      </c>
      <c r="O737" s="91">
        <v>0</v>
      </c>
      <c r="P737" s="78" t="s">
        <v>90</v>
      </c>
      <c r="Q737" s="78"/>
      <c r="R737" s="78"/>
      <c r="S737" s="78"/>
      <c r="T737" s="78"/>
      <c r="U737" s="80">
        <v>0</v>
      </c>
      <c r="V737" s="80">
        <f>VLOOKUP($C737,'Unit tariffs'!$B$21:$F$122,5,FALSE)*$B737</f>
        <v>0</v>
      </c>
      <c r="W737" s="471" t="e">
        <f>IF(+V737*'Unit tariffs'!#REF!&gt;'Unit tariffs'!#REF!,'Unit tariffs'!#REF!,+V737*'Unit tariffs'!#REF!)</f>
        <v>#REF!</v>
      </c>
    </row>
    <row r="738" spans="1:23" ht="12.75">
      <c r="A738" s="97"/>
      <c r="B738" s="91">
        <v>0</v>
      </c>
      <c r="C738" s="78" t="s">
        <v>11</v>
      </c>
      <c r="D738" s="78"/>
      <c r="E738" s="78"/>
      <c r="F738" s="78"/>
      <c r="G738" s="78"/>
      <c r="H738" s="80">
        <v>0</v>
      </c>
      <c r="I738" s="80">
        <f>VLOOKUP($C738,'Unit tariffs'!$B$21:$F$122,5,FALSE)*$B738</f>
        <v>0</v>
      </c>
      <c r="J738" s="471" t="e">
        <f>IF(+I738*'Unit tariffs'!#REF!&gt;'Unit tariffs'!#REF!,'Unit tariffs'!#REF!,+I738*'Unit tariffs'!#REF!)</f>
        <v>#REF!</v>
      </c>
      <c r="O738" s="91">
        <v>0</v>
      </c>
      <c r="P738" s="78" t="s">
        <v>11</v>
      </c>
      <c r="Q738" s="78"/>
      <c r="R738" s="78"/>
      <c r="S738" s="78"/>
      <c r="T738" s="78"/>
      <c r="U738" s="80">
        <v>0</v>
      </c>
      <c r="V738" s="80">
        <f>VLOOKUP($C738,'Unit tariffs'!$B$21:$F$122,5,FALSE)*$B738</f>
        <v>0</v>
      </c>
      <c r="W738" s="471" t="e">
        <f>IF(+V738*'Unit tariffs'!#REF!&gt;'Unit tariffs'!#REF!,'Unit tariffs'!#REF!,+V738*'Unit tariffs'!#REF!)</f>
        <v>#REF!</v>
      </c>
    </row>
    <row r="739" spans="1:23" ht="12.75">
      <c r="A739" s="97"/>
      <c r="B739" s="91">
        <v>0</v>
      </c>
      <c r="C739" s="78" t="s">
        <v>5</v>
      </c>
      <c r="D739" s="78"/>
      <c r="E739" s="78"/>
      <c r="F739" s="78"/>
      <c r="G739" s="78"/>
      <c r="H739" s="80">
        <v>0</v>
      </c>
      <c r="I739" s="80">
        <f>VLOOKUP($C739,'Unit tariffs'!$B$21:$F$122,5,FALSE)*$B739</f>
        <v>0</v>
      </c>
      <c r="J739" s="471" t="e">
        <f>IF(+I739*'Unit tariffs'!#REF!&gt;'Unit tariffs'!#REF!,'Unit tariffs'!#REF!,+I739*'Unit tariffs'!#REF!)</f>
        <v>#REF!</v>
      </c>
      <c r="O739" s="91">
        <v>0</v>
      </c>
      <c r="P739" s="78" t="s">
        <v>5</v>
      </c>
      <c r="Q739" s="78"/>
      <c r="R739" s="78"/>
      <c r="S739" s="78"/>
      <c r="T739" s="78"/>
      <c r="U739" s="80">
        <v>0</v>
      </c>
      <c r="V739" s="80">
        <f>VLOOKUP($C739,'Unit tariffs'!$B$21:$F$122,5,FALSE)*$B739</f>
        <v>0</v>
      </c>
      <c r="W739" s="471" t="e">
        <f>IF(+V739*'Unit tariffs'!#REF!&gt;'Unit tariffs'!#REF!,'Unit tariffs'!#REF!,+V739*'Unit tariffs'!#REF!)</f>
        <v>#REF!</v>
      </c>
    </row>
    <row r="740" spans="1:23" ht="12.75">
      <c r="A740" s="97"/>
      <c r="B740" s="91">
        <v>0</v>
      </c>
      <c r="C740" s="78" t="s">
        <v>93</v>
      </c>
      <c r="D740" s="78"/>
      <c r="E740" s="78"/>
      <c r="F740" s="78"/>
      <c r="G740" s="78"/>
      <c r="H740" s="80">
        <v>0</v>
      </c>
      <c r="I740" s="80">
        <f>VLOOKUP($C740,'Unit tariffs'!$B$21:$F$122,5,FALSE)*$B740</f>
        <v>0</v>
      </c>
      <c r="J740" s="471" t="e">
        <f>IF(+I740*'Unit tariffs'!#REF!&gt;'Unit tariffs'!#REF!,'Unit tariffs'!#REF!,+I740*'Unit tariffs'!#REF!)</f>
        <v>#REF!</v>
      </c>
      <c r="O740" s="91">
        <v>0</v>
      </c>
      <c r="P740" s="78" t="s">
        <v>93</v>
      </c>
      <c r="Q740" s="78"/>
      <c r="R740" s="78"/>
      <c r="S740" s="78"/>
      <c r="T740" s="78"/>
      <c r="U740" s="80">
        <v>0</v>
      </c>
      <c r="V740" s="80">
        <f>VLOOKUP($C740,'Unit tariffs'!$B$21:$F$122,5,FALSE)*$B740</f>
        <v>0</v>
      </c>
      <c r="W740" s="471" t="e">
        <f>IF(+V740*'Unit tariffs'!#REF!&gt;'Unit tariffs'!#REF!,'Unit tariffs'!#REF!,+V740*'Unit tariffs'!#REF!)</f>
        <v>#REF!</v>
      </c>
    </row>
    <row r="741" spans="1:23" ht="12.75">
      <c r="A741" s="97"/>
      <c r="B741" s="91">
        <v>0</v>
      </c>
      <c r="C741" s="78" t="s">
        <v>188</v>
      </c>
      <c r="D741" s="78"/>
      <c r="E741" s="78"/>
      <c r="F741" s="78"/>
      <c r="G741" s="78"/>
      <c r="H741" s="87">
        <v>0</v>
      </c>
      <c r="I741" s="87">
        <f>VLOOKUP($C741,'Unit tariffs'!$B$21:$F$122,5,FALSE)*$B741</f>
        <v>0</v>
      </c>
      <c r="J741" s="471" t="e">
        <f>IF(+I741*'Unit tariffs'!#REF!&gt;'Unit tariffs'!#REF!,'Unit tariffs'!#REF!,+I741*'Unit tariffs'!#REF!)</f>
        <v>#REF!</v>
      </c>
      <c r="O741" s="91">
        <v>0</v>
      </c>
      <c r="P741" s="78" t="s">
        <v>188</v>
      </c>
      <c r="Q741" s="78"/>
      <c r="R741" s="78"/>
      <c r="S741" s="78"/>
      <c r="T741" s="78"/>
      <c r="U741" s="87">
        <v>0</v>
      </c>
      <c r="V741" s="87">
        <f>VLOOKUP($C741,'Unit tariffs'!$B$21:$F$122,5,FALSE)*$B741</f>
        <v>0</v>
      </c>
      <c r="W741" s="471" t="e">
        <f>IF(+V741*'Unit tariffs'!#REF!&gt;'Unit tariffs'!#REF!,'Unit tariffs'!#REF!,+V741*'Unit tariffs'!#REF!)</f>
        <v>#REF!</v>
      </c>
    </row>
    <row r="742" spans="1:23" ht="12.75">
      <c r="A742" s="97"/>
      <c r="G742" s="78"/>
      <c r="H742" s="88">
        <f>H732+H733</f>
        <v>7286.0795689999995</v>
      </c>
      <c r="I742" s="88">
        <f>SUM(I732:I741)</f>
        <v>7592.099207063999</v>
      </c>
      <c r="J742" s="111"/>
      <c r="T742" s="78"/>
      <c r="U742" s="88">
        <f>U732+U733</f>
        <v>541.01</v>
      </c>
      <c r="V742" s="88">
        <f>SUM(V732:V741)</f>
        <v>7592.099207063999</v>
      </c>
      <c r="W742" s="111"/>
    </row>
    <row r="743" spans="1:23" ht="12.75">
      <c r="A743" s="97"/>
      <c r="B743" s="78"/>
      <c r="C743" s="78"/>
      <c r="D743" s="78"/>
      <c r="E743" s="78"/>
      <c r="F743" s="78"/>
      <c r="G743" s="80"/>
      <c r="H743" s="78"/>
      <c r="I743" s="78"/>
      <c r="J743" s="101"/>
      <c r="O743" s="78"/>
      <c r="P743" s="78"/>
      <c r="Q743" s="78"/>
      <c r="R743" s="78"/>
      <c r="S743" s="78"/>
      <c r="T743" s="80"/>
      <c r="U743" s="78"/>
      <c r="V743" s="78"/>
      <c r="W743" s="101"/>
    </row>
    <row r="744" spans="1:23" ht="12.75">
      <c r="A744" s="97"/>
      <c r="B744" s="110" t="s">
        <v>42</v>
      </c>
      <c r="C744" s="78"/>
      <c r="D744" s="78"/>
      <c r="E744" s="78"/>
      <c r="F744" s="78"/>
      <c r="G744" s="78"/>
      <c r="H744" s="78"/>
      <c r="I744" s="78"/>
      <c r="J744" s="101"/>
      <c r="O744" s="110" t="s">
        <v>42</v>
      </c>
      <c r="P744" s="78"/>
      <c r="Q744" s="78"/>
      <c r="R744" s="78"/>
      <c r="S744" s="78"/>
      <c r="T744" s="78"/>
      <c r="U744" s="78"/>
      <c r="V744" s="78"/>
      <c r="W744" s="101"/>
    </row>
    <row r="745" spans="1:23" ht="12.75">
      <c r="A745" s="97"/>
      <c r="B745" s="78"/>
      <c r="C745" s="78"/>
      <c r="D745" s="78"/>
      <c r="E745" s="78"/>
      <c r="F745" s="78"/>
      <c r="G745" s="78"/>
      <c r="H745" s="121"/>
      <c r="I745" s="121"/>
      <c r="J745" s="111"/>
      <c r="O745" s="78"/>
      <c r="P745" s="78"/>
      <c r="Q745" s="78"/>
      <c r="R745" s="78"/>
      <c r="S745" s="78"/>
      <c r="T745" s="78"/>
      <c r="U745" s="121"/>
      <c r="V745" s="121"/>
      <c r="W745" s="111"/>
    </row>
    <row r="746" spans="1:23" ht="12.75">
      <c r="A746" s="97"/>
      <c r="B746" s="78">
        <v>4</v>
      </c>
      <c r="C746" s="78" t="str">
        <f>'Unit tariffs'!B$86</f>
        <v>hour-artisan </v>
      </c>
      <c r="D746" s="78"/>
      <c r="E746" s="78"/>
      <c r="F746" s="78"/>
      <c r="G746" s="78"/>
      <c r="H746" s="80">
        <v>720.2349302533846</v>
      </c>
      <c r="I746" s="88">
        <f>+'Unit tariffs'!F86*B746</f>
        <v>1291.408926923077</v>
      </c>
      <c r="J746" s="111"/>
      <c r="O746" s="78">
        <v>4</v>
      </c>
      <c r="P746" s="78">
        <f>'Unit tariffs'!O$86</f>
        <v>0</v>
      </c>
      <c r="Q746" s="78"/>
      <c r="R746" s="78"/>
      <c r="S746" s="78"/>
      <c r="T746" s="78"/>
      <c r="U746" s="80">
        <v>720.2349302533846</v>
      </c>
      <c r="V746" s="88">
        <f>+'Unit tariffs'!S86*O746</f>
        <v>0</v>
      </c>
      <c r="W746" s="111"/>
    </row>
    <row r="747" spans="1:23" ht="12.75">
      <c r="A747" s="97"/>
      <c r="B747" s="78">
        <f>+B746*2</f>
        <v>8</v>
      </c>
      <c r="C747" s="78" t="str">
        <f>'Unit tariffs'!B$84</f>
        <v>hour-artisan assistant</v>
      </c>
      <c r="D747" s="78"/>
      <c r="E747" s="78"/>
      <c r="F747" s="78"/>
      <c r="G747" s="78"/>
      <c r="H747" s="87">
        <v>636.8244473874462</v>
      </c>
      <c r="I747" s="89">
        <f>+'Unit tariffs'!F84*B747</f>
        <v>1028.2864615384617</v>
      </c>
      <c r="J747" s="111"/>
      <c r="O747" s="78">
        <f>+O746*2</f>
        <v>8</v>
      </c>
      <c r="P747" s="78">
        <f>'Unit tariffs'!O$84</f>
        <v>407.54480769230764</v>
      </c>
      <c r="Q747" s="78"/>
      <c r="R747" s="78"/>
      <c r="S747" s="78"/>
      <c r="T747" s="78"/>
      <c r="U747" s="87">
        <v>636.8244473874462</v>
      </c>
      <c r="V747" s="89">
        <f>+'Unit tariffs'!S84*O747</f>
        <v>2824.465172307693</v>
      </c>
      <c r="W747" s="111"/>
    </row>
    <row r="748" spans="1:23" ht="12.75">
      <c r="A748" s="97"/>
      <c r="B748" s="78"/>
      <c r="C748" s="78"/>
      <c r="D748" s="78"/>
      <c r="E748" s="78"/>
      <c r="F748" s="78"/>
      <c r="G748" s="78"/>
      <c r="H748" s="80">
        <f>SUM(H746:H747)</f>
        <v>1357.059377640831</v>
      </c>
      <c r="I748" s="88">
        <f>+I746+I747</f>
        <v>2319.6953884615386</v>
      </c>
      <c r="J748" s="101"/>
      <c r="O748" s="78"/>
      <c r="P748" s="78"/>
      <c r="Q748" s="78"/>
      <c r="R748" s="78"/>
      <c r="S748" s="78"/>
      <c r="T748" s="78"/>
      <c r="U748" s="80">
        <f>SUM(U746:U747)</f>
        <v>1357.059377640831</v>
      </c>
      <c r="V748" s="88">
        <f>+V746+V747</f>
        <v>2824.465172307693</v>
      </c>
      <c r="W748" s="101"/>
    </row>
    <row r="749" spans="1:23" ht="12.75">
      <c r="A749" s="97"/>
      <c r="B749" s="110" t="s">
        <v>43</v>
      </c>
      <c r="C749" s="78"/>
      <c r="D749" s="78"/>
      <c r="E749" s="78"/>
      <c r="F749" s="78"/>
      <c r="G749" s="78"/>
      <c r="H749" s="145"/>
      <c r="I749" s="145"/>
      <c r="J749" s="101"/>
      <c r="O749" s="110" t="s">
        <v>43</v>
      </c>
      <c r="P749" s="78"/>
      <c r="Q749" s="78"/>
      <c r="R749" s="78"/>
      <c r="S749" s="78"/>
      <c r="T749" s="78"/>
      <c r="U749" s="145"/>
      <c r="V749" s="145"/>
      <c r="W749" s="101"/>
    </row>
    <row r="750" spans="1:23" ht="12.75">
      <c r="A750" s="97"/>
      <c r="B750" s="78"/>
      <c r="C750" s="78"/>
      <c r="D750" s="78"/>
      <c r="E750" s="78"/>
      <c r="F750" s="78"/>
      <c r="G750" s="78"/>
      <c r="H750" s="145"/>
      <c r="I750" s="145"/>
      <c r="J750" s="111"/>
      <c r="O750" s="78"/>
      <c r="P750" s="78"/>
      <c r="Q750" s="78"/>
      <c r="R750" s="78"/>
      <c r="S750" s="78"/>
      <c r="T750" s="78"/>
      <c r="U750" s="145"/>
      <c r="V750" s="145"/>
      <c r="W750" s="111"/>
    </row>
    <row r="751" spans="1:23" ht="12.75">
      <c r="A751" s="97"/>
      <c r="B751" s="78">
        <v>30</v>
      </c>
      <c r="C751" s="78" t="str">
        <f>'Unit tariffs'!B$110</f>
        <v>km-truck with platform</v>
      </c>
      <c r="D751" s="78"/>
      <c r="E751" s="78"/>
      <c r="F751" s="78"/>
      <c r="G751" s="78"/>
      <c r="H751" s="80">
        <v>973.9707276000003</v>
      </c>
      <c r="I751" s="88">
        <f>+'Unit tariffs'!F110*B751</f>
        <v>1212.682441720518</v>
      </c>
      <c r="J751" s="111"/>
      <c r="O751" s="78">
        <v>30</v>
      </c>
      <c r="P751" s="78">
        <f>'Unit tariffs'!O$110</f>
        <v>0</v>
      </c>
      <c r="Q751" s="78"/>
      <c r="R751" s="78"/>
      <c r="S751" s="78"/>
      <c r="T751" s="78"/>
      <c r="U751" s="80">
        <v>973.9707276000003</v>
      </c>
      <c r="V751" s="88">
        <f>+'Unit tariffs'!S110*O751</f>
        <v>0</v>
      </c>
      <c r="W751" s="111"/>
    </row>
    <row r="752" spans="1:23" ht="12.75">
      <c r="A752" s="97"/>
      <c r="B752" s="78">
        <f>+B746</f>
        <v>4</v>
      </c>
      <c r="C752" s="78" t="str">
        <f>'Unit tariffs'!B$111</f>
        <v>hour-truck with platform</v>
      </c>
      <c r="D752" s="78"/>
      <c r="E752" s="78"/>
      <c r="F752" s="78"/>
      <c r="G752" s="78"/>
      <c r="H752" s="80">
        <v>670.4500400000001</v>
      </c>
      <c r="I752" s="89">
        <f>+'Unit tariffs'!F111*B752</f>
        <v>786.8883582022</v>
      </c>
      <c r="J752" s="111"/>
      <c r="O752" s="78">
        <f>+O746</f>
        <v>4</v>
      </c>
      <c r="P752" s="78">
        <f>'Unit tariffs'!O$111</f>
        <v>0</v>
      </c>
      <c r="Q752" s="78"/>
      <c r="R752" s="78"/>
      <c r="S752" s="78"/>
      <c r="T752" s="78"/>
      <c r="U752" s="80">
        <v>670.4500400000001</v>
      </c>
      <c r="V752" s="89">
        <f>+'Unit tariffs'!S111*O752</f>
        <v>0</v>
      </c>
      <c r="W752" s="111"/>
    </row>
    <row r="753" spans="1:23" ht="13.5" thickBot="1">
      <c r="A753" s="97"/>
      <c r="B753" s="78"/>
      <c r="C753" s="78"/>
      <c r="D753" s="78"/>
      <c r="E753" s="78"/>
      <c r="F753" s="78"/>
      <c r="G753" s="78"/>
      <c r="H753" s="113">
        <f>SUM(H751:H752)</f>
        <v>1644.4207676000003</v>
      </c>
      <c r="I753" s="153">
        <f>+I752+I751</f>
        <v>1999.570799922718</v>
      </c>
      <c r="J753" s="111"/>
      <c r="O753" s="78"/>
      <c r="P753" s="78"/>
      <c r="Q753" s="78"/>
      <c r="R753" s="78"/>
      <c r="S753" s="78"/>
      <c r="T753" s="78"/>
      <c r="U753" s="113">
        <f>SUM(U751:U752)</f>
        <v>1644.4207676000003</v>
      </c>
      <c r="V753" s="153">
        <f>+V752+V751</f>
        <v>0</v>
      </c>
      <c r="W753" s="111"/>
    </row>
    <row r="754" spans="1:23" ht="13.5" thickTop="1">
      <c r="A754" s="97"/>
      <c r="B754" s="78"/>
      <c r="C754" s="78"/>
      <c r="D754" s="78"/>
      <c r="E754" s="78"/>
      <c r="F754" s="78"/>
      <c r="G754" s="80"/>
      <c r="H754" s="80">
        <f>H753+H748+H742+H724+H722</f>
        <v>29032.90971424083</v>
      </c>
      <c r="I754" s="88">
        <f>+I753+I748+I742+I725</f>
        <v>32531.250395448256</v>
      </c>
      <c r="J754" s="111"/>
      <c r="O754" s="78"/>
      <c r="P754" s="78"/>
      <c r="Q754" s="78"/>
      <c r="R754" s="78"/>
      <c r="S754" s="78"/>
      <c r="T754" s="80"/>
      <c r="U754" s="80">
        <f>U753+U748+U742+U724+U722</f>
        <v>6457.185145240832</v>
      </c>
      <c r="V754" s="88">
        <f>+V753+V748+V742+V725</f>
        <v>22788.495379371692</v>
      </c>
      <c r="W754" s="111"/>
    </row>
    <row r="755" spans="1:23" ht="13.5" thickBot="1">
      <c r="A755" s="97"/>
      <c r="B755" s="110" t="str">
        <f>'Unit tariffs'!$B$7</f>
        <v>Administration Levy (Indirect Cost)</v>
      </c>
      <c r="C755" s="78"/>
      <c r="D755" s="112">
        <f>'Unit tariffs'!$C$7</f>
        <v>0.1</v>
      </c>
      <c r="E755" s="78" t="s">
        <v>312</v>
      </c>
      <c r="F755" s="196">
        <f>+'Unit tariffs'!$F$7</f>
        <v>10000</v>
      </c>
      <c r="G755" s="80"/>
      <c r="H755" s="114">
        <f>H754*0.2626</f>
        <v>7624.042090959642</v>
      </c>
      <c r="I755" s="114">
        <f>IF(I754*$D755&gt;='Unit tariffs'!$E$7,'Unit tariffs'!$E$7,I754*$D755)</f>
        <v>3253.125039544826</v>
      </c>
      <c r="J755" s="111"/>
      <c r="O755" s="110" t="str">
        <f>'Unit tariffs'!$B$7</f>
        <v>Administration Levy (Indirect Cost)</v>
      </c>
      <c r="P755" s="78"/>
      <c r="Q755" s="112">
        <f>'Unit tariffs'!$C$7</f>
        <v>0.1</v>
      </c>
      <c r="R755" s="78" t="s">
        <v>312</v>
      </c>
      <c r="S755" s="196">
        <f>+'Unit tariffs'!$F$7</f>
        <v>10000</v>
      </c>
      <c r="T755" s="80"/>
      <c r="U755" s="114">
        <f>U754*0.2626</f>
        <v>1695.6568191402425</v>
      </c>
      <c r="V755" s="114">
        <f>IF(V754*$D755&gt;='Unit tariffs'!$E$7,'Unit tariffs'!$E$7,V754*$D755)</f>
        <v>2278.8495379371693</v>
      </c>
      <c r="W755" s="111"/>
    </row>
    <row r="756" spans="1:23" ht="13.5" thickTop="1">
      <c r="A756" s="97"/>
      <c r="B756" s="110" t="s">
        <v>44</v>
      </c>
      <c r="C756" s="78"/>
      <c r="D756" s="78"/>
      <c r="E756" s="78"/>
      <c r="F756" s="78"/>
      <c r="G756" s="80"/>
      <c r="H756" s="115">
        <f>SUM(H754:H755)</f>
        <v>36656.95180520047</v>
      </c>
      <c r="I756" s="137">
        <f>+I754+I755</f>
        <v>35784.37543499308</v>
      </c>
      <c r="J756" s="111"/>
      <c r="O756" s="110" t="s">
        <v>44</v>
      </c>
      <c r="P756" s="78"/>
      <c r="Q756" s="78"/>
      <c r="R756" s="78"/>
      <c r="S756" s="78"/>
      <c r="T756" s="80"/>
      <c r="U756" s="115">
        <f>SUM(U754:U755)</f>
        <v>8152.841964381074</v>
      </c>
      <c r="V756" s="137">
        <f>+V754+V755</f>
        <v>25067.344917308863</v>
      </c>
      <c r="W756" s="111"/>
    </row>
    <row r="757" spans="1:23" ht="12.75">
      <c r="A757" s="97"/>
      <c r="B757" s="110"/>
      <c r="C757" s="78"/>
      <c r="D757" s="78"/>
      <c r="E757" s="78"/>
      <c r="F757" s="78"/>
      <c r="G757" s="80"/>
      <c r="H757" s="80"/>
      <c r="I757" s="88"/>
      <c r="J757" s="116"/>
      <c r="O757" s="110"/>
      <c r="P757" s="78"/>
      <c r="Q757" s="78"/>
      <c r="R757" s="78"/>
      <c r="S757" s="78"/>
      <c r="T757" s="80"/>
      <c r="U757" s="80"/>
      <c r="V757" s="88"/>
      <c r="W757" s="116"/>
    </row>
    <row r="758" spans="1:23" ht="12.75">
      <c r="A758" s="97"/>
      <c r="B758" s="110" t="s">
        <v>45</v>
      </c>
      <c r="C758" s="78"/>
      <c r="D758" s="78"/>
      <c r="E758" s="78"/>
      <c r="F758" s="78"/>
      <c r="G758" s="78"/>
      <c r="H758" s="90">
        <f>ROUND(H756,-1)</f>
        <v>36660</v>
      </c>
      <c r="I758" s="90">
        <f>ROUND(I756,-1)</f>
        <v>35780</v>
      </c>
      <c r="J758" s="111"/>
      <c r="O758" s="110" t="s">
        <v>45</v>
      </c>
      <c r="P758" s="78"/>
      <c r="Q758" s="78"/>
      <c r="R758" s="78"/>
      <c r="S758" s="78"/>
      <c r="T758" s="78"/>
      <c r="U758" s="90">
        <f>ROUND(U756,-1)</f>
        <v>8150</v>
      </c>
      <c r="V758" s="90">
        <f>ROUND(V756,-1)</f>
        <v>25070</v>
      </c>
      <c r="W758" s="111"/>
    </row>
    <row r="759" spans="1:23" ht="12.75">
      <c r="A759" s="97"/>
      <c r="B759" s="78"/>
      <c r="C759" s="78"/>
      <c r="D759" s="78"/>
      <c r="E759" s="78"/>
      <c r="F759" s="78"/>
      <c r="G759" s="78"/>
      <c r="H759" s="78"/>
      <c r="I759" s="80"/>
      <c r="J759" s="119"/>
      <c r="O759" s="78"/>
      <c r="P759" s="78"/>
      <c r="Q759" s="78"/>
      <c r="R759" s="78"/>
      <c r="S759" s="78"/>
      <c r="T759" s="78"/>
      <c r="U759" s="78"/>
      <c r="V759" s="80"/>
      <c r="W759" s="119"/>
    </row>
    <row r="760" spans="1:23" ht="12.75">
      <c r="A760" s="97"/>
      <c r="B760" s="78"/>
      <c r="C760" s="78"/>
      <c r="D760" s="78"/>
      <c r="E760" s="78"/>
      <c r="F760" s="78"/>
      <c r="G760" s="78"/>
      <c r="H760" s="118">
        <v>0.05218012866333095</v>
      </c>
      <c r="I760" s="118">
        <f>(I758-H758)/H758</f>
        <v>-0.024004364429896344</v>
      </c>
      <c r="J760" s="119"/>
      <c r="O760" s="78"/>
      <c r="P760" s="78"/>
      <c r="Q760" s="78"/>
      <c r="R760" s="78"/>
      <c r="S760" s="78"/>
      <c r="T760" s="78"/>
      <c r="U760" s="118">
        <v>0.05218012866333095</v>
      </c>
      <c r="V760" s="118">
        <f>(V758-U758)/U758</f>
        <v>2.076073619631902</v>
      </c>
      <c r="W760" s="119"/>
    </row>
    <row r="761" spans="1:23" ht="13.5" thickBot="1">
      <c r="A761" s="462"/>
      <c r="B761" s="130"/>
      <c r="C761" s="130"/>
      <c r="D761" s="130"/>
      <c r="E761" s="130"/>
      <c r="F761" s="130"/>
      <c r="G761" s="130"/>
      <c r="H761" s="130"/>
      <c r="I761" s="139"/>
      <c r="J761" s="468"/>
      <c r="O761" s="130"/>
      <c r="P761" s="130"/>
      <c r="Q761" s="130"/>
      <c r="R761" s="130"/>
      <c r="S761" s="130"/>
      <c r="T761" s="130"/>
      <c r="U761" s="130"/>
      <c r="V761" s="139"/>
      <c r="W761" s="468"/>
    </row>
    <row r="762" spans="1:23" ht="13.5" thickTop="1">
      <c r="A762" s="97"/>
      <c r="B762" s="78"/>
      <c r="C762" s="78"/>
      <c r="D762" s="78"/>
      <c r="E762" s="78"/>
      <c r="F762" s="78"/>
      <c r="G762" s="78"/>
      <c r="H762" s="78"/>
      <c r="I762" s="78"/>
      <c r="J762" s="101"/>
      <c r="O762" s="78"/>
      <c r="P762" s="78"/>
      <c r="Q762" s="78"/>
      <c r="R762" s="78"/>
      <c r="S762" s="78"/>
      <c r="T762" s="78"/>
      <c r="U762" s="78"/>
      <c r="V762" s="78"/>
      <c r="W762" s="101"/>
    </row>
    <row r="763" spans="1:23" ht="27" customHeight="1">
      <c r="A763" s="97"/>
      <c r="B763" s="826" t="s">
        <v>574</v>
      </c>
      <c r="C763" s="827"/>
      <c r="D763" s="827"/>
      <c r="E763" s="827"/>
      <c r="F763" s="827"/>
      <c r="G763" s="828"/>
      <c r="H763" s="78"/>
      <c r="I763" s="140" t="s">
        <v>244</v>
      </c>
      <c r="J763" s="101"/>
      <c r="O763" s="826" t="s">
        <v>574</v>
      </c>
      <c r="P763" s="827"/>
      <c r="Q763" s="827"/>
      <c r="R763" s="827"/>
      <c r="S763" s="827"/>
      <c r="T763" s="828"/>
      <c r="U763" s="78"/>
      <c r="V763" s="140" t="s">
        <v>244</v>
      </c>
      <c r="W763" s="101"/>
    </row>
    <row r="764" spans="1:23" ht="12.75">
      <c r="A764" s="97"/>
      <c r="B764" s="78"/>
      <c r="C764" s="78"/>
      <c r="D764" s="78"/>
      <c r="E764" s="78"/>
      <c r="F764" s="78"/>
      <c r="G764" s="78"/>
      <c r="H764" s="109" t="str">
        <f>+H$11</f>
        <v>2020/2021</v>
      </c>
      <c r="I764" s="109" t="str">
        <f>+'Unit tariffs'!$F$11</f>
        <v>2021/2022</v>
      </c>
      <c r="J764" s="458" t="s">
        <v>315</v>
      </c>
      <c r="O764" s="78"/>
      <c r="P764" s="78"/>
      <c r="Q764" s="78"/>
      <c r="R764" s="78"/>
      <c r="S764" s="78"/>
      <c r="T764" s="78"/>
      <c r="U764" s="109">
        <f>+U$11</f>
        <v>0</v>
      </c>
      <c r="V764" s="109" t="str">
        <f>+'Unit tariffs'!$F$11</f>
        <v>2021/2022</v>
      </c>
      <c r="W764" s="458" t="s">
        <v>315</v>
      </c>
    </row>
    <row r="765" spans="1:23" ht="13.5">
      <c r="A765" s="97"/>
      <c r="B765" s="78"/>
      <c r="C765" s="78"/>
      <c r="D765" s="78"/>
      <c r="E765" s="78"/>
      <c r="F765" s="78"/>
      <c r="G765" s="78"/>
      <c r="H765" s="144"/>
      <c r="I765" s="134"/>
      <c r="J765" s="464"/>
      <c r="O765" s="78"/>
      <c r="P765" s="78"/>
      <c r="Q765" s="78"/>
      <c r="R765" s="78"/>
      <c r="S765" s="78"/>
      <c r="T765" s="78"/>
      <c r="U765" s="144"/>
      <c r="V765" s="134"/>
      <c r="W765" s="464"/>
    </row>
    <row r="766" spans="1:23" ht="12.75">
      <c r="A766" s="97"/>
      <c r="B766" s="110" t="s">
        <v>117</v>
      </c>
      <c r="C766" s="78"/>
      <c r="D766" s="78"/>
      <c r="E766" s="78"/>
      <c r="F766" s="78"/>
      <c r="G766" s="78"/>
      <c r="H766" s="145"/>
      <c r="I766" s="134"/>
      <c r="J766" s="464"/>
      <c r="O766" s="110" t="s">
        <v>117</v>
      </c>
      <c r="P766" s="78"/>
      <c r="Q766" s="78"/>
      <c r="R766" s="78"/>
      <c r="S766" s="78"/>
      <c r="T766" s="78"/>
      <c r="U766" s="145"/>
      <c r="V766" s="134"/>
      <c r="W766" s="464"/>
    </row>
    <row r="767" spans="1:23" ht="12.75">
      <c r="A767" s="97"/>
      <c r="B767" s="78" t="s">
        <v>118</v>
      </c>
      <c r="C767" s="78"/>
      <c r="D767" s="78"/>
      <c r="E767" s="78"/>
      <c r="F767" s="78"/>
      <c r="G767" s="78"/>
      <c r="H767" s="121"/>
      <c r="I767" s="121"/>
      <c r="J767" s="111"/>
      <c r="O767" s="78" t="s">
        <v>118</v>
      </c>
      <c r="P767" s="78"/>
      <c r="Q767" s="78"/>
      <c r="R767" s="78"/>
      <c r="S767" s="78"/>
      <c r="T767" s="78"/>
      <c r="U767" s="121"/>
      <c r="V767" s="121"/>
      <c r="W767" s="111"/>
    </row>
    <row r="768" spans="1:23" ht="12.75">
      <c r="A768" s="97"/>
      <c r="B768" s="78"/>
      <c r="C768" s="78"/>
      <c r="D768" s="78"/>
      <c r="E768" s="78"/>
      <c r="F768" s="78"/>
      <c r="G768" s="78"/>
      <c r="H768" s="121"/>
      <c r="I768" s="121"/>
      <c r="J768" s="111"/>
      <c r="O768" s="78"/>
      <c r="P768" s="78"/>
      <c r="Q768" s="78"/>
      <c r="R768" s="78"/>
      <c r="S768" s="78"/>
      <c r="T768" s="78"/>
      <c r="U768" s="121"/>
      <c r="V768" s="121"/>
      <c r="W768" s="111"/>
    </row>
    <row r="769" spans="1:23" ht="12.75">
      <c r="A769" s="97"/>
      <c r="B769" s="91">
        <v>7.5</v>
      </c>
      <c r="C769" s="91" t="str">
        <f>'Unit tariffs'!B137</f>
        <v>Secondary Backbone - MV Peri Urban</v>
      </c>
      <c r="D769" s="91"/>
      <c r="E769" s="91"/>
      <c r="F769" s="91" t="str">
        <f>'Unit tariffs'!C$137</f>
        <v>per kVA</v>
      </c>
      <c r="G769" s="91"/>
      <c r="H769" s="198">
        <f>B769*'Unit tariffs'!E137</f>
        <v>6626.625</v>
      </c>
      <c r="I769" s="198">
        <f>VLOOKUP($C769,'Unit tariffs'!$B$21:$F$157,5,FALSE)*$B769</f>
        <v>7289.287499999999</v>
      </c>
      <c r="J769" s="111"/>
      <c r="O769" s="91">
        <v>4.5</v>
      </c>
      <c r="P769" s="91" t="str">
        <f>C769</f>
        <v>Secondary Backbone - MV Peri Urban</v>
      </c>
      <c r="Q769" s="91"/>
      <c r="R769" s="91"/>
      <c r="S769" s="91">
        <f>'Unit tariffs'!P$137</f>
        <v>0</v>
      </c>
      <c r="T769" s="91"/>
      <c r="U769" s="198">
        <f>O769*'Unit tariffs'!R137</f>
        <v>0</v>
      </c>
      <c r="V769" s="198">
        <f>VLOOKUP($C769,'Unit tariffs'!$B$21:$F$157,5,FALSE)*$O769</f>
        <v>4373.5725</v>
      </c>
      <c r="W769" s="111"/>
    </row>
    <row r="770" spans="1:23" ht="12.75">
      <c r="A770" s="97"/>
      <c r="B770" s="78">
        <v>7.5</v>
      </c>
      <c r="C770" s="78" t="str">
        <f>'Unit tariffs'!B$138</f>
        <v>Secondary Backbone - LV Peri Urban</v>
      </c>
      <c r="D770" s="78"/>
      <c r="E770" s="78"/>
      <c r="F770" s="78" t="str">
        <f>'Unit tariffs'!C$137</f>
        <v>per kVA</v>
      </c>
      <c r="G770" s="78"/>
      <c r="H770" s="89">
        <f>'Unit tariffs'!E138*'Calc Sheet 20_21'!B770</f>
        <v>10870.800000000001</v>
      </c>
      <c r="I770" s="87">
        <f>VLOOKUP($C770,'Unit tariffs'!$B$21:$F$157,5,FALSE)*$B770</f>
        <v>11957.880000000001</v>
      </c>
      <c r="J770" s="111"/>
      <c r="O770" s="78">
        <v>4.5</v>
      </c>
      <c r="P770" s="78" t="str">
        <f>C770</f>
        <v>Secondary Backbone - LV Peri Urban</v>
      </c>
      <c r="Q770" s="78"/>
      <c r="R770" s="78"/>
      <c r="S770" s="78">
        <f>'Unit tariffs'!P$137</f>
        <v>0</v>
      </c>
      <c r="T770" s="78"/>
      <c r="U770" s="89">
        <f>'Unit tariffs'!R138*'Calc Sheet 20_21'!O770</f>
        <v>0</v>
      </c>
      <c r="V770" s="87">
        <f>VLOOKUP($C770,'Unit tariffs'!$B$21:$F$157,5,FALSE)*$O770</f>
        <v>7174.728000000001</v>
      </c>
      <c r="W770" s="111"/>
    </row>
    <row r="771" spans="1:23" ht="12.75">
      <c r="A771" s="97"/>
      <c r="B771" s="78"/>
      <c r="C771" s="78"/>
      <c r="D771" s="78"/>
      <c r="E771" s="78"/>
      <c r="F771" s="78"/>
      <c r="G771" s="78"/>
      <c r="H771" s="88">
        <f>SUM(H769:H770)</f>
        <v>17497.425000000003</v>
      </c>
      <c r="I771" s="80">
        <f>SUM(I769:I770)</f>
        <v>19247.1675</v>
      </c>
      <c r="J771" s="464"/>
      <c r="O771" s="78"/>
      <c r="P771" s="78"/>
      <c r="Q771" s="78"/>
      <c r="R771" s="78"/>
      <c r="S771" s="78"/>
      <c r="T771" s="78"/>
      <c r="U771" s="88">
        <f>SUM(U769:U770)</f>
        <v>0</v>
      </c>
      <c r="V771" s="80">
        <f>SUM(V769:V770)</f>
        <v>11548.300500000001</v>
      </c>
      <c r="W771" s="464"/>
    </row>
    <row r="772" spans="1:23" ht="12.75">
      <c r="A772" s="97"/>
      <c r="B772" s="78"/>
      <c r="C772" s="78"/>
      <c r="D772" s="78"/>
      <c r="E772" s="78"/>
      <c r="F772" s="78"/>
      <c r="G772" s="78"/>
      <c r="H772" s="145"/>
      <c r="I772" s="78"/>
      <c r="J772" s="101"/>
      <c r="O772" s="78"/>
      <c r="P772" s="78"/>
      <c r="Q772" s="78"/>
      <c r="R772" s="78"/>
      <c r="S772" s="78"/>
      <c r="T772" s="78"/>
      <c r="U772" s="145"/>
      <c r="V772" s="78"/>
      <c r="W772" s="101"/>
    </row>
    <row r="773" spans="1:23" ht="12.75">
      <c r="A773" s="97"/>
      <c r="B773" s="110" t="s">
        <v>41</v>
      </c>
      <c r="C773" s="78"/>
      <c r="D773" s="78"/>
      <c r="E773" s="78"/>
      <c r="F773" s="78"/>
      <c r="G773" s="78"/>
      <c r="H773" s="88"/>
      <c r="I773" s="80"/>
      <c r="J773" s="111"/>
      <c r="O773" s="110" t="s">
        <v>41</v>
      </c>
      <c r="P773" s="78"/>
      <c r="Q773" s="78"/>
      <c r="R773" s="78"/>
      <c r="S773" s="78"/>
      <c r="T773" s="78"/>
      <c r="U773" s="88"/>
      <c r="V773" s="80"/>
      <c r="W773" s="111"/>
    </row>
    <row r="774" spans="1:23" ht="12.75">
      <c r="A774" s="97"/>
      <c r="B774" s="110"/>
      <c r="C774" s="78"/>
      <c r="D774" s="78"/>
      <c r="E774" s="78"/>
      <c r="F774" s="78"/>
      <c r="G774" s="78"/>
      <c r="H774" s="88"/>
      <c r="I774" s="80"/>
      <c r="J774" s="111"/>
      <c r="O774" s="110"/>
      <c r="P774" s="78"/>
      <c r="Q774" s="78"/>
      <c r="R774" s="78"/>
      <c r="S774" s="78"/>
      <c r="T774" s="78"/>
      <c r="U774" s="88"/>
      <c r="V774" s="80"/>
      <c r="W774" s="111"/>
    </row>
    <row r="775" spans="1:23" ht="12.75">
      <c r="A775" s="97"/>
      <c r="B775" s="121">
        <v>1</v>
      </c>
      <c r="C775" s="78" t="s">
        <v>229</v>
      </c>
      <c r="D775" s="121"/>
      <c r="E775" s="121"/>
      <c r="F775" s="121"/>
      <c r="G775" s="121"/>
      <c r="H775" s="80">
        <v>6745.069568999999</v>
      </c>
      <c r="I775" s="80">
        <f>VLOOKUP($C775,'Unit tariffs'!$B$21:$F$122,5,FALSE)*$B775</f>
        <v>7028.362490897999</v>
      </c>
      <c r="J775" s="471" t="e">
        <f>IF(+I775*'Unit tariffs'!#REF!&gt;'Unit tariffs'!#REF!,'Unit tariffs'!#REF!,+I775*'Unit tariffs'!#REF!)</f>
        <v>#REF!</v>
      </c>
      <c r="O775" s="121">
        <v>1</v>
      </c>
      <c r="P775" s="78" t="s">
        <v>229</v>
      </c>
      <c r="Q775" s="121"/>
      <c r="R775" s="121"/>
      <c r="S775" s="121"/>
      <c r="T775" s="121"/>
      <c r="U775" s="80">
        <v>6745.069568999999</v>
      </c>
      <c r="V775" s="80">
        <f>VLOOKUP($C775,'Unit tariffs'!$B$21:$F$122,5,FALSE)*$B775</f>
        <v>7028.362490897999</v>
      </c>
      <c r="W775" s="471" t="e">
        <f>IF(+V775*'Unit tariffs'!#REF!&gt;'Unit tariffs'!#REF!,'Unit tariffs'!#REF!,+V775*'Unit tariffs'!#REF!)</f>
        <v>#REF!</v>
      </c>
    </row>
    <row r="776" spans="1:23" ht="12.75">
      <c r="A776" s="97"/>
      <c r="B776" s="78">
        <v>3</v>
      </c>
      <c r="C776" s="78" t="s">
        <v>99</v>
      </c>
      <c r="D776" s="78"/>
      <c r="E776" s="78"/>
      <c r="F776" s="78"/>
      <c r="G776" s="78"/>
      <c r="H776" s="88">
        <v>541.0141229999999</v>
      </c>
      <c r="I776" s="80">
        <f>VLOOKUP($C776,'Unit tariffs'!$B$21:$F$122,5,FALSE)*$B776</f>
        <v>563.736716166</v>
      </c>
      <c r="J776" s="471" t="e">
        <f>IF(+I776*'Unit tariffs'!#REF!&gt;'Unit tariffs'!#REF!,'Unit tariffs'!#REF!,+I776*'Unit tariffs'!#REF!)</f>
        <v>#REF!</v>
      </c>
      <c r="O776" s="78">
        <v>3</v>
      </c>
      <c r="P776" s="78" t="s">
        <v>99</v>
      </c>
      <c r="Q776" s="78"/>
      <c r="R776" s="78"/>
      <c r="S776" s="78"/>
      <c r="T776" s="78"/>
      <c r="U776" s="88">
        <v>541.0141229999999</v>
      </c>
      <c r="V776" s="80">
        <f>VLOOKUP($C776,'Unit tariffs'!$B$21:$F$122,5,FALSE)*$B776</f>
        <v>563.736716166</v>
      </c>
      <c r="W776" s="471" t="e">
        <f>IF(+V776*'Unit tariffs'!#REF!&gt;'Unit tariffs'!#REF!,'Unit tariffs'!#REF!,+V776*'Unit tariffs'!#REF!)</f>
        <v>#REF!</v>
      </c>
    </row>
    <row r="777" spans="1:23" ht="12.75">
      <c r="A777" s="97"/>
      <c r="B777" s="78">
        <v>0</v>
      </c>
      <c r="C777" s="78" t="s">
        <v>143</v>
      </c>
      <c r="D777" s="78"/>
      <c r="E777" s="78"/>
      <c r="F777" s="78"/>
      <c r="G777" s="78"/>
      <c r="H777" s="80">
        <v>32.08197743055</v>
      </c>
      <c r="I777" s="80">
        <f>VLOOKUP($C777,'Unit tariffs'!$B$21:$F$122,5,FALSE)*$B777</f>
        <v>0</v>
      </c>
      <c r="J777" s="471" t="e">
        <f>IF(+I777*'Unit tariffs'!#REF!&gt;'Unit tariffs'!#REF!,'Unit tariffs'!#REF!,+I777*'Unit tariffs'!#REF!)</f>
        <v>#REF!</v>
      </c>
      <c r="O777" s="78">
        <v>0</v>
      </c>
      <c r="P777" s="78" t="s">
        <v>143</v>
      </c>
      <c r="Q777" s="78"/>
      <c r="R777" s="78"/>
      <c r="S777" s="78"/>
      <c r="T777" s="78"/>
      <c r="U777" s="80">
        <v>32.08197743055</v>
      </c>
      <c r="V777" s="80">
        <f>VLOOKUP($C777,'Unit tariffs'!$B$21:$F$122,5,FALSE)*$B777</f>
        <v>0</v>
      </c>
      <c r="W777" s="471" t="e">
        <f>IF(+V777*'Unit tariffs'!#REF!&gt;'Unit tariffs'!#REF!,'Unit tariffs'!#REF!,+V777*'Unit tariffs'!#REF!)</f>
        <v>#REF!</v>
      </c>
    </row>
    <row r="778" spans="1:23" ht="12.75">
      <c r="A778" s="97"/>
      <c r="B778" s="78">
        <v>1</v>
      </c>
      <c r="C778" s="78" t="s">
        <v>17</v>
      </c>
      <c r="D778" s="78"/>
      <c r="E778" s="78"/>
      <c r="F778" s="78"/>
      <c r="G778" s="78"/>
      <c r="H778" s="88">
        <v>227.289957</v>
      </c>
      <c r="I778" s="80">
        <f>VLOOKUP($C778,'Unit tariffs'!$B$21:$F$122,5,FALSE)*$B778</f>
        <v>260.5</v>
      </c>
      <c r="J778" s="471" t="e">
        <f>IF(+I778*'Unit tariffs'!#REF!&gt;'Unit tariffs'!#REF!,'Unit tariffs'!#REF!,+I778*'Unit tariffs'!#REF!)</f>
        <v>#REF!</v>
      </c>
      <c r="O778" s="78">
        <v>1</v>
      </c>
      <c r="P778" s="78" t="s">
        <v>17</v>
      </c>
      <c r="Q778" s="78"/>
      <c r="R778" s="78"/>
      <c r="S778" s="78"/>
      <c r="T778" s="78"/>
      <c r="U778" s="88">
        <v>227.289957</v>
      </c>
      <c r="V778" s="80">
        <f>VLOOKUP($C778,'Unit tariffs'!$B$21:$F$122,5,FALSE)*$B778</f>
        <v>260.5</v>
      </c>
      <c r="W778" s="471" t="e">
        <f>IF(+V778*'Unit tariffs'!#REF!&gt;'Unit tariffs'!#REF!,'Unit tariffs'!#REF!,+V778*'Unit tariffs'!#REF!)</f>
        <v>#REF!</v>
      </c>
    </row>
    <row r="779" spans="1:23" ht="12.75">
      <c r="A779" s="97"/>
      <c r="B779" s="91">
        <v>0</v>
      </c>
      <c r="C779" s="78" t="str">
        <f>'Unit tariffs'!B37</f>
        <v> Rural household meter box</v>
      </c>
      <c r="D779" s="78"/>
      <c r="E779" s="78"/>
      <c r="F779" s="78"/>
      <c r="G779" s="78"/>
      <c r="H779" s="80">
        <v>0</v>
      </c>
      <c r="I779" s="80">
        <f>VLOOKUP($C779,'Unit tariffs'!$B$21:$F$122,5,FALSE)*$B779</f>
        <v>0</v>
      </c>
      <c r="J779" s="471" t="e">
        <f>IF(+I779*'Unit tariffs'!#REF!&gt;'Unit tariffs'!#REF!,'Unit tariffs'!#REF!,+I779*'Unit tariffs'!#REF!)</f>
        <v>#REF!</v>
      </c>
      <c r="O779" s="91">
        <v>0</v>
      </c>
      <c r="P779" s="78">
        <f>'Unit tariffs'!O37</f>
        <v>0</v>
      </c>
      <c r="Q779" s="78"/>
      <c r="R779" s="78"/>
      <c r="S779" s="78"/>
      <c r="T779" s="78"/>
      <c r="U779" s="80">
        <v>0</v>
      </c>
      <c r="V779" s="80">
        <f>VLOOKUP($C779,'Unit tariffs'!$B$21:$F$122,5,FALSE)*$B779</f>
        <v>0</v>
      </c>
      <c r="W779" s="471" t="e">
        <f>IF(+V779*'Unit tariffs'!#REF!&gt;'Unit tariffs'!#REF!,'Unit tariffs'!#REF!,+V779*'Unit tariffs'!#REF!)</f>
        <v>#REF!</v>
      </c>
    </row>
    <row r="780" spans="1:23" ht="12.75">
      <c r="A780" s="97"/>
      <c r="B780" s="91">
        <v>0</v>
      </c>
      <c r="C780" s="78" t="s">
        <v>90</v>
      </c>
      <c r="D780" s="78"/>
      <c r="E780" s="78"/>
      <c r="F780" s="78"/>
      <c r="G780" s="78"/>
      <c r="H780" s="88">
        <v>0</v>
      </c>
      <c r="I780" s="80">
        <f>VLOOKUP($C780,'Unit tariffs'!$B$21:$F$122,5,FALSE)*$B780</f>
        <v>0</v>
      </c>
      <c r="J780" s="471" t="e">
        <f>IF(+I780*'Unit tariffs'!#REF!&gt;'Unit tariffs'!#REF!,'Unit tariffs'!#REF!,+I780*'Unit tariffs'!#REF!)</f>
        <v>#REF!</v>
      </c>
      <c r="O780" s="91">
        <v>0</v>
      </c>
      <c r="P780" s="78" t="s">
        <v>90</v>
      </c>
      <c r="Q780" s="78"/>
      <c r="R780" s="78"/>
      <c r="S780" s="78"/>
      <c r="T780" s="78"/>
      <c r="U780" s="88">
        <v>0</v>
      </c>
      <c r="V780" s="80">
        <f>VLOOKUP($C780,'Unit tariffs'!$B$21:$F$122,5,FALSE)*$B780</f>
        <v>0</v>
      </c>
      <c r="W780" s="471" t="e">
        <f>IF(+V780*'Unit tariffs'!#REF!&gt;'Unit tariffs'!#REF!,'Unit tariffs'!#REF!,+V780*'Unit tariffs'!#REF!)</f>
        <v>#REF!</v>
      </c>
    </row>
    <row r="781" spans="1:23" ht="12.75">
      <c r="A781" s="97"/>
      <c r="B781" s="91">
        <v>0</v>
      </c>
      <c r="C781" s="78" t="s">
        <v>11</v>
      </c>
      <c r="D781" s="78"/>
      <c r="E781" s="78"/>
      <c r="F781" s="78"/>
      <c r="G781" s="78"/>
      <c r="H781" s="88">
        <v>0</v>
      </c>
      <c r="I781" s="80">
        <f>VLOOKUP($C781,'Unit tariffs'!$B$21:$F$122,5,FALSE)*$B781</f>
        <v>0</v>
      </c>
      <c r="J781" s="471" t="e">
        <f>IF(+I781*'Unit tariffs'!#REF!&gt;'Unit tariffs'!#REF!,'Unit tariffs'!#REF!,+I781*'Unit tariffs'!#REF!)</f>
        <v>#REF!</v>
      </c>
      <c r="O781" s="91">
        <v>0</v>
      </c>
      <c r="P781" s="78" t="s">
        <v>11</v>
      </c>
      <c r="Q781" s="78"/>
      <c r="R781" s="78"/>
      <c r="S781" s="78"/>
      <c r="T781" s="78"/>
      <c r="U781" s="88">
        <v>0</v>
      </c>
      <c r="V781" s="80">
        <f>VLOOKUP($C781,'Unit tariffs'!$B$21:$F$122,5,FALSE)*$B781</f>
        <v>0</v>
      </c>
      <c r="W781" s="471" t="e">
        <f>IF(+V781*'Unit tariffs'!#REF!&gt;'Unit tariffs'!#REF!,'Unit tariffs'!#REF!,+V781*'Unit tariffs'!#REF!)</f>
        <v>#REF!</v>
      </c>
    </row>
    <row r="782" spans="1:23" ht="12.75">
      <c r="A782" s="97"/>
      <c r="B782" s="91">
        <v>0</v>
      </c>
      <c r="C782" s="78" t="s">
        <v>5</v>
      </c>
      <c r="D782" s="78"/>
      <c r="E782" s="78"/>
      <c r="F782" s="78"/>
      <c r="G782" s="78"/>
      <c r="H782" s="88">
        <v>0</v>
      </c>
      <c r="I782" s="80">
        <f>VLOOKUP($C782,'Unit tariffs'!$B$21:$F$122,5,FALSE)*$B782</f>
        <v>0</v>
      </c>
      <c r="J782" s="471" t="e">
        <f>IF(+I782*'Unit tariffs'!#REF!&gt;'Unit tariffs'!#REF!,'Unit tariffs'!#REF!,+I782*'Unit tariffs'!#REF!)</f>
        <v>#REF!</v>
      </c>
      <c r="O782" s="91">
        <v>0</v>
      </c>
      <c r="P782" s="78" t="s">
        <v>5</v>
      </c>
      <c r="Q782" s="78"/>
      <c r="R782" s="78"/>
      <c r="S782" s="78"/>
      <c r="T782" s="78"/>
      <c r="U782" s="88">
        <v>0</v>
      </c>
      <c r="V782" s="80">
        <f>VLOOKUP($C782,'Unit tariffs'!$B$21:$F$122,5,FALSE)*$B782</f>
        <v>0</v>
      </c>
      <c r="W782" s="471" t="e">
        <f>IF(+V782*'Unit tariffs'!#REF!&gt;'Unit tariffs'!#REF!,'Unit tariffs'!#REF!,+V782*'Unit tariffs'!#REF!)</f>
        <v>#REF!</v>
      </c>
    </row>
    <row r="783" spans="1:23" ht="12.75">
      <c r="A783" s="97"/>
      <c r="B783" s="91">
        <v>0</v>
      </c>
      <c r="C783" s="78" t="s">
        <v>93</v>
      </c>
      <c r="D783" s="78"/>
      <c r="E783" s="78"/>
      <c r="F783" s="78"/>
      <c r="G783" s="78"/>
      <c r="H783" s="88">
        <v>0</v>
      </c>
      <c r="I783" s="80">
        <f>VLOOKUP($C783,'Unit tariffs'!$B$21:$F$122,5,FALSE)*$B783</f>
        <v>0</v>
      </c>
      <c r="J783" s="471" t="e">
        <f>IF(+I783*'Unit tariffs'!#REF!&gt;'Unit tariffs'!#REF!,'Unit tariffs'!#REF!,+I783*'Unit tariffs'!#REF!)</f>
        <v>#REF!</v>
      </c>
      <c r="O783" s="91">
        <v>0</v>
      </c>
      <c r="P783" s="78" t="s">
        <v>93</v>
      </c>
      <c r="Q783" s="78"/>
      <c r="R783" s="78"/>
      <c r="S783" s="78"/>
      <c r="T783" s="78"/>
      <c r="U783" s="88">
        <v>0</v>
      </c>
      <c r="V783" s="80">
        <f>VLOOKUP($C783,'Unit tariffs'!$B$21:$F$122,5,FALSE)*$B783</f>
        <v>0</v>
      </c>
      <c r="W783" s="471" t="e">
        <f>IF(+V783*'Unit tariffs'!#REF!&gt;'Unit tariffs'!#REF!,'Unit tariffs'!#REF!,+V783*'Unit tariffs'!#REF!)</f>
        <v>#REF!</v>
      </c>
    </row>
    <row r="784" spans="1:23" ht="12.75">
      <c r="A784" s="97"/>
      <c r="B784" s="91">
        <v>0</v>
      </c>
      <c r="C784" s="78" t="s">
        <v>188</v>
      </c>
      <c r="D784" s="78"/>
      <c r="E784" s="78"/>
      <c r="F784" s="78"/>
      <c r="G784" s="78"/>
      <c r="H784" s="89">
        <v>0</v>
      </c>
      <c r="I784" s="87">
        <f>VLOOKUP($C784,'Unit tariffs'!$B$21:$F$122,5,FALSE)*$B784</f>
        <v>0</v>
      </c>
      <c r="J784" s="471" t="e">
        <f>IF(+I784*'Unit tariffs'!#REF!&gt;'Unit tariffs'!#REF!,'Unit tariffs'!#REF!,+I784*'Unit tariffs'!#REF!)</f>
        <v>#REF!</v>
      </c>
      <c r="O784" s="91">
        <v>0</v>
      </c>
      <c r="P784" s="78" t="s">
        <v>188</v>
      </c>
      <c r="Q784" s="78"/>
      <c r="R784" s="78"/>
      <c r="S784" s="78"/>
      <c r="T784" s="78"/>
      <c r="U784" s="89">
        <v>0</v>
      </c>
      <c r="V784" s="87">
        <f>VLOOKUP($C784,'Unit tariffs'!$B$21:$F$122,5,FALSE)*$B784</f>
        <v>0</v>
      </c>
      <c r="W784" s="471" t="e">
        <f>IF(+V784*'Unit tariffs'!#REF!&gt;'Unit tariffs'!#REF!,'Unit tariffs'!#REF!,+V784*'Unit tariffs'!#REF!)</f>
        <v>#REF!</v>
      </c>
    </row>
    <row r="785" spans="1:23" ht="12.75">
      <c r="A785" s="97"/>
      <c r="B785" s="78"/>
      <c r="C785" s="78"/>
      <c r="D785" s="78"/>
      <c r="E785" s="78"/>
      <c r="F785" s="78"/>
      <c r="G785" s="78"/>
      <c r="H785" s="80">
        <f>SUM(H775:H784)</f>
        <v>7545.455626430549</v>
      </c>
      <c r="I785" s="80">
        <f>SUM(I775:I784)</f>
        <v>7852.599207063999</v>
      </c>
      <c r="J785" s="111"/>
      <c r="O785" s="78"/>
      <c r="P785" s="78"/>
      <c r="Q785" s="78"/>
      <c r="R785" s="78"/>
      <c r="S785" s="78"/>
      <c r="T785" s="78"/>
      <c r="U785" s="80">
        <f>SUM(U775:U784)</f>
        <v>7545.455626430549</v>
      </c>
      <c r="V785" s="80">
        <f>SUM(V775:V784)</f>
        <v>7852.599207063999</v>
      </c>
      <c r="W785" s="111"/>
    </row>
    <row r="786" spans="1:23" ht="12.75">
      <c r="A786" s="97"/>
      <c r="B786" s="78"/>
      <c r="C786" s="78"/>
      <c r="D786" s="78"/>
      <c r="E786" s="78"/>
      <c r="F786" s="78"/>
      <c r="G786" s="80"/>
      <c r="H786" s="78"/>
      <c r="I786" s="78"/>
      <c r="J786" s="111"/>
      <c r="O786" s="78"/>
      <c r="P786" s="78"/>
      <c r="Q786" s="78"/>
      <c r="R786" s="78"/>
      <c r="S786" s="78"/>
      <c r="T786" s="80"/>
      <c r="U786" s="78"/>
      <c r="V786" s="78"/>
      <c r="W786" s="111"/>
    </row>
    <row r="787" spans="1:23" ht="12.75">
      <c r="A787" s="97"/>
      <c r="B787" s="110" t="s">
        <v>42</v>
      </c>
      <c r="C787" s="78"/>
      <c r="D787" s="78"/>
      <c r="E787" s="78"/>
      <c r="F787" s="78"/>
      <c r="G787" s="78"/>
      <c r="H787" s="78"/>
      <c r="I787" s="78"/>
      <c r="J787" s="111"/>
      <c r="O787" s="110" t="s">
        <v>42</v>
      </c>
      <c r="P787" s="78"/>
      <c r="Q787" s="78"/>
      <c r="R787" s="78"/>
      <c r="S787" s="78"/>
      <c r="T787" s="78"/>
      <c r="U787" s="78"/>
      <c r="V787" s="78"/>
      <c r="W787" s="111"/>
    </row>
    <row r="788" spans="1:23" ht="12.75">
      <c r="A788" s="97"/>
      <c r="B788" s="78"/>
      <c r="C788" s="78"/>
      <c r="D788" s="78"/>
      <c r="E788" s="78"/>
      <c r="F788" s="78"/>
      <c r="G788" s="78"/>
      <c r="H788" s="121"/>
      <c r="I788" s="121"/>
      <c r="J788" s="111"/>
      <c r="O788" s="78"/>
      <c r="P788" s="78"/>
      <c r="Q788" s="78"/>
      <c r="R788" s="78"/>
      <c r="S788" s="78"/>
      <c r="T788" s="78"/>
      <c r="U788" s="121"/>
      <c r="V788" s="121"/>
      <c r="W788" s="111"/>
    </row>
    <row r="789" spans="1:23" ht="12.75">
      <c r="A789" s="97"/>
      <c r="B789" s="78">
        <v>4</v>
      </c>
      <c r="C789" s="78" t="str">
        <f>'Unit tariffs'!B$86</f>
        <v>hour-artisan </v>
      </c>
      <c r="D789" s="78"/>
      <c r="E789" s="78"/>
      <c r="F789" s="78"/>
      <c r="G789" s="78"/>
      <c r="H789" s="88">
        <v>720.2349302533846</v>
      </c>
      <c r="I789" s="80">
        <f>VLOOKUP($C789,'Unit tariffs'!$B$21:$F$122,5,FALSE)*$B789</f>
        <v>1291.408926923077</v>
      </c>
      <c r="J789" s="101"/>
      <c r="O789" s="78">
        <v>4</v>
      </c>
      <c r="P789" s="78">
        <f>'Unit tariffs'!O$86</f>
        <v>0</v>
      </c>
      <c r="Q789" s="78"/>
      <c r="R789" s="78"/>
      <c r="S789" s="78"/>
      <c r="T789" s="78"/>
      <c r="U789" s="88">
        <v>720.2349302533846</v>
      </c>
      <c r="V789" s="80">
        <f>VLOOKUP($C789,'Unit tariffs'!$B$21:$F$122,5,FALSE)*$B789</f>
        <v>1291.408926923077</v>
      </c>
      <c r="W789" s="101"/>
    </row>
    <row r="790" spans="1:23" ht="12.75">
      <c r="A790" s="97"/>
      <c r="B790" s="78">
        <v>8</v>
      </c>
      <c r="C790" s="78" t="str">
        <f>'Unit tariffs'!B$84</f>
        <v>hour-artisan assistant</v>
      </c>
      <c r="D790" s="78"/>
      <c r="E790" s="78"/>
      <c r="F790" s="78"/>
      <c r="G790" s="78"/>
      <c r="H790" s="89">
        <v>636.8244473874462</v>
      </c>
      <c r="I790" s="87">
        <f>VLOOKUP($C790,'Unit tariffs'!$B$21:$F$122,5,FALSE)*$B790</f>
        <v>1028.2864615384617</v>
      </c>
      <c r="J790" s="101"/>
      <c r="O790" s="78">
        <v>8</v>
      </c>
      <c r="P790" s="78">
        <f>'Unit tariffs'!O$84</f>
        <v>407.54480769230764</v>
      </c>
      <c r="Q790" s="78"/>
      <c r="R790" s="78"/>
      <c r="S790" s="78"/>
      <c r="T790" s="78"/>
      <c r="U790" s="89">
        <v>636.8244473874462</v>
      </c>
      <c r="V790" s="87">
        <f>VLOOKUP($C790,'Unit tariffs'!$B$21:$F$122,5,FALSE)*$B790</f>
        <v>1028.2864615384617</v>
      </c>
      <c r="W790" s="101"/>
    </row>
    <row r="791" spans="1:23" ht="12.75">
      <c r="A791" s="97"/>
      <c r="B791" s="78"/>
      <c r="C791" s="78"/>
      <c r="D791" s="78"/>
      <c r="E791" s="78"/>
      <c r="F791" s="78"/>
      <c r="G791" s="78"/>
      <c r="H791" s="80">
        <f>SUM(H789:H790)</f>
        <v>1357.059377640831</v>
      </c>
      <c r="I791" s="80">
        <f>SUM(I789:I790)</f>
        <v>2319.6953884615386</v>
      </c>
      <c r="J791" s="111"/>
      <c r="O791" s="78"/>
      <c r="P791" s="78"/>
      <c r="Q791" s="78"/>
      <c r="R791" s="78"/>
      <c r="S791" s="78"/>
      <c r="T791" s="78"/>
      <c r="U791" s="80">
        <f>SUM(U789:U790)</f>
        <v>1357.059377640831</v>
      </c>
      <c r="V791" s="80">
        <f>SUM(V789:V790)</f>
        <v>2319.6953884615386</v>
      </c>
      <c r="W791" s="111"/>
    </row>
    <row r="792" spans="1:23" ht="12.75">
      <c r="A792" s="97"/>
      <c r="B792" s="110" t="s">
        <v>43</v>
      </c>
      <c r="C792" s="78"/>
      <c r="D792" s="78"/>
      <c r="E792" s="78"/>
      <c r="F792" s="78"/>
      <c r="G792" s="78"/>
      <c r="H792" s="145"/>
      <c r="I792" s="78"/>
      <c r="J792" s="111"/>
      <c r="O792" s="110" t="s">
        <v>43</v>
      </c>
      <c r="P792" s="78"/>
      <c r="Q792" s="78"/>
      <c r="R792" s="78"/>
      <c r="S792" s="78"/>
      <c r="T792" s="78"/>
      <c r="U792" s="145"/>
      <c r="V792" s="78"/>
      <c r="W792" s="111"/>
    </row>
    <row r="793" spans="1:23" ht="12.75">
      <c r="A793" s="97"/>
      <c r="B793" s="78"/>
      <c r="C793" s="78"/>
      <c r="D793" s="78"/>
      <c r="E793" s="78"/>
      <c r="F793" s="78"/>
      <c r="G793" s="78"/>
      <c r="H793" s="145"/>
      <c r="I793" s="78"/>
      <c r="J793" s="111"/>
      <c r="O793" s="78"/>
      <c r="P793" s="78"/>
      <c r="Q793" s="78"/>
      <c r="R793" s="78"/>
      <c r="S793" s="78"/>
      <c r="T793" s="78"/>
      <c r="U793" s="145"/>
      <c r="V793" s="78"/>
      <c r="W793" s="111"/>
    </row>
    <row r="794" spans="1:23" ht="12.75">
      <c r="A794" s="97"/>
      <c r="B794" s="78">
        <v>30</v>
      </c>
      <c r="C794" s="78" t="str">
        <f>'Unit tariffs'!B$110</f>
        <v>km-truck with platform</v>
      </c>
      <c r="D794" s="78"/>
      <c r="E794" s="78"/>
      <c r="F794" s="78"/>
      <c r="G794" s="78"/>
      <c r="H794" s="88">
        <v>973.9707276000003</v>
      </c>
      <c r="I794" s="80">
        <f>VLOOKUP($C794,'Unit tariffs'!$B$21:$F$122,5,FALSE)*$B794</f>
        <v>1212.682441720518</v>
      </c>
      <c r="J794" s="111"/>
      <c r="O794" s="78">
        <v>30</v>
      </c>
      <c r="P794" s="78">
        <f>'Unit tariffs'!O$110</f>
        <v>0</v>
      </c>
      <c r="Q794" s="78"/>
      <c r="R794" s="78"/>
      <c r="S794" s="78"/>
      <c r="T794" s="78"/>
      <c r="U794" s="88">
        <v>973.9707276000003</v>
      </c>
      <c r="V794" s="80">
        <f>VLOOKUP($C794,'Unit tariffs'!$B$21:$F$122,5,FALSE)*$B794</f>
        <v>1212.682441720518</v>
      </c>
      <c r="W794" s="111"/>
    </row>
    <row r="795" spans="1:23" ht="12.75">
      <c r="A795" s="97"/>
      <c r="B795" s="78">
        <v>4</v>
      </c>
      <c r="C795" s="78" t="str">
        <f>'Unit tariffs'!B$111</f>
        <v>hour-truck with platform</v>
      </c>
      <c r="D795" s="78"/>
      <c r="E795" s="78"/>
      <c r="F795" s="78"/>
      <c r="G795" s="78"/>
      <c r="H795" s="89">
        <v>670.4500400000001</v>
      </c>
      <c r="I795" s="80">
        <f>VLOOKUP($C795,'Unit tariffs'!$B$21:$F$122,5,FALSE)*$B795</f>
        <v>786.8883582022</v>
      </c>
      <c r="J795" s="111"/>
      <c r="O795" s="78">
        <v>4</v>
      </c>
      <c r="P795" s="78">
        <f>'Unit tariffs'!O$111</f>
        <v>0</v>
      </c>
      <c r="Q795" s="78"/>
      <c r="R795" s="78"/>
      <c r="S795" s="78"/>
      <c r="T795" s="78"/>
      <c r="U795" s="89">
        <v>670.4500400000001</v>
      </c>
      <c r="V795" s="80">
        <f>VLOOKUP($C795,'Unit tariffs'!$B$21:$F$122,5,FALSE)*$B795</f>
        <v>786.8883582022</v>
      </c>
      <c r="W795" s="111"/>
    </row>
    <row r="796" spans="1:23" ht="13.5" thickBot="1">
      <c r="A796" s="97"/>
      <c r="B796" s="78"/>
      <c r="C796" s="78"/>
      <c r="D796" s="78"/>
      <c r="E796" s="78"/>
      <c r="F796" s="78"/>
      <c r="G796" s="78"/>
      <c r="H796" s="113">
        <f>SUM(H794:H795)</f>
        <v>1644.4207676000003</v>
      </c>
      <c r="I796" s="113">
        <f>SUM(I794:I795)</f>
        <v>1999.570799922718</v>
      </c>
      <c r="J796" s="111"/>
      <c r="O796" s="78"/>
      <c r="P796" s="78"/>
      <c r="Q796" s="78"/>
      <c r="R796" s="78"/>
      <c r="S796" s="78"/>
      <c r="T796" s="78"/>
      <c r="U796" s="113">
        <f>SUM(U794:U795)</f>
        <v>1644.4207676000003</v>
      </c>
      <c r="V796" s="113">
        <f>SUM(V794:V795)</f>
        <v>1999.570799922718</v>
      </c>
      <c r="W796" s="111"/>
    </row>
    <row r="797" spans="1:23" ht="13.5" thickTop="1">
      <c r="A797" s="97"/>
      <c r="B797" s="78"/>
      <c r="C797" s="78"/>
      <c r="D797" s="78"/>
      <c r="E797" s="78"/>
      <c r="F797" s="78"/>
      <c r="G797" s="80"/>
      <c r="H797" s="80">
        <f>H796+H791+H785+H771</f>
        <v>28044.36077167138</v>
      </c>
      <c r="I797" s="80">
        <f>I796+I791+I785+I771</f>
        <v>31419.032895448254</v>
      </c>
      <c r="J797" s="111"/>
      <c r="O797" s="78"/>
      <c r="P797" s="78"/>
      <c r="Q797" s="78"/>
      <c r="R797" s="78"/>
      <c r="S797" s="78"/>
      <c r="T797" s="80"/>
      <c r="U797" s="80">
        <f>U796+U791+U785+U771</f>
        <v>10546.93577167138</v>
      </c>
      <c r="V797" s="80">
        <f>V796+V791+V785+V771</f>
        <v>23720.165895448255</v>
      </c>
      <c r="W797" s="111"/>
    </row>
    <row r="798" spans="1:23" ht="13.5" thickBot="1">
      <c r="A798" s="97"/>
      <c r="B798" s="110" t="str">
        <f>'Unit tariffs'!$B$7</f>
        <v>Administration Levy (Indirect Cost)</v>
      </c>
      <c r="C798" s="78"/>
      <c r="D798" s="112">
        <f>'Unit tariffs'!$C$7</f>
        <v>0.1</v>
      </c>
      <c r="E798" s="78" t="s">
        <v>312</v>
      </c>
      <c r="F798" s="196">
        <f>+'Unit tariffs'!$F$7</f>
        <v>10000</v>
      </c>
      <c r="G798" s="80"/>
      <c r="H798" s="114">
        <f>H797*0.2636</f>
        <v>7392.493499412576</v>
      </c>
      <c r="I798" s="114">
        <f>IF(I797*$D798&gt;='Unit tariffs'!$E$7,'Unit tariffs'!$E$7,I797*$D798)</f>
        <v>3141.9032895448254</v>
      </c>
      <c r="J798" s="116"/>
      <c r="O798" s="110" t="str">
        <f>'Unit tariffs'!$B$7</f>
        <v>Administration Levy (Indirect Cost)</v>
      </c>
      <c r="P798" s="78"/>
      <c r="Q798" s="112">
        <f>'Unit tariffs'!$C$7</f>
        <v>0.1</v>
      </c>
      <c r="R798" s="78" t="s">
        <v>312</v>
      </c>
      <c r="S798" s="196">
        <f>+'Unit tariffs'!$F$7</f>
        <v>10000</v>
      </c>
      <c r="T798" s="80"/>
      <c r="U798" s="114">
        <f>U797*0.2636</f>
        <v>2780.172269412576</v>
      </c>
      <c r="V798" s="114">
        <f>IF(V797*$D798&gt;='Unit tariffs'!$E$7,'Unit tariffs'!$E$7,V797*$D798)</f>
        <v>2372.016589544826</v>
      </c>
      <c r="W798" s="116"/>
    </row>
    <row r="799" spans="1:23" ht="13.5" thickTop="1">
      <c r="A799" s="97"/>
      <c r="B799" s="110" t="s">
        <v>44</v>
      </c>
      <c r="C799" s="78"/>
      <c r="D799" s="78"/>
      <c r="E799" s="78"/>
      <c r="F799" s="78"/>
      <c r="G799" s="80"/>
      <c r="H799" s="115">
        <f>SUM(H797:H798)</f>
        <v>35436.854271083954</v>
      </c>
      <c r="I799" s="115">
        <f>SUM(I797:I798)</f>
        <v>34560.93618499308</v>
      </c>
      <c r="J799" s="111"/>
      <c r="O799" s="110" t="s">
        <v>44</v>
      </c>
      <c r="P799" s="78"/>
      <c r="Q799" s="78"/>
      <c r="R799" s="78"/>
      <c r="S799" s="78"/>
      <c r="T799" s="80"/>
      <c r="U799" s="115">
        <f>SUM(U797:U798)</f>
        <v>13327.108041083957</v>
      </c>
      <c r="V799" s="115">
        <f>SUM(V797:V798)</f>
        <v>26092.18248499308</v>
      </c>
      <c r="W799" s="111"/>
    </row>
    <row r="800" spans="1:23" ht="12.75">
      <c r="A800" s="97"/>
      <c r="B800" s="110"/>
      <c r="C800" s="78"/>
      <c r="D800" s="78"/>
      <c r="E800" s="78"/>
      <c r="F800" s="78"/>
      <c r="G800" s="80"/>
      <c r="H800" s="80"/>
      <c r="I800" s="80"/>
      <c r="J800" s="119"/>
      <c r="O800" s="110"/>
      <c r="P800" s="78"/>
      <c r="Q800" s="78"/>
      <c r="R800" s="78"/>
      <c r="S800" s="78"/>
      <c r="T800" s="80"/>
      <c r="U800" s="80"/>
      <c r="V800" s="80"/>
      <c r="W800" s="119"/>
    </row>
    <row r="801" spans="1:23" ht="12.75">
      <c r="A801" s="97"/>
      <c r="B801" s="110" t="s">
        <v>45</v>
      </c>
      <c r="C801" s="78"/>
      <c r="D801" s="78"/>
      <c r="E801" s="78"/>
      <c r="F801" s="78"/>
      <c r="G801" s="78"/>
      <c r="H801" s="90">
        <f>ROUND(H799,-1)</f>
        <v>35440</v>
      </c>
      <c r="I801" s="90">
        <f>ROUND(I799,-1)</f>
        <v>34560</v>
      </c>
      <c r="J801" s="119"/>
      <c r="O801" s="110" t="s">
        <v>45</v>
      </c>
      <c r="P801" s="78"/>
      <c r="Q801" s="78"/>
      <c r="R801" s="78"/>
      <c r="S801" s="78"/>
      <c r="T801" s="78"/>
      <c r="U801" s="90">
        <f>ROUND(U799,-1)</f>
        <v>13330</v>
      </c>
      <c r="V801" s="90">
        <f>ROUND(V799,-1)</f>
        <v>26090</v>
      </c>
      <c r="W801" s="119"/>
    </row>
    <row r="802" spans="1:23" ht="12.75">
      <c r="A802" s="97"/>
      <c r="B802" s="78"/>
      <c r="C802" s="78"/>
      <c r="D802" s="78"/>
      <c r="E802" s="78"/>
      <c r="F802" s="78"/>
      <c r="G802" s="78"/>
      <c r="H802" s="78"/>
      <c r="I802" s="80"/>
      <c r="J802" s="119"/>
      <c r="O802" s="78"/>
      <c r="P802" s="78"/>
      <c r="Q802" s="78"/>
      <c r="R802" s="78"/>
      <c r="S802" s="78"/>
      <c r="T802" s="78"/>
      <c r="U802" s="78"/>
      <c r="V802" s="80"/>
      <c r="W802" s="119"/>
    </row>
    <row r="803" spans="1:23" ht="12.75">
      <c r="A803" s="97"/>
      <c r="B803" s="78"/>
      <c r="C803" s="78"/>
      <c r="D803" s="78"/>
      <c r="E803" s="78"/>
      <c r="F803" s="78"/>
      <c r="G803" s="78"/>
      <c r="H803" s="118">
        <v>0.047016989332279734</v>
      </c>
      <c r="I803" s="118">
        <f>(I801-H801)/H801</f>
        <v>-0.024830699774266364</v>
      </c>
      <c r="J803" s="119"/>
      <c r="O803" s="78"/>
      <c r="P803" s="78"/>
      <c r="Q803" s="78"/>
      <c r="R803" s="78"/>
      <c r="S803" s="78"/>
      <c r="T803" s="78"/>
      <c r="U803" s="118">
        <v>0.047016989332279734</v>
      </c>
      <c r="V803" s="118">
        <f>(V801-U801)/U801</f>
        <v>0.9572393098274569</v>
      </c>
      <c r="W803" s="119"/>
    </row>
    <row r="804" spans="1:23" ht="12.75">
      <c r="A804" s="97"/>
      <c r="B804" s="78"/>
      <c r="C804" s="78"/>
      <c r="D804" s="78"/>
      <c r="E804" s="78"/>
      <c r="F804" s="78"/>
      <c r="G804" s="78"/>
      <c r="H804" s="78"/>
      <c r="I804" s="118"/>
      <c r="J804" s="119"/>
      <c r="O804" s="78"/>
      <c r="P804" s="78"/>
      <c r="Q804" s="78"/>
      <c r="R804" s="78"/>
      <c r="S804" s="78"/>
      <c r="T804" s="78"/>
      <c r="U804" s="78"/>
      <c r="V804" s="118"/>
      <c r="W804" s="119"/>
    </row>
    <row r="805" spans="1:10" ht="12.75">
      <c r="A805" s="97"/>
      <c r="B805" s="78"/>
      <c r="C805" s="78"/>
      <c r="D805" s="78"/>
      <c r="E805" s="78"/>
      <c r="F805" s="78"/>
      <c r="G805" s="78"/>
      <c r="H805" s="78"/>
      <c r="I805" s="118"/>
      <c r="J805" s="119"/>
    </row>
    <row r="806" spans="1:10" ht="12.75">
      <c r="A806" s="97"/>
      <c r="B806" s="78"/>
      <c r="C806" s="78"/>
      <c r="D806" s="78"/>
      <c r="E806" s="78"/>
      <c r="F806" s="78"/>
      <c r="G806" s="78"/>
      <c r="H806" s="78"/>
      <c r="I806" s="118"/>
      <c r="J806" s="119"/>
    </row>
    <row r="807" spans="1:10" ht="13.5" thickBot="1">
      <c r="A807" s="462"/>
      <c r="B807" s="130"/>
      <c r="C807" s="130"/>
      <c r="D807" s="130"/>
      <c r="E807" s="130"/>
      <c r="F807" s="130"/>
      <c r="G807" s="130"/>
      <c r="H807" s="130"/>
      <c r="I807" s="130"/>
      <c r="J807" s="463"/>
    </row>
    <row r="808" spans="1:10" ht="14.25" thickBot="1" thickTop="1">
      <c r="A808" s="97"/>
      <c r="B808" s="130"/>
      <c r="C808" s="130"/>
      <c r="D808" s="130"/>
      <c r="E808" s="130"/>
      <c r="F808" s="130"/>
      <c r="G808" s="130"/>
      <c r="H808" s="78"/>
      <c r="I808" s="78"/>
      <c r="J808" s="101"/>
    </row>
    <row r="809" spans="1:10" ht="13.5" thickTop="1">
      <c r="A809" s="97"/>
      <c r="B809" s="78"/>
      <c r="C809" s="78"/>
      <c r="D809" s="78"/>
      <c r="E809" s="78"/>
      <c r="F809" s="78"/>
      <c r="G809" s="78"/>
      <c r="H809" s="78"/>
      <c r="I809" s="466"/>
      <c r="J809" s="467"/>
    </row>
    <row r="810" spans="1:10" ht="18" customHeight="1">
      <c r="A810" s="97"/>
      <c r="B810" s="78"/>
      <c r="C810" s="78"/>
      <c r="D810" s="78"/>
      <c r="E810" s="78"/>
      <c r="F810" s="78"/>
      <c r="G810" s="78"/>
      <c r="H810" s="78"/>
      <c r="I810" s="78"/>
      <c r="J810" s="101"/>
    </row>
    <row r="811" spans="1:10" ht="14.25">
      <c r="A811" s="97"/>
      <c r="B811" s="842" t="s">
        <v>206</v>
      </c>
      <c r="C811" s="843"/>
      <c r="D811" s="843"/>
      <c r="E811" s="843"/>
      <c r="F811" s="843"/>
      <c r="G811" s="844"/>
      <c r="H811" s="78"/>
      <c r="I811" s="78"/>
      <c r="J811" s="101"/>
    </row>
    <row r="812" spans="1:10" ht="14.25">
      <c r="A812" s="97"/>
      <c r="B812" s="154"/>
      <c r="C812" s="154"/>
      <c r="D812" s="154"/>
      <c r="E812" s="154"/>
      <c r="F812" s="154"/>
      <c r="G812" s="154"/>
      <c r="H812" s="78"/>
      <c r="I812" s="78"/>
      <c r="J812" s="101"/>
    </row>
    <row r="813" spans="1:10" ht="42.75" customHeight="1">
      <c r="A813" s="97"/>
      <c r="B813" s="820" t="s">
        <v>575</v>
      </c>
      <c r="C813" s="821"/>
      <c r="D813" s="821"/>
      <c r="E813" s="821"/>
      <c r="F813" s="821"/>
      <c r="G813" s="822"/>
      <c r="H813" s="78"/>
      <c r="I813" s="140" t="s">
        <v>243</v>
      </c>
      <c r="J813" s="101"/>
    </row>
    <row r="814" spans="1:10" ht="16.5" customHeight="1">
      <c r="A814" s="97"/>
      <c r="B814" s="121"/>
      <c r="C814" s="121"/>
      <c r="D814" s="121"/>
      <c r="E814" s="121"/>
      <c r="F814" s="121"/>
      <c r="G814" s="121"/>
      <c r="H814" s="109" t="str">
        <f>+H$11</f>
        <v>2020/2021</v>
      </c>
      <c r="I814" s="109" t="str">
        <f>+'Unit tariffs'!$F$11</f>
        <v>2021/2022</v>
      </c>
      <c r="J814" s="458" t="s">
        <v>315</v>
      </c>
    </row>
    <row r="815" spans="1:10" ht="12.75">
      <c r="A815" s="97"/>
      <c r="B815" s="121"/>
      <c r="C815" s="78"/>
      <c r="D815" s="78"/>
      <c r="E815" s="78"/>
      <c r="F815" s="78"/>
      <c r="G815" s="78"/>
      <c r="H815" s="78"/>
      <c r="I815" s="78"/>
      <c r="J815" s="101"/>
    </row>
    <row r="816" spans="1:10" ht="12.75">
      <c r="A816" s="97"/>
      <c r="B816" s="110" t="s">
        <v>117</v>
      </c>
      <c r="C816" s="78"/>
      <c r="D816" s="78"/>
      <c r="E816" s="78"/>
      <c r="F816" s="78"/>
      <c r="G816" s="78"/>
      <c r="H816" s="78"/>
      <c r="I816" s="78"/>
      <c r="J816" s="101"/>
    </row>
    <row r="817" spans="1:10" ht="12.75">
      <c r="A817" s="97"/>
      <c r="B817" s="78" t="s">
        <v>118</v>
      </c>
      <c r="C817" s="78"/>
      <c r="D817" s="78"/>
      <c r="E817" s="78"/>
      <c r="F817" s="78"/>
      <c r="G817" s="78"/>
      <c r="H817" s="78"/>
      <c r="I817" s="78"/>
      <c r="J817" s="101"/>
    </row>
    <row r="818" spans="1:10" ht="12.75">
      <c r="A818" s="97"/>
      <c r="B818" s="78">
        <v>5</v>
      </c>
      <c r="C818" s="78" t="str">
        <f>'Unit tariffs'!B136</f>
        <v>Primary Backbone - Peri Urban</v>
      </c>
      <c r="D818" s="78"/>
      <c r="E818" s="78"/>
      <c r="F818" s="78" t="str">
        <f>'Unit tariffs'!C$130</f>
        <v>per kVA</v>
      </c>
      <c r="G818" s="78"/>
      <c r="H818" s="80">
        <v>4545.181322000002</v>
      </c>
      <c r="I818" s="80">
        <f>VLOOKUP($C818,'Unit tariffs'!$B$21:$F$154,5,FALSE)*$B818</f>
        <v>5774.670000000001</v>
      </c>
      <c r="J818" s="101"/>
    </row>
    <row r="819" spans="1:10" ht="12.75">
      <c r="A819" s="97"/>
      <c r="B819" s="78">
        <v>5</v>
      </c>
      <c r="C819" s="78" t="str">
        <f>'Unit tariffs'!B137</f>
        <v>Secondary Backbone - MV Peri Urban</v>
      </c>
      <c r="D819" s="78"/>
      <c r="E819" s="78"/>
      <c r="F819" s="78" t="str">
        <f>'Unit tariffs'!C$131</f>
        <v>per kVA</v>
      </c>
      <c r="G819" s="78"/>
      <c r="H819" s="80">
        <v>3914.425080500002</v>
      </c>
      <c r="I819" s="80">
        <f>VLOOKUP($C819,'Unit tariffs'!$B$21:$F$154,5,FALSE)*$B819</f>
        <v>4859.525</v>
      </c>
      <c r="J819" s="101"/>
    </row>
    <row r="820" spans="1:10" ht="12.75">
      <c r="A820" s="97"/>
      <c r="B820" s="78">
        <v>5</v>
      </c>
      <c r="C820" s="78" t="str">
        <f>'Unit tariffs'!B138</f>
        <v>Secondary Backbone - LV Peri Urban</v>
      </c>
      <c r="D820" s="78"/>
      <c r="E820" s="78"/>
      <c r="F820" s="78" t="str">
        <f>'Unit tariffs'!C$132</f>
        <v>per kVA</v>
      </c>
      <c r="G820" s="78"/>
      <c r="H820" s="87">
        <v>1628.306135500001</v>
      </c>
      <c r="I820" s="87">
        <f>VLOOKUP($C820,'Unit tariffs'!$B$21:$F$154,5,FALSE)*$B820</f>
        <v>7971.920000000001</v>
      </c>
      <c r="J820" s="101"/>
    </row>
    <row r="821" spans="1:10" ht="12.75">
      <c r="A821" s="97"/>
      <c r="B821" s="78"/>
      <c r="C821" s="78"/>
      <c r="D821" s="78"/>
      <c r="E821" s="78"/>
      <c r="F821" s="78"/>
      <c r="G821" s="78"/>
      <c r="H821" s="80">
        <f>SUM(H818:H820)</f>
        <v>10087.912538000006</v>
      </c>
      <c r="I821" s="214">
        <f>SUM(I818:I820)</f>
        <v>18606.115</v>
      </c>
      <c r="J821" s="101"/>
    </row>
    <row r="822" spans="1:10" ht="12.75">
      <c r="A822" s="97"/>
      <c r="B822" s="78"/>
      <c r="C822" s="78"/>
      <c r="D822" s="78"/>
      <c r="E822" s="78"/>
      <c r="F822" s="78"/>
      <c r="G822" s="78"/>
      <c r="H822" s="80"/>
      <c r="I822" s="80"/>
      <c r="J822" s="111"/>
    </row>
    <row r="823" spans="1:10" ht="12.75">
      <c r="A823" s="97"/>
      <c r="B823" s="110" t="s">
        <v>41</v>
      </c>
      <c r="C823" s="78"/>
      <c r="D823" s="78"/>
      <c r="E823" s="78"/>
      <c r="F823" s="78"/>
      <c r="G823" s="78"/>
      <c r="H823" s="80"/>
      <c r="I823" s="80"/>
      <c r="J823" s="111"/>
    </row>
    <row r="824" spans="1:10" ht="12.75">
      <c r="A824" s="97"/>
      <c r="B824" s="78">
        <v>1</v>
      </c>
      <c r="C824" s="78" t="str">
        <f>+'Unit tariffs'!B33</f>
        <v>Prepaid meter (Normal BEC) 1phase</v>
      </c>
      <c r="D824" s="78"/>
      <c r="E824" s="78"/>
      <c r="F824" s="78"/>
      <c r="G824" s="78"/>
      <c r="H824" s="80">
        <v>779.1597039447767</v>
      </c>
      <c r="I824" s="80">
        <f>VLOOKUP($C824,'Unit tariffs'!$B$21:$F$122,5,FALSE)*$B824</f>
        <v>1120.15</v>
      </c>
      <c r="J824" s="471" t="e">
        <f>IF(+I824*'Unit tariffs'!#REF!&gt;'Unit tariffs'!#REF!,'Unit tariffs'!#REF!,+I824*'Unit tariffs'!#REF!)</f>
        <v>#REF!</v>
      </c>
    </row>
    <row r="825" spans="1:10" ht="12.75">
      <c r="A825" s="97"/>
      <c r="B825" s="78">
        <v>1</v>
      </c>
      <c r="C825" s="78" t="str">
        <f>+'Unit tariffs'!B42</f>
        <v>x 80 A circuit breaker (5kA) - Orange</v>
      </c>
      <c r="D825" s="78"/>
      <c r="E825" s="78"/>
      <c r="F825" s="78"/>
      <c r="G825" s="78"/>
      <c r="H825" s="80">
        <v>180.33804099999998</v>
      </c>
      <c r="I825" s="80">
        <f>VLOOKUP($C825,'Unit tariffs'!$B$21:$F$122,5,FALSE)*$B825</f>
        <v>187.91223872199998</v>
      </c>
      <c r="J825" s="471" t="e">
        <f>IF(+I825*'Unit tariffs'!#REF!&gt;'Unit tariffs'!#REF!,'Unit tariffs'!#REF!,+I825*'Unit tariffs'!#REF!)</f>
        <v>#REF!</v>
      </c>
    </row>
    <row r="826" spans="1:10" ht="12.75">
      <c r="A826" s="97"/>
      <c r="B826" s="78">
        <v>1</v>
      </c>
      <c r="C826" s="78" t="str">
        <f>+'Unit tariffs'!B21</f>
        <v>Installation material</v>
      </c>
      <c r="D826" s="78"/>
      <c r="E826" s="78"/>
      <c r="F826" s="78"/>
      <c r="G826" s="78"/>
      <c r="H826" s="87">
        <v>113.6449785</v>
      </c>
      <c r="I826" s="87">
        <f>VLOOKUP($C826,'Unit tariffs'!$B$21:$F$122,5,FALSE)*$B826</f>
        <v>260.5</v>
      </c>
      <c r="J826" s="471" t="e">
        <f>IF(+I826*'Unit tariffs'!#REF!&gt;'Unit tariffs'!#REF!,'Unit tariffs'!#REF!,+I826*'Unit tariffs'!#REF!)</f>
        <v>#REF!</v>
      </c>
    </row>
    <row r="827" spans="1:10" ht="12.75">
      <c r="A827" s="97"/>
      <c r="B827" s="78"/>
      <c r="C827" s="78"/>
      <c r="D827" s="78"/>
      <c r="E827" s="78"/>
      <c r="F827" s="78"/>
      <c r="G827" s="78"/>
      <c r="H827" s="80">
        <f>SUM(H824:H826)</f>
        <v>1073.1427234447767</v>
      </c>
      <c r="I827" s="80">
        <f>SUM(I824:I826)</f>
        <v>1568.562238722</v>
      </c>
      <c r="J827" s="111"/>
    </row>
    <row r="828" spans="1:10" ht="12.75">
      <c r="A828" s="97"/>
      <c r="B828" s="110" t="s">
        <v>42</v>
      </c>
      <c r="C828" s="78"/>
      <c r="D828" s="78"/>
      <c r="E828" s="78"/>
      <c r="F828" s="78"/>
      <c r="G828" s="78"/>
      <c r="H828" s="78"/>
      <c r="I828" s="78"/>
      <c r="J828" s="101"/>
    </row>
    <row r="829" spans="1:10" ht="12.75">
      <c r="A829" s="97"/>
      <c r="B829" s="78"/>
      <c r="C829" s="78"/>
      <c r="D829" s="78"/>
      <c r="E829" s="78"/>
      <c r="F829" s="78"/>
      <c r="G829" s="78"/>
      <c r="H829" s="78"/>
      <c r="I829" s="78"/>
      <c r="J829" s="101"/>
    </row>
    <row r="830" spans="1:10" ht="12.75">
      <c r="A830" s="97"/>
      <c r="B830" s="78">
        <v>1</v>
      </c>
      <c r="C830" s="78" t="str">
        <f>'Unit tariffs'!B86</f>
        <v>hour-artisan </v>
      </c>
      <c r="D830" s="78"/>
      <c r="E830" s="78"/>
      <c r="F830" s="78"/>
      <c r="G830" s="78"/>
      <c r="H830" s="80">
        <v>180.05873256334615</v>
      </c>
      <c r="I830" s="80">
        <f>VLOOKUP($C830,'Unit tariffs'!$B$21:$F$122,5,FALSE)*$B830</f>
        <v>322.85223173076923</v>
      </c>
      <c r="J830" s="111"/>
    </row>
    <row r="831" spans="1:10" ht="12.75">
      <c r="A831" s="97"/>
      <c r="B831" s="78">
        <v>2</v>
      </c>
      <c r="C831" s="78" t="str">
        <f>'Unit tariffs'!B$84</f>
        <v>hour-artisan assistant</v>
      </c>
      <c r="D831" s="78"/>
      <c r="E831" s="78"/>
      <c r="F831" s="78"/>
      <c r="G831" s="78"/>
      <c r="H831" s="87">
        <v>159.20611184686155</v>
      </c>
      <c r="I831" s="87">
        <f>VLOOKUP($C831,'Unit tariffs'!$B$21:$F$122,5,FALSE)*$B831</f>
        <v>257.0716153846154</v>
      </c>
      <c r="J831" s="111"/>
    </row>
    <row r="832" spans="1:10" ht="12.75">
      <c r="A832" s="97"/>
      <c r="B832" s="78"/>
      <c r="C832" s="78"/>
      <c r="D832" s="78"/>
      <c r="E832" s="78"/>
      <c r="F832" s="78"/>
      <c r="G832" s="78"/>
      <c r="H832" s="80">
        <f>SUM(H830:H831)</f>
        <v>339.26484441020773</v>
      </c>
      <c r="I832" s="80">
        <f>SUM(I830:I831)</f>
        <v>579.9238471153847</v>
      </c>
      <c r="J832" s="111"/>
    </row>
    <row r="833" spans="1:10" ht="12.75">
      <c r="A833" s="97"/>
      <c r="B833" s="110" t="s">
        <v>43</v>
      </c>
      <c r="C833" s="78"/>
      <c r="D833" s="78"/>
      <c r="E833" s="78"/>
      <c r="F833" s="78"/>
      <c r="G833" s="78"/>
      <c r="H833" s="78"/>
      <c r="I833" s="78"/>
      <c r="J833" s="101"/>
    </row>
    <row r="834" spans="1:10" ht="12.75">
      <c r="A834" s="97"/>
      <c r="B834" s="78"/>
      <c r="C834" s="78"/>
      <c r="D834" s="78"/>
      <c r="E834" s="78"/>
      <c r="F834" s="78"/>
      <c r="G834" s="78"/>
      <c r="H834" s="78"/>
      <c r="I834" s="78"/>
      <c r="J834" s="101"/>
    </row>
    <row r="835" spans="1:10" ht="12.75">
      <c r="A835" s="97"/>
      <c r="B835" s="78">
        <v>30</v>
      </c>
      <c r="C835" s="78" t="str">
        <f>'Unit tariffs'!B$110</f>
        <v>km-truck with platform</v>
      </c>
      <c r="D835" s="78"/>
      <c r="E835" s="78"/>
      <c r="F835" s="78"/>
      <c r="G835" s="78"/>
      <c r="H835" s="80">
        <v>973.9707276000003</v>
      </c>
      <c r="I835" s="214">
        <f>VLOOKUP($C835,'Unit tariffs'!$B$21:$F$122,5,FALSE)*$B835</f>
        <v>1212.682441720518</v>
      </c>
      <c r="J835" s="111"/>
    </row>
    <row r="836" spans="1:10" ht="12.75">
      <c r="A836" s="97"/>
      <c r="B836" s="78">
        <v>1</v>
      </c>
      <c r="C836" s="78" t="str">
        <f>'Unit tariffs'!B$111</f>
        <v>hour-truck with platform</v>
      </c>
      <c r="D836" s="78"/>
      <c r="E836" s="78"/>
      <c r="F836" s="78"/>
      <c r="G836" s="78"/>
      <c r="H836" s="87">
        <v>167.61251000000001</v>
      </c>
      <c r="I836" s="87">
        <f>VLOOKUP($C836,'Unit tariffs'!$B$21:$F$122,5,FALSE)*$B836</f>
        <v>196.72208955055</v>
      </c>
      <c r="J836" s="111"/>
    </row>
    <row r="837" spans="1:10" ht="13.5" thickBot="1">
      <c r="A837" s="97"/>
      <c r="B837" s="78"/>
      <c r="C837" s="78"/>
      <c r="D837" s="78"/>
      <c r="E837" s="78"/>
      <c r="F837" s="78"/>
      <c r="G837" s="78"/>
      <c r="H837" s="113">
        <f>SUM(H835:H836)</f>
        <v>1141.5832376000003</v>
      </c>
      <c r="I837" s="113">
        <f>SUM(I835:I836)</f>
        <v>1409.404531271068</v>
      </c>
      <c r="J837" s="111"/>
    </row>
    <row r="838" spans="1:10" ht="13.5" thickTop="1">
      <c r="A838" s="97"/>
      <c r="B838" s="78"/>
      <c r="C838" s="78"/>
      <c r="D838" s="78"/>
      <c r="E838" s="78"/>
      <c r="F838" s="78"/>
      <c r="G838" s="78"/>
      <c r="H838" s="80">
        <f>H837+H832+H827+H821</f>
        <v>12641.903343454991</v>
      </c>
      <c r="I838" s="80">
        <f>+I837+I832+I827+I821</f>
        <v>22164.005617108454</v>
      </c>
      <c r="J838" s="111"/>
    </row>
    <row r="839" spans="1:10" ht="13.5" thickBot="1">
      <c r="A839" s="97"/>
      <c r="B839" s="110" t="str">
        <f>'Unit tariffs'!$B$7</f>
        <v>Administration Levy (Indirect Cost)</v>
      </c>
      <c r="C839" s="78"/>
      <c r="D839" s="112">
        <f>'Unit tariffs'!$C$7</f>
        <v>0.1</v>
      </c>
      <c r="E839" s="78" t="s">
        <v>312</v>
      </c>
      <c r="F839" s="196">
        <f>+'Unit tariffs'!$F$7</f>
        <v>10000</v>
      </c>
      <c r="G839" s="78"/>
      <c r="H839" s="114">
        <f>H838*0.2636</f>
        <v>3332.4057213347355</v>
      </c>
      <c r="I839" s="114">
        <f>IF(I838*$D839&gt;='Unit tariffs'!$E$7,'Unit tariffs'!$E$7,I838*$D839)</f>
        <v>2216.4005617108455</v>
      </c>
      <c r="J839" s="111"/>
    </row>
    <row r="840" spans="1:10" ht="13.5" thickTop="1">
      <c r="A840" s="97"/>
      <c r="B840" s="110" t="s">
        <v>44</v>
      </c>
      <c r="C840" s="78"/>
      <c r="D840" s="78"/>
      <c r="E840" s="78"/>
      <c r="F840" s="78"/>
      <c r="G840" s="78"/>
      <c r="H840" s="115">
        <f>SUM(H838:H839)</f>
        <v>15974.309064789726</v>
      </c>
      <c r="I840" s="115">
        <f>SUM(I838:I839)</f>
        <v>24380.4061788193</v>
      </c>
      <c r="J840" s="111"/>
    </row>
    <row r="841" spans="1:10" ht="12.75">
      <c r="A841" s="97"/>
      <c r="B841" s="78"/>
      <c r="C841" s="78"/>
      <c r="D841" s="78"/>
      <c r="E841" s="78"/>
      <c r="F841" s="78"/>
      <c r="G841" s="78"/>
      <c r="H841" s="78"/>
      <c r="I841" s="78"/>
      <c r="J841" s="101"/>
    </row>
    <row r="842" spans="1:10" ht="12.75">
      <c r="A842" s="97"/>
      <c r="B842" s="110" t="s">
        <v>45</v>
      </c>
      <c r="C842" s="78"/>
      <c r="D842" s="78"/>
      <c r="E842" s="78"/>
      <c r="F842" s="78"/>
      <c r="G842" s="78"/>
      <c r="H842" s="90">
        <f>ROUND(H840,-1)</f>
        <v>15970</v>
      </c>
      <c r="I842" s="90">
        <f>ROUND(I840,-1)</f>
        <v>24380</v>
      </c>
      <c r="J842" s="116"/>
    </row>
    <row r="843" spans="1:10" ht="12.75">
      <c r="A843" s="97"/>
      <c r="B843" s="78"/>
      <c r="C843" s="78"/>
      <c r="D843" s="78"/>
      <c r="E843" s="78"/>
      <c r="F843" s="78"/>
      <c r="G843" s="78"/>
      <c r="H843" s="80"/>
      <c r="I843" s="80"/>
      <c r="J843" s="111"/>
    </row>
    <row r="844" spans="1:10" ht="15" customHeight="1">
      <c r="A844" s="97"/>
      <c r="B844" s="78"/>
      <c r="C844" s="78"/>
      <c r="D844" s="78"/>
      <c r="E844" s="78"/>
      <c r="F844" s="78"/>
      <c r="G844" s="78"/>
      <c r="H844" s="118">
        <v>0.089857045609258</v>
      </c>
      <c r="I844" s="118">
        <f>(I842-H842)/H842</f>
        <v>0.5266123982467126</v>
      </c>
      <c r="J844" s="119"/>
    </row>
    <row r="845" spans="1:10" ht="15" customHeight="1">
      <c r="A845" s="97"/>
      <c r="B845" s="78"/>
      <c r="C845" s="78"/>
      <c r="D845" s="78"/>
      <c r="E845" s="78"/>
      <c r="F845" s="78"/>
      <c r="G845" s="78"/>
      <c r="H845" s="118"/>
      <c r="I845" s="118"/>
      <c r="J845" s="119"/>
    </row>
    <row r="846" spans="1:10" ht="12.75">
      <c r="A846" s="97"/>
      <c r="B846" s="78"/>
      <c r="C846" s="78"/>
      <c r="D846" s="78"/>
      <c r="E846" s="78"/>
      <c r="F846" s="78"/>
      <c r="G846" s="78"/>
      <c r="H846" s="118"/>
      <c r="I846" s="118"/>
      <c r="J846" s="119"/>
    </row>
    <row r="847" spans="1:10" ht="39" customHeight="1">
      <c r="A847" s="97"/>
      <c r="B847" s="829" t="s">
        <v>576</v>
      </c>
      <c r="C847" s="830"/>
      <c r="D847" s="830"/>
      <c r="E847" s="830"/>
      <c r="F847" s="830"/>
      <c r="G847" s="831"/>
      <c r="H847" s="78"/>
      <c r="I847" s="78"/>
      <c r="J847" s="101"/>
    </row>
    <row r="848" spans="1:10" ht="28.5" customHeight="1">
      <c r="A848" s="472"/>
      <c r="B848" s="78"/>
      <c r="C848" s="78"/>
      <c r="D848" s="78"/>
      <c r="E848" s="78"/>
      <c r="F848" s="78"/>
      <c r="G848" s="78"/>
      <c r="H848" s="109" t="str">
        <f>+H$11</f>
        <v>2020/2021</v>
      </c>
      <c r="I848" s="109" t="str">
        <f>+'Unit tariffs'!$F$11</f>
        <v>2021/2022</v>
      </c>
      <c r="J848" s="464"/>
    </row>
    <row r="849" spans="1:10" ht="12.75">
      <c r="A849" s="472"/>
      <c r="B849" s="78"/>
      <c r="C849" s="78"/>
      <c r="D849" s="78"/>
      <c r="E849" s="78"/>
      <c r="F849" s="78"/>
      <c r="G849" s="78"/>
      <c r="H849" s="109"/>
      <c r="I849" s="109"/>
      <c r="J849" s="464"/>
    </row>
    <row r="850" spans="1:10" ht="51" customHeight="1">
      <c r="A850" s="97"/>
      <c r="B850" s="110"/>
      <c r="C850" s="78"/>
      <c r="D850" s="78"/>
      <c r="E850" s="78"/>
      <c r="F850" s="78"/>
      <c r="G850" s="78"/>
      <c r="H850" s="140" t="s">
        <v>488</v>
      </c>
      <c r="I850" s="140" t="s">
        <v>488</v>
      </c>
      <c r="J850" s="101"/>
    </row>
    <row r="851" spans="1:10" ht="12.75">
      <c r="A851" s="97"/>
      <c r="B851" s="78"/>
      <c r="C851" s="78"/>
      <c r="D851" s="78"/>
      <c r="E851" s="78"/>
      <c r="F851" s="78"/>
      <c r="G851" s="78"/>
      <c r="H851" s="118"/>
      <c r="I851" s="118"/>
      <c r="J851" s="119"/>
    </row>
    <row r="852" spans="1:10" ht="12.75">
      <c r="A852" s="97"/>
      <c r="B852" s="78" t="s">
        <v>1</v>
      </c>
      <c r="C852" s="78"/>
      <c r="D852" s="78"/>
      <c r="E852" s="78"/>
      <c r="F852" s="78"/>
      <c r="G852" s="78"/>
      <c r="H852" s="78"/>
      <c r="I852" s="78"/>
      <c r="J852" s="101"/>
    </row>
    <row r="853" spans="1:10" ht="22.5" customHeight="1">
      <c r="A853" s="97"/>
      <c r="B853" s="820" t="s">
        <v>577</v>
      </c>
      <c r="C853" s="821"/>
      <c r="D853" s="821"/>
      <c r="E853" s="821"/>
      <c r="F853" s="821"/>
      <c r="G853" s="822"/>
      <c r="H853" s="78"/>
      <c r="I853" s="78"/>
      <c r="J853" s="101"/>
    </row>
    <row r="854" spans="1:10" ht="12.75" customHeight="1">
      <c r="A854" s="97"/>
      <c r="B854" s="78"/>
      <c r="C854" s="78"/>
      <c r="D854" s="78"/>
      <c r="E854" s="78"/>
      <c r="F854" s="78"/>
      <c r="G854" s="78"/>
      <c r="H854" s="78"/>
      <c r="I854" s="78"/>
      <c r="J854" s="101"/>
    </row>
    <row r="855" spans="1:10" ht="12.75">
      <c r="A855" s="97"/>
      <c r="B855" s="78"/>
      <c r="C855" s="78"/>
      <c r="D855" s="78"/>
      <c r="E855" s="78"/>
      <c r="F855" s="78"/>
      <c r="G855" s="78"/>
      <c r="H855" s="78"/>
      <c r="I855" s="78"/>
      <c r="J855" s="101"/>
    </row>
    <row r="856" spans="1:10" ht="12.75">
      <c r="A856" s="97"/>
      <c r="B856" s="78"/>
      <c r="C856" s="78"/>
      <c r="D856" s="78"/>
      <c r="E856" s="78"/>
      <c r="F856" s="78"/>
      <c r="G856" s="78"/>
      <c r="H856" s="109" t="str">
        <f>+H$11</f>
        <v>2020/2021</v>
      </c>
      <c r="I856" s="109" t="str">
        <f>+'Unit tariffs'!$F$11</f>
        <v>2021/2022</v>
      </c>
      <c r="J856" s="464"/>
    </row>
    <row r="857" spans="1:10" ht="12.75">
      <c r="A857" s="97"/>
      <c r="B857" s="110" t="s">
        <v>58</v>
      </c>
      <c r="C857" s="78"/>
      <c r="D857" s="78"/>
      <c r="E857" s="78"/>
      <c r="F857" s="78"/>
      <c r="G857" s="78"/>
      <c r="H857" s="78"/>
      <c r="I857" s="78"/>
      <c r="J857" s="101"/>
    </row>
    <row r="858" spans="1:10" ht="57.75" customHeight="1">
      <c r="A858" s="97"/>
      <c r="B858" s="855" t="s">
        <v>579</v>
      </c>
      <c r="C858" s="855"/>
      <c r="D858" s="78"/>
      <c r="E858" s="78"/>
      <c r="F858" s="78"/>
      <c r="G858" s="78"/>
      <c r="H858" s="88"/>
      <c r="I858" s="80"/>
      <c r="J858" s="111"/>
    </row>
    <row r="859" spans="1:10" ht="12.75">
      <c r="A859" s="97"/>
      <c r="B859" s="78"/>
      <c r="C859" s="78"/>
      <c r="D859" s="78"/>
      <c r="E859" s="78"/>
      <c r="F859" s="78"/>
      <c r="G859" s="78"/>
      <c r="H859" s="88"/>
      <c r="I859" s="80"/>
      <c r="J859" s="111"/>
    </row>
    <row r="860" spans="1:10" ht="12.75">
      <c r="A860" s="97"/>
      <c r="B860" s="78"/>
      <c r="C860" s="78"/>
      <c r="D860" s="78"/>
      <c r="E860" s="78"/>
      <c r="F860" s="78"/>
      <c r="G860" s="78"/>
      <c r="H860" s="88"/>
      <c r="I860" s="80"/>
      <c r="J860" s="111"/>
    </row>
    <row r="861" spans="1:10" ht="12.75">
      <c r="A861" s="97"/>
      <c r="B861" s="110" t="s">
        <v>578</v>
      </c>
      <c r="C861" s="78"/>
      <c r="D861" s="78"/>
      <c r="E861" s="141" t="s">
        <v>468</v>
      </c>
      <c r="F861" s="141" t="s">
        <v>469</v>
      </c>
      <c r="G861" s="78"/>
      <c r="H861" s="88"/>
      <c r="I861" s="80"/>
      <c r="J861" s="111"/>
    </row>
    <row r="862" spans="1:10" ht="12.75">
      <c r="A862" s="97"/>
      <c r="B862" s="78" t="s">
        <v>127</v>
      </c>
      <c r="C862" s="78"/>
      <c r="D862" s="78"/>
      <c r="E862" s="662">
        <f>0.15*12*30</f>
        <v>53.99999999999999</v>
      </c>
      <c r="F862" s="663">
        <f>+'Unit tariffs'!F164</f>
        <v>2.0536539478</v>
      </c>
      <c r="G862" s="78"/>
      <c r="H862" s="80">
        <v>103.42004399999999</v>
      </c>
      <c r="I862" s="80">
        <f>+F862*E862</f>
        <v>110.89731318119999</v>
      </c>
      <c r="J862" s="111"/>
    </row>
    <row r="863" spans="1:10" ht="12.75">
      <c r="A863" s="97"/>
      <c r="B863" s="110"/>
      <c r="C863" s="78"/>
      <c r="D863" s="78"/>
      <c r="E863" s="78"/>
      <c r="F863" s="78"/>
      <c r="G863" s="78"/>
      <c r="H863" s="80"/>
      <c r="I863" s="80"/>
      <c r="J863" s="111"/>
    </row>
    <row r="864" spans="1:10" ht="12.75">
      <c r="A864" s="97"/>
      <c r="B864" s="110" t="s">
        <v>45</v>
      </c>
      <c r="C864" s="78"/>
      <c r="D864" s="78"/>
      <c r="E864" s="78"/>
      <c r="F864" s="78"/>
      <c r="G864" s="78"/>
      <c r="H864" s="90">
        <v>103</v>
      </c>
      <c r="I864" s="90">
        <f>ROUND(I862,0)</f>
        <v>111</v>
      </c>
      <c r="J864" s="116"/>
    </row>
    <row r="865" spans="1:10" ht="12.75">
      <c r="A865" s="97"/>
      <c r="B865" s="110"/>
      <c r="C865" s="78"/>
      <c r="D865" s="78"/>
      <c r="E865" s="78"/>
      <c r="F865" s="78"/>
      <c r="G865" s="78"/>
      <c r="H865" s="90"/>
      <c r="I865" s="90"/>
      <c r="J865" s="116"/>
    </row>
    <row r="866" spans="1:10" ht="12.75">
      <c r="A866" s="97"/>
      <c r="B866" s="110"/>
      <c r="C866" s="78"/>
      <c r="D866" s="78"/>
      <c r="E866" s="78"/>
      <c r="F866" s="78"/>
      <c r="G866" s="78"/>
      <c r="H866" s="118">
        <v>0.04040404040404041</v>
      </c>
      <c r="I866" s="118">
        <f>(I864-H864)/H864</f>
        <v>0.07766990291262135</v>
      </c>
      <c r="J866" s="119"/>
    </row>
    <row r="867" spans="1:10" ht="13.5" thickBot="1">
      <c r="A867" s="462"/>
      <c r="B867" s="130"/>
      <c r="C867" s="130"/>
      <c r="D867" s="130"/>
      <c r="E867" s="130"/>
      <c r="F867" s="130"/>
      <c r="G867" s="130"/>
      <c r="H867" s="130"/>
      <c r="I867" s="78"/>
      <c r="J867" s="101"/>
    </row>
    <row r="868" spans="1:10" ht="13.5" thickTop="1">
      <c r="A868" s="97"/>
      <c r="B868" s="78"/>
      <c r="C868" s="78"/>
      <c r="D868" s="78"/>
      <c r="E868" s="78"/>
      <c r="F868" s="78"/>
      <c r="G868" s="78"/>
      <c r="H868" s="78"/>
      <c r="I868" s="127"/>
      <c r="J868" s="460"/>
    </row>
    <row r="869" spans="1:10" ht="13.5" thickBot="1">
      <c r="A869" s="462"/>
      <c r="B869" s="130"/>
      <c r="C869" s="130"/>
      <c r="D869" s="130"/>
      <c r="E869" s="130"/>
      <c r="F869" s="130"/>
      <c r="G869" s="130"/>
      <c r="H869" s="130"/>
      <c r="I869" s="130"/>
      <c r="J869" s="463"/>
    </row>
    <row r="870" spans="1:12" ht="13.5" thickTop="1">
      <c r="A870" s="97"/>
      <c r="B870" s="78"/>
      <c r="C870" s="78"/>
      <c r="D870" s="78"/>
      <c r="E870" s="78"/>
      <c r="F870" s="78"/>
      <c r="G870" s="78"/>
      <c r="H870" s="78"/>
      <c r="I870" s="78"/>
      <c r="J870" s="101"/>
      <c r="L870" s="156"/>
    </row>
    <row r="871" spans="1:10" ht="12.75">
      <c r="A871" s="97"/>
      <c r="B871" s="78" t="s">
        <v>1</v>
      </c>
      <c r="C871" s="78"/>
      <c r="D871" s="78"/>
      <c r="E871" s="78"/>
      <c r="F871" s="78"/>
      <c r="G871" s="78"/>
      <c r="H871" s="78"/>
      <c r="I871" s="78"/>
      <c r="J871" s="101"/>
    </row>
    <row r="872" spans="1:10" ht="20.25" customHeight="1">
      <c r="A872" s="97"/>
      <c r="B872" s="820" t="s">
        <v>580</v>
      </c>
      <c r="C872" s="821"/>
      <c r="D872" s="821"/>
      <c r="E872" s="821"/>
      <c r="F872" s="821"/>
      <c r="G872" s="822"/>
      <c r="H872" s="78"/>
      <c r="I872" s="78"/>
      <c r="J872" s="101"/>
    </row>
    <row r="873" spans="1:10" ht="21.75" customHeight="1">
      <c r="A873" s="97"/>
      <c r="B873" s="78"/>
      <c r="C873" s="78"/>
      <c r="D873" s="78"/>
      <c r="E873" s="78"/>
      <c r="F873" s="78"/>
      <c r="G873" s="78"/>
      <c r="H873" s="78"/>
      <c r="I873" s="78"/>
      <c r="J873" s="101"/>
    </row>
    <row r="874" spans="1:10" ht="60" customHeight="1">
      <c r="A874" s="97"/>
      <c r="B874" s="823" t="s">
        <v>581</v>
      </c>
      <c r="C874" s="824"/>
      <c r="D874" s="824"/>
      <c r="E874" s="824"/>
      <c r="F874" s="824"/>
      <c r="G874" s="825"/>
      <c r="H874" s="78"/>
      <c r="I874" s="78"/>
      <c r="J874" s="101"/>
    </row>
    <row r="875" spans="1:10" ht="12.75" customHeight="1">
      <c r="A875" s="97"/>
      <c r="B875" s="78"/>
      <c r="C875" s="78"/>
      <c r="D875" s="78"/>
      <c r="E875" s="78"/>
      <c r="F875" s="78"/>
      <c r="G875" s="78"/>
      <c r="H875" s="78"/>
      <c r="I875" s="78"/>
      <c r="J875" s="101"/>
    </row>
    <row r="876" spans="1:12" ht="12.75">
      <c r="A876" s="97"/>
      <c r="B876" s="78"/>
      <c r="C876" s="78"/>
      <c r="D876" s="78"/>
      <c r="E876" s="78"/>
      <c r="F876" s="78"/>
      <c r="G876" s="78"/>
      <c r="H876" s="109" t="str">
        <f>+H$11</f>
        <v>2020/2021</v>
      </c>
      <c r="I876" s="109" t="str">
        <f>+'Unit tariffs'!$F$11</f>
        <v>2021/2022</v>
      </c>
      <c r="J876" s="458" t="s">
        <v>315</v>
      </c>
      <c r="L876" s="156"/>
    </row>
    <row r="877" spans="1:10" ht="12.75">
      <c r="A877" s="97"/>
      <c r="B877" s="110" t="s">
        <v>318</v>
      </c>
      <c r="C877" s="78"/>
      <c r="D877" s="78"/>
      <c r="E877" s="78"/>
      <c r="F877" s="78"/>
      <c r="G877" s="78"/>
      <c r="H877" s="145"/>
      <c r="I877" s="78"/>
      <c r="J877" s="101"/>
    </row>
    <row r="878" spans="1:10" ht="12.75">
      <c r="A878" s="97"/>
      <c r="B878" s="78"/>
      <c r="C878" s="78"/>
      <c r="D878" s="78"/>
      <c r="E878" s="78"/>
      <c r="F878" s="78"/>
      <c r="G878" s="78"/>
      <c r="H878" s="145"/>
      <c r="I878" s="78"/>
      <c r="J878" s="101"/>
    </row>
    <row r="879" spans="1:10" ht="12.75">
      <c r="A879" s="97"/>
      <c r="B879" s="78">
        <v>0.5</v>
      </c>
      <c r="C879" s="78" t="s">
        <v>9</v>
      </c>
      <c r="D879" s="78"/>
      <c r="E879" s="78"/>
      <c r="F879" s="78"/>
      <c r="G879" s="78"/>
      <c r="H879" s="80">
        <v>0</v>
      </c>
      <c r="I879" s="80">
        <f>VLOOKUP($C879,'Unit tariffs'!$B$21:$F$122,5,FALSE)*$B879</f>
        <v>1941.9451179169998</v>
      </c>
      <c r="J879" s="471" t="e">
        <f>IF(+I879*'Unit tariffs'!#REF!&gt;'Unit tariffs'!#REF!,'Unit tariffs'!#REF!,+I879*'Unit tariffs'!#REF!)</f>
        <v>#REF!</v>
      </c>
    </row>
    <row r="880" spans="1:10" ht="12.75">
      <c r="A880" s="97"/>
      <c r="B880" s="78">
        <v>1</v>
      </c>
      <c r="C880" s="78" t="s">
        <v>229</v>
      </c>
      <c r="D880" s="78"/>
      <c r="E880" s="78"/>
      <c r="F880" s="78"/>
      <c r="G880" s="78"/>
      <c r="H880" s="80">
        <v>0</v>
      </c>
      <c r="I880" s="80">
        <f>VLOOKUP($C880,'Unit tariffs'!$B$21:$F$122,5,FALSE)*$B880</f>
        <v>7028.362490897999</v>
      </c>
      <c r="J880" s="471" t="e">
        <f>IF(+I880*'Unit tariffs'!#REF!&gt;'Unit tariffs'!#REF!,'Unit tariffs'!#REF!,+I880*'Unit tariffs'!#REF!)</f>
        <v>#REF!</v>
      </c>
    </row>
    <row r="881" spans="1:10" ht="12.75">
      <c r="A881" s="97"/>
      <c r="B881" s="78">
        <v>0.5</v>
      </c>
      <c r="C881" s="78" t="s">
        <v>99</v>
      </c>
      <c r="D881" s="78"/>
      <c r="E881" s="78"/>
      <c r="F881" s="78"/>
      <c r="G881" s="78"/>
      <c r="H881" s="80">
        <v>0</v>
      </c>
      <c r="I881" s="80">
        <f>VLOOKUP($C881,'Unit tariffs'!$B$21:$F$122,5,FALSE)*$B881</f>
        <v>93.95611936099999</v>
      </c>
      <c r="J881" s="471" t="e">
        <f>IF(+I881*'Unit tariffs'!#REF!&gt;'Unit tariffs'!#REF!,'Unit tariffs'!#REF!,+I881*'Unit tariffs'!#REF!)</f>
        <v>#REF!</v>
      </c>
    </row>
    <row r="882" spans="1:11" ht="12.75">
      <c r="A882" s="97"/>
      <c r="B882" s="78">
        <v>16</v>
      </c>
      <c r="C882" s="78" t="str">
        <f>'Unit tariffs'!B55</f>
        <v>m 16 mm x 4 Cu cable</v>
      </c>
      <c r="D882" s="78"/>
      <c r="E882" s="78"/>
      <c r="F882" s="78"/>
      <c r="G882" s="78"/>
      <c r="H882" s="80">
        <v>4072.2831981504996</v>
      </c>
      <c r="I882" s="80">
        <f>VLOOKUP($C882,'Unit tariffs'!$B$21:$F$122,5,FALSE)*$B882</f>
        <v>1357.8621095913027</v>
      </c>
      <c r="J882" s="471" t="e">
        <f>IF(+I882*'Unit tariffs'!#REF!&gt;'Unit tariffs'!#REF!,'Unit tariffs'!#REF!,+I882*'Unit tariffs'!#REF!)</f>
        <v>#REF!</v>
      </c>
      <c r="K882" s="667"/>
    </row>
    <row r="883" spans="1:11" ht="12.75">
      <c r="A883" s="97"/>
      <c r="B883" s="78">
        <v>8</v>
      </c>
      <c r="C883" s="78" t="str">
        <f>'Unit tariffs'!B51</f>
        <v>Bandit buckle - 19mm (per pkt of 100)</v>
      </c>
      <c r="D883" s="78"/>
      <c r="E883" s="78"/>
      <c r="F883" s="78"/>
      <c r="G883" s="78"/>
      <c r="H883" s="80">
        <v>25.610135999999997</v>
      </c>
      <c r="I883" s="80">
        <f>VLOOKUP($C883,'Unit tariffs'!$B$21:$F$122,5,FALSE)*$B883</f>
        <v>26.685761711999998</v>
      </c>
      <c r="J883" s="471" t="e">
        <f>IF(+I883*'Unit tariffs'!#REF!&gt;'Unit tariffs'!#REF!,'Unit tariffs'!#REF!,+I883*'Unit tariffs'!#REF!)</f>
        <v>#REF!</v>
      </c>
      <c r="K883" s="667"/>
    </row>
    <row r="884" spans="1:11" ht="12.75">
      <c r="A884" s="97"/>
      <c r="B884" s="78">
        <v>3</v>
      </c>
      <c r="C884" s="78" t="str">
        <f>'Unit tariffs'!B52</f>
        <v>Bandit strap per metre  - 19mm (price per rol of 30m)</v>
      </c>
      <c r="D884" s="78"/>
      <c r="E884" s="78"/>
      <c r="F884" s="78"/>
      <c r="G884" s="78"/>
      <c r="H884" s="80">
        <v>77.288217992403</v>
      </c>
      <c r="I884" s="80">
        <f>VLOOKUP($C884,'Unit tariffs'!$B$21:$F$122,5,FALSE)*$B884</f>
        <v>875.2487400000001</v>
      </c>
      <c r="J884" s="471" t="e">
        <f>IF(+I884*'Unit tariffs'!#REF!&gt;'Unit tariffs'!#REF!,'Unit tariffs'!#REF!,+I884*'Unit tariffs'!#REF!)</f>
        <v>#REF!</v>
      </c>
      <c r="K884" s="667"/>
    </row>
    <row r="885" spans="1:11" ht="12.75">
      <c r="A885" s="97"/>
      <c r="B885" s="78">
        <v>1</v>
      </c>
      <c r="C885" s="78" t="str">
        <f>'Unit tariffs'!B21</f>
        <v>Installation material</v>
      </c>
      <c r="D885" s="78"/>
      <c r="E885" s="78"/>
      <c r="F885" s="78"/>
      <c r="G885" s="78"/>
      <c r="H885" s="80">
        <v>113.6449785</v>
      </c>
      <c r="I885" s="80">
        <f>VLOOKUP($C885,'Unit tariffs'!$B$21:$F$122,5,FALSE)*$B885</f>
        <v>260.5</v>
      </c>
      <c r="J885" s="471" t="e">
        <f>IF(+I885*'Unit tariffs'!#REF!&gt;'Unit tariffs'!#REF!,'Unit tariffs'!#REF!,+I885*'Unit tariffs'!#REF!)</f>
        <v>#REF!</v>
      </c>
      <c r="K885" s="667"/>
    </row>
    <row r="886" spans="1:11" ht="12.75">
      <c r="A886" s="97"/>
      <c r="B886" s="78">
        <v>2</v>
      </c>
      <c r="C886" s="78" t="str">
        <f>'Unit tariffs'!B50</f>
        <v>Gland (Pratley No2)</v>
      </c>
      <c r="D886" s="78"/>
      <c r="E886" s="78"/>
      <c r="F886" s="78"/>
      <c r="G886" s="78"/>
      <c r="H886" s="87">
        <v>96.3254837766</v>
      </c>
      <c r="I886" s="87">
        <f>VLOOKUP($C886,'Unit tariffs'!$B$21:$F$122,5,FALSE)*$B886</f>
        <v>362.616</v>
      </c>
      <c r="J886" s="471" t="e">
        <f>IF(+I886*'Unit tariffs'!#REF!&gt;'Unit tariffs'!#REF!,'Unit tariffs'!#REF!,+I886*'Unit tariffs'!#REF!)</f>
        <v>#REF!</v>
      </c>
      <c r="K886" s="667"/>
    </row>
    <row r="887" spans="1:11" ht="12.75">
      <c r="A887" s="97"/>
      <c r="B887" s="78"/>
      <c r="C887" s="78"/>
      <c r="D887" s="78"/>
      <c r="E887" s="78"/>
      <c r="F887" s="78"/>
      <c r="G887" s="80"/>
      <c r="H887" s="80">
        <v>4385.152014419503</v>
      </c>
      <c r="I887" s="80">
        <f>SUM(I879:I886)</f>
        <v>11947.176339479303</v>
      </c>
      <c r="J887" s="111"/>
      <c r="K887" s="667"/>
    </row>
    <row r="888" spans="1:10" ht="12.75">
      <c r="A888" s="97"/>
      <c r="B888" s="110" t="s">
        <v>59</v>
      </c>
      <c r="C888" s="78"/>
      <c r="D888" s="78"/>
      <c r="E888" s="78"/>
      <c r="F888" s="78"/>
      <c r="G888" s="78"/>
      <c r="H888" s="78"/>
      <c r="I888" s="78"/>
      <c r="J888" s="101"/>
    </row>
    <row r="889" spans="1:10" ht="12.75">
      <c r="A889" s="97"/>
      <c r="B889" s="78">
        <v>1</v>
      </c>
      <c r="C889" s="78" t="str">
        <f>'Unit tariffs'!B$86</f>
        <v>hour-artisan </v>
      </c>
      <c r="D889" s="78"/>
      <c r="E889" s="78"/>
      <c r="F889" s="78"/>
      <c r="G889" s="78"/>
      <c r="H889" s="80">
        <v>180.05873256334615</v>
      </c>
      <c r="I889" s="80">
        <f>VLOOKUP($C889,'Unit tariffs'!$B$21:$F$122,5,FALSE)*$B889</f>
        <v>322.85223173076923</v>
      </c>
      <c r="J889" s="111"/>
    </row>
    <row r="890" spans="1:10" ht="12.75">
      <c r="A890" s="97"/>
      <c r="B890" s="78">
        <v>2</v>
      </c>
      <c r="C890" s="78" t="str">
        <f>'Unit tariffs'!B$84</f>
        <v>hour-artisan assistant</v>
      </c>
      <c r="D890" s="78"/>
      <c r="E890" s="78"/>
      <c r="F890" s="78"/>
      <c r="G890" s="78"/>
      <c r="H890" s="87">
        <v>159.20611184686155</v>
      </c>
      <c r="I890" s="87">
        <f>VLOOKUP($C890,'Unit tariffs'!$B$21:$F$122,5,FALSE)*$B890</f>
        <v>257.0716153846154</v>
      </c>
      <c r="J890" s="111"/>
    </row>
    <row r="891" spans="1:11" ht="12.75">
      <c r="A891" s="97"/>
      <c r="B891" s="121"/>
      <c r="C891" s="121"/>
      <c r="D891" s="121"/>
      <c r="E891" s="121"/>
      <c r="F891" s="121"/>
      <c r="G891" s="121"/>
      <c r="H891" s="80">
        <v>339.26484441020773</v>
      </c>
      <c r="I891" s="80">
        <f>SUM(I889:I890)</f>
        <v>579.9238471153847</v>
      </c>
      <c r="J891" s="111"/>
      <c r="K891" s="667"/>
    </row>
    <row r="892" spans="1:10" ht="12.75">
      <c r="A892" s="97"/>
      <c r="B892" s="110" t="s">
        <v>60</v>
      </c>
      <c r="C892" s="78"/>
      <c r="D892" s="78"/>
      <c r="E892" s="78"/>
      <c r="F892" s="78"/>
      <c r="G892" s="78"/>
      <c r="H892" s="78"/>
      <c r="I892" s="78"/>
      <c r="J892" s="101"/>
    </row>
    <row r="893" spans="1:10" ht="12.75">
      <c r="A893" s="97"/>
      <c r="B893" s="78">
        <v>2</v>
      </c>
      <c r="C893" s="78" t="str">
        <f>'Unit tariffs'!B$86</f>
        <v>hour-artisan </v>
      </c>
      <c r="D893" s="78"/>
      <c r="E893" s="78"/>
      <c r="F893" s="78"/>
      <c r="G893" s="78"/>
      <c r="H893" s="80">
        <v>360.1174651266923</v>
      </c>
      <c r="I893" s="80">
        <f>VLOOKUP($C893,'Unit tariffs'!$B$21:$F$122,5,FALSE)*$B893</f>
        <v>645.7044634615385</v>
      </c>
      <c r="J893" s="111"/>
    </row>
    <row r="894" spans="1:10" ht="12.75">
      <c r="A894" s="97"/>
      <c r="B894" s="78">
        <v>4</v>
      </c>
      <c r="C894" s="78" t="str">
        <f>'Unit tariffs'!B$84</f>
        <v>hour-artisan assistant</v>
      </c>
      <c r="D894" s="78"/>
      <c r="E894" s="78"/>
      <c r="F894" s="78"/>
      <c r="G894" s="78"/>
      <c r="H894" s="87">
        <v>318.4122236937231</v>
      </c>
      <c r="I894" s="87">
        <f>VLOOKUP($C894,'Unit tariffs'!$B$21:$F$122,5,FALSE)*$B894</f>
        <v>514.1432307692309</v>
      </c>
      <c r="J894" s="111"/>
    </row>
    <row r="895" spans="1:11" ht="12.75">
      <c r="A895" s="97"/>
      <c r="B895" s="78"/>
      <c r="C895" s="78"/>
      <c r="D895" s="78"/>
      <c r="E895" s="78"/>
      <c r="F895" s="78"/>
      <c r="G895" s="78"/>
      <c r="H895" s="80">
        <v>678.5296888204155</v>
      </c>
      <c r="I895" s="80">
        <f>SUM(I893:I894)</f>
        <v>1159.8476942307693</v>
      </c>
      <c r="J895" s="111"/>
      <c r="K895" s="667"/>
    </row>
    <row r="896" spans="1:10" ht="12.75">
      <c r="A896" s="97"/>
      <c r="B896" s="78"/>
      <c r="C896" s="78"/>
      <c r="D896" s="78"/>
      <c r="E896" s="78"/>
      <c r="F896" s="78"/>
      <c r="G896" s="78"/>
      <c r="H896" s="80"/>
      <c r="I896" s="80"/>
      <c r="J896" s="111"/>
    </row>
    <row r="897" spans="1:10" ht="12.75">
      <c r="A897" s="97"/>
      <c r="B897" s="110" t="s">
        <v>43</v>
      </c>
      <c r="C897" s="78"/>
      <c r="D897" s="78"/>
      <c r="E897" s="78"/>
      <c r="F897" s="78"/>
      <c r="G897" s="78"/>
      <c r="H897" s="78"/>
      <c r="I897" s="78"/>
      <c r="J897" s="101"/>
    </row>
    <row r="898" spans="1:10" ht="12.75">
      <c r="A898" s="97"/>
      <c r="B898" s="78">
        <v>24</v>
      </c>
      <c r="C898" s="78" t="str">
        <f>'Unit tariffs'!B$110</f>
        <v>km-truck with platform</v>
      </c>
      <c r="D898" s="78"/>
      <c r="E898" s="78"/>
      <c r="F898" s="78"/>
      <c r="G898" s="78"/>
      <c r="H898" s="80">
        <v>779.1765820800001</v>
      </c>
      <c r="I898" s="80">
        <f>VLOOKUP($C898,'Unit tariffs'!$B$21:$F$122,5,FALSE)*$B898</f>
        <v>970.1459533764145</v>
      </c>
      <c r="J898" s="111"/>
    </row>
    <row r="899" spans="1:10" ht="12.75">
      <c r="A899" s="97"/>
      <c r="B899" s="78">
        <f>+B893</f>
        <v>2</v>
      </c>
      <c r="C899" s="78" t="str">
        <f>'Unit tariffs'!B$111</f>
        <v>hour-truck with platform</v>
      </c>
      <c r="D899" s="78"/>
      <c r="E899" s="78"/>
      <c r="F899" s="78"/>
      <c r="G899" s="78"/>
      <c r="H899" s="80">
        <v>335.22502000000003</v>
      </c>
      <c r="I899" s="80">
        <f>VLOOKUP($C899,'Unit tariffs'!$B$21:$F$122,5,FALSE)*$B899</f>
        <v>393.4441791011</v>
      </c>
      <c r="J899" s="111"/>
    </row>
    <row r="900" spans="1:11" ht="12.75">
      <c r="A900" s="97"/>
      <c r="B900" s="78"/>
      <c r="C900" s="78"/>
      <c r="D900" s="78"/>
      <c r="E900" s="78"/>
      <c r="F900" s="78"/>
      <c r="G900" s="78"/>
      <c r="H900" s="146">
        <v>1114.4016020800002</v>
      </c>
      <c r="I900" s="146">
        <f>SUM(I898:I899)</f>
        <v>1363.5901324775145</v>
      </c>
      <c r="J900" s="111"/>
      <c r="K900" s="667"/>
    </row>
    <row r="901" spans="1:10" ht="12.75">
      <c r="A901" s="97"/>
      <c r="B901" s="110" t="s">
        <v>61</v>
      </c>
      <c r="C901" s="78"/>
      <c r="D901" s="78"/>
      <c r="E901" s="78"/>
      <c r="F901" s="78"/>
      <c r="G901" s="78"/>
      <c r="H901" s="80"/>
      <c r="I901" s="80"/>
      <c r="J901" s="111"/>
    </row>
    <row r="902" spans="1:10" ht="12.75">
      <c r="A902" s="97"/>
      <c r="B902" s="110"/>
      <c r="C902" s="78"/>
      <c r="D902" s="78"/>
      <c r="E902" s="78"/>
      <c r="F902" s="78"/>
      <c r="G902" s="78"/>
      <c r="H902" s="80"/>
      <c r="I902" s="80"/>
      <c r="J902" s="111"/>
    </row>
    <row r="903" spans="1:10" ht="12.75">
      <c r="A903" s="97"/>
      <c r="B903" s="91">
        <v>12</v>
      </c>
      <c r="C903" s="91" t="str">
        <f>'Unit tariffs'!B97</f>
        <v>m trench 0.6 m deep, Dig &amp; Backfill (Internal)</v>
      </c>
      <c r="D903" s="91"/>
      <c r="E903" s="91"/>
      <c r="F903" s="91"/>
      <c r="G903" s="91"/>
      <c r="H903" s="198">
        <f>+'Unit tariffs'!E97*B903</f>
        <v>3688.826769230769</v>
      </c>
      <c r="I903" s="198">
        <f>VLOOKUP($C903,'Unit tariffs'!$B$21:$F$122,5,FALSE)*$B903</f>
        <v>3947.0446430769234</v>
      </c>
      <c r="J903" s="111"/>
    </row>
    <row r="904" spans="1:10" ht="12.75">
      <c r="A904" s="97"/>
      <c r="B904" s="91">
        <v>3</v>
      </c>
      <c r="C904" s="91" t="str">
        <f>'Unit tariffs'!B98</f>
        <v>m Additional rock per sqm (Internal)</v>
      </c>
      <c r="D904" s="91"/>
      <c r="E904" s="91"/>
      <c r="F904" s="91"/>
      <c r="G904" s="91"/>
      <c r="H904" s="745">
        <f>+'Unit tariffs'!E98*B904</f>
        <v>5404.547076923078</v>
      </c>
      <c r="I904" s="745">
        <f>VLOOKUP($C904,'Unit tariffs'!$B$21:$F$122,5,FALSE)*$B904</f>
        <v>5782.865372307693</v>
      </c>
      <c r="J904" s="111"/>
    </row>
    <row r="905" spans="1:12" ht="13.5" thickBot="1">
      <c r="A905" s="97"/>
      <c r="B905" s="78"/>
      <c r="C905" s="91"/>
      <c r="D905" s="78"/>
      <c r="E905" s="78"/>
      <c r="F905" s="78"/>
      <c r="G905" s="78"/>
      <c r="H905" s="356">
        <f>SUM(H903:H904)</f>
        <v>9093.373846153847</v>
      </c>
      <c r="I905" s="356">
        <f>SUM(I903:I904)</f>
        <v>9729.910015384616</v>
      </c>
      <c r="J905" s="111"/>
      <c r="K905" s="785"/>
      <c r="L905" s="668"/>
    </row>
    <row r="906" spans="1:10" ht="13.5" thickTop="1">
      <c r="A906" s="97"/>
      <c r="B906" s="78"/>
      <c r="C906" s="78"/>
      <c r="D906" s="78"/>
      <c r="E906" s="78"/>
      <c r="F906" s="78"/>
      <c r="G906" s="80"/>
      <c r="H906" s="80">
        <f>H905+H900+H895+H891+H887</f>
        <v>15610.721995883974</v>
      </c>
      <c r="I906" s="80">
        <f>I900+I895+I891+I887+I905</f>
        <v>24780.448028687588</v>
      </c>
      <c r="J906" s="111"/>
    </row>
    <row r="907" spans="1:10" ht="13.5" thickBot="1">
      <c r="A907" s="97"/>
      <c r="B907" s="110" t="str">
        <f>'Unit tariffs'!$B$7</f>
        <v>Administration Levy (Indirect Cost)</v>
      </c>
      <c r="C907" s="78"/>
      <c r="D907" s="112">
        <f>'Unit tariffs'!$C$7</f>
        <v>0.1</v>
      </c>
      <c r="E907" s="78" t="s">
        <v>312</v>
      </c>
      <c r="F907" s="196">
        <f>+'Unit tariffs'!$F$7</f>
        <v>10000</v>
      </c>
      <c r="G907" s="80"/>
      <c r="H907" s="114">
        <f>H906*0.2636</f>
        <v>4114.986318115016</v>
      </c>
      <c r="I907" s="114">
        <f>IF(I906*$D907&gt;='Unit tariffs'!$E$7,'Unit tariffs'!$E$7,I906*$D907)</f>
        <v>2478.044802868759</v>
      </c>
      <c r="J907" s="111"/>
    </row>
    <row r="908" spans="1:11" ht="14.25" thickBot="1" thickTop="1">
      <c r="A908" s="97"/>
      <c r="B908" s="110" t="s">
        <v>44</v>
      </c>
      <c r="C908" s="78"/>
      <c r="D908" s="78"/>
      <c r="E908" s="78"/>
      <c r="F908" s="78"/>
      <c r="G908" s="80"/>
      <c r="H908" s="670">
        <f>SUM(H906:H907)</f>
        <v>19725.70831399899</v>
      </c>
      <c r="I908" s="670">
        <f>SUM(I906:I907)</f>
        <v>27258.492831556345</v>
      </c>
      <c r="J908" s="111"/>
      <c r="K908" s="667"/>
    </row>
    <row r="909" spans="1:10" ht="13.5" thickTop="1">
      <c r="A909" s="97"/>
      <c r="B909" s="78"/>
      <c r="C909" s="78"/>
      <c r="D909" s="78"/>
      <c r="E909" s="78"/>
      <c r="F909" s="78"/>
      <c r="G909" s="78"/>
      <c r="H909" s="78"/>
      <c r="I909" s="78"/>
      <c r="J909" s="101"/>
    </row>
    <row r="910" spans="1:10" ht="12.75">
      <c r="A910" s="97"/>
      <c r="B910" s="110" t="s">
        <v>45</v>
      </c>
      <c r="C910" s="78"/>
      <c r="D910" s="78"/>
      <c r="E910" s="78"/>
      <c r="F910" s="78"/>
      <c r="G910" s="78"/>
      <c r="H910" s="90">
        <f>ROUND(H908,-1)</f>
        <v>19730</v>
      </c>
      <c r="I910" s="90">
        <f>ROUND(I908,-1)</f>
        <v>27260</v>
      </c>
      <c r="J910" s="116"/>
    </row>
    <row r="911" spans="1:10" ht="12.75">
      <c r="A911" s="97"/>
      <c r="B911" s="78"/>
      <c r="C911" s="78"/>
      <c r="D911" s="78"/>
      <c r="E911" s="78"/>
      <c r="F911" s="78"/>
      <c r="G911" s="78"/>
      <c r="H911" s="118">
        <v>0.05918057663125948</v>
      </c>
      <c r="I911" s="118">
        <f>(I910-H910)/H910</f>
        <v>0.3816523061327927</v>
      </c>
      <c r="J911" s="119"/>
    </row>
    <row r="912" spans="1:10" ht="12.75">
      <c r="A912" s="97"/>
      <c r="B912" s="78"/>
      <c r="C912" s="78"/>
      <c r="D912" s="78"/>
      <c r="E912" s="78"/>
      <c r="F912" s="78"/>
      <c r="G912" s="78"/>
      <c r="H912" s="118"/>
      <c r="I912" s="118"/>
      <c r="J912" s="119"/>
    </row>
    <row r="913" spans="1:10" ht="40.5" customHeight="1">
      <c r="A913" s="97"/>
      <c r="B913" s="823" t="s">
        <v>584</v>
      </c>
      <c r="C913" s="824"/>
      <c r="D913" s="824"/>
      <c r="E913" s="824"/>
      <c r="F913" s="824"/>
      <c r="G913" s="825"/>
      <c r="H913" s="109"/>
      <c r="I913" s="109"/>
      <c r="J913" s="119"/>
    </row>
    <row r="914" spans="1:10" ht="12.75">
      <c r="A914" s="97"/>
      <c r="B914" s="78"/>
      <c r="C914" s="78"/>
      <c r="D914" s="78"/>
      <c r="E914" s="78"/>
      <c r="F914" s="78"/>
      <c r="G914" s="78"/>
      <c r="H914" s="145"/>
      <c r="I914" s="78"/>
      <c r="J914" s="119"/>
    </row>
    <row r="915" spans="1:10" ht="28.5" customHeight="1">
      <c r="A915" s="97"/>
      <c r="B915" s="852" t="s">
        <v>582</v>
      </c>
      <c r="C915" s="853"/>
      <c r="D915" s="853"/>
      <c r="E915" s="853"/>
      <c r="F915" s="853"/>
      <c r="G915" s="854"/>
      <c r="H915" s="90"/>
      <c r="I915" s="90"/>
      <c r="J915" s="119"/>
    </row>
    <row r="916" spans="1:12" ht="12.75">
      <c r="A916" s="97"/>
      <c r="B916" s="78"/>
      <c r="C916" s="78"/>
      <c r="D916" s="78"/>
      <c r="E916" s="78"/>
      <c r="F916" s="78"/>
      <c r="G916" s="78"/>
      <c r="H916" s="109" t="str">
        <f>+H$11</f>
        <v>2020/2021</v>
      </c>
      <c r="I916" s="109" t="str">
        <f>+'Unit tariffs'!$F$11</f>
        <v>2021/2022</v>
      </c>
      <c r="J916" s="458" t="s">
        <v>315</v>
      </c>
      <c r="L916" s="156"/>
    </row>
    <row r="917" spans="1:10" ht="12.75">
      <c r="A917" s="97"/>
      <c r="B917" s="110" t="s">
        <v>318</v>
      </c>
      <c r="C917" s="78"/>
      <c r="D917" s="78"/>
      <c r="E917" s="78"/>
      <c r="F917" s="78"/>
      <c r="G917" s="78"/>
      <c r="H917" s="145"/>
      <c r="I917" s="80"/>
      <c r="J917" s="101"/>
    </row>
    <row r="918" spans="1:10" ht="12.75">
      <c r="A918" s="97"/>
      <c r="B918" s="78"/>
      <c r="C918" s="78"/>
      <c r="D918" s="78"/>
      <c r="E918" s="78"/>
      <c r="F918" s="78"/>
      <c r="G918" s="78"/>
      <c r="H918" s="135" t="s">
        <v>342</v>
      </c>
      <c r="I918" s="78"/>
      <c r="J918" s="101"/>
    </row>
    <row r="919" spans="1:10" ht="12.75">
      <c r="A919" s="97"/>
      <c r="B919" s="78">
        <v>1</v>
      </c>
      <c r="C919" s="78" t="s">
        <v>96</v>
      </c>
      <c r="D919" s="78"/>
      <c r="E919" s="78"/>
      <c r="F919" s="78"/>
      <c r="G919" s="78"/>
      <c r="H919" s="80">
        <v>0</v>
      </c>
      <c r="I919" s="80">
        <f>VLOOKUP($C919,'Unit tariffs'!$B$21:$F$122,5,FALSE)*$B919</f>
        <v>1981.7589600000001</v>
      </c>
      <c r="J919" s="471" t="e">
        <f>IF(+I919*'Unit tariffs'!#REF!&gt;'Unit tariffs'!#REF!,'Unit tariffs'!#REF!,+I919*'Unit tariffs'!#REF!)</f>
        <v>#REF!</v>
      </c>
    </row>
    <row r="920" spans="1:10" ht="12.75">
      <c r="A920" s="97"/>
      <c r="B920" s="78">
        <v>1</v>
      </c>
      <c r="C920" s="78" t="s">
        <v>228</v>
      </c>
      <c r="D920" s="78"/>
      <c r="E920" s="78"/>
      <c r="F920" s="78"/>
      <c r="G920" s="78"/>
      <c r="H920" s="80">
        <v>0</v>
      </c>
      <c r="I920" s="80">
        <f>VLOOKUP($C920,'Unit tariffs'!$B$21:$F$122,5,FALSE)*$B920</f>
        <v>2171.5538593139995</v>
      </c>
      <c r="J920" s="471" t="e">
        <f>IF(+I920*'Unit tariffs'!#REF!&gt;'Unit tariffs'!#REF!,'Unit tariffs'!#REF!,+I920*'Unit tariffs'!#REF!)</f>
        <v>#REF!</v>
      </c>
    </row>
    <row r="921" spans="1:10" ht="12.75">
      <c r="A921" s="97"/>
      <c r="B921" s="78">
        <v>1</v>
      </c>
      <c r="C921" s="78" t="s">
        <v>99</v>
      </c>
      <c r="D921" s="78"/>
      <c r="E921" s="78"/>
      <c r="F921" s="78"/>
      <c r="G921" s="78"/>
      <c r="H921" s="80">
        <v>0</v>
      </c>
      <c r="I921" s="80">
        <f>VLOOKUP($C921,'Unit tariffs'!$B$21:$F$122,5,FALSE)*$B921</f>
        <v>187.91223872199998</v>
      </c>
      <c r="J921" s="471" t="e">
        <f>IF(+I921*'Unit tariffs'!#REF!&gt;'Unit tariffs'!#REF!,'Unit tariffs'!#REF!,+I921*'Unit tariffs'!#REF!)</f>
        <v>#REF!</v>
      </c>
    </row>
    <row r="922" spans="1:11" ht="12.75">
      <c r="A922" s="97"/>
      <c r="B922" s="78">
        <v>37</v>
      </c>
      <c r="C922" s="78" t="s">
        <v>15</v>
      </c>
      <c r="D922" s="78"/>
      <c r="E922" s="78"/>
      <c r="F922" s="78"/>
      <c r="G922" s="78"/>
      <c r="H922" s="80">
        <v>972</v>
      </c>
      <c r="I922" s="80">
        <f>VLOOKUP($C922,'Unit tariffs'!$B$21:$F$122,5,FALSE)*$B922</f>
        <v>1598.0633000000003</v>
      </c>
      <c r="J922" s="471" t="e">
        <f>IF(+I922*'Unit tariffs'!#REF!&gt;'Unit tariffs'!#REF!,'Unit tariffs'!#REF!,+I922*'Unit tariffs'!#REF!)</f>
        <v>#REF!</v>
      </c>
      <c r="K922" s="667"/>
    </row>
    <row r="923" spans="1:11" ht="12.75">
      <c r="A923" s="97"/>
      <c r="B923" s="78">
        <v>2</v>
      </c>
      <c r="C923" s="78" t="s">
        <v>16</v>
      </c>
      <c r="D923" s="78"/>
      <c r="E923" s="78"/>
      <c r="F923" s="78"/>
      <c r="G923" s="78"/>
      <c r="H923" s="80">
        <v>36.56866958994219</v>
      </c>
      <c r="I923" s="80">
        <f>VLOOKUP($C923,'Unit tariffs'!$B$21:$F$122,5,FALSE)*$B923</f>
        <v>38.10455371271976</v>
      </c>
      <c r="J923" s="471" t="e">
        <f>IF(+I923*'Unit tariffs'!#REF!&gt;'Unit tariffs'!#REF!,'Unit tariffs'!#REF!,+I923*'Unit tariffs'!#REF!)</f>
        <v>#REF!</v>
      </c>
      <c r="K923" s="667"/>
    </row>
    <row r="924" spans="1:11" ht="12.75">
      <c r="A924" s="97"/>
      <c r="B924" s="78">
        <v>1</v>
      </c>
      <c r="C924" s="78" t="s">
        <v>22</v>
      </c>
      <c r="D924" s="78"/>
      <c r="E924" s="78"/>
      <c r="F924" s="78"/>
      <c r="G924" s="78"/>
      <c r="H924" s="80">
        <v>5.99704018</v>
      </c>
      <c r="I924" s="80">
        <f>VLOOKUP($C924,'Unit tariffs'!$B$21:$F$122,5,FALSE)*$B924</f>
        <v>14.9527</v>
      </c>
      <c r="J924" s="471" t="e">
        <f>IF(+I924*'Unit tariffs'!#REF!&gt;'Unit tariffs'!#REF!,'Unit tariffs'!#REF!,+I924*'Unit tariffs'!#REF!)</f>
        <v>#REF!</v>
      </c>
      <c r="K924" s="667"/>
    </row>
    <row r="925" spans="1:11" ht="12.75">
      <c r="A925" s="97"/>
      <c r="B925" s="78">
        <v>2</v>
      </c>
      <c r="C925" s="211" t="s">
        <v>341</v>
      </c>
      <c r="D925" s="78"/>
      <c r="E925" s="78"/>
      <c r="F925" s="78"/>
      <c r="G925" s="78"/>
      <c r="H925" s="80">
        <v>2561.0135999999998</v>
      </c>
      <c r="I925" s="80">
        <f>VLOOKUP(C924,'Unit tariffs'!B21:H72,7,FALSE)*B924</f>
        <v>14.9527</v>
      </c>
      <c r="J925" s="471" t="e">
        <f>IF(+I925*'Unit tariffs'!#REF!&gt;'Unit tariffs'!#REF!,'Unit tariffs'!#REF!,+I925*'Unit tariffs'!#REF!)</f>
        <v>#REF!</v>
      </c>
      <c r="K925" s="667"/>
    </row>
    <row r="926" spans="1:11" ht="12.75">
      <c r="A926" s="97"/>
      <c r="B926" s="78">
        <v>2</v>
      </c>
      <c r="C926" s="78" t="s">
        <v>340</v>
      </c>
      <c r="D926" s="78"/>
      <c r="E926" s="78"/>
      <c r="F926" s="78"/>
      <c r="G926" s="78"/>
      <c r="H926" s="87">
        <v>1451.2410399999997</v>
      </c>
      <c r="I926" s="87">
        <f>VLOOKUP($C926,'Unit tariffs'!$B$21:$F$122,5,FALSE)*$B926</f>
        <v>1512.1931636799998</v>
      </c>
      <c r="J926" s="471" t="e">
        <f>IF(+I926*'Unit tariffs'!#REF!&gt;'Unit tariffs'!#REF!,'Unit tariffs'!#REF!,+I926*'Unit tariffs'!#REF!)</f>
        <v>#REF!</v>
      </c>
      <c r="K926" s="667"/>
    </row>
    <row r="927" spans="1:11" ht="12.75">
      <c r="A927" s="97"/>
      <c r="B927" s="78"/>
      <c r="C927" s="78"/>
      <c r="D927" s="78"/>
      <c r="E927" s="78"/>
      <c r="F927" s="78"/>
      <c r="G927" s="80"/>
      <c r="H927" s="80">
        <v>5026.8203497699415</v>
      </c>
      <c r="I927" s="80">
        <f>SUM(I919:I926)</f>
        <v>7519.491475428719</v>
      </c>
      <c r="J927" s="111"/>
      <c r="K927" s="667"/>
    </row>
    <row r="928" spans="1:10" ht="12.75">
      <c r="A928" s="97"/>
      <c r="B928" s="110" t="s">
        <v>59</v>
      </c>
      <c r="C928" s="78"/>
      <c r="D928" s="78"/>
      <c r="E928" s="78"/>
      <c r="F928" s="78"/>
      <c r="G928" s="78"/>
      <c r="H928" s="78"/>
      <c r="I928" s="78"/>
      <c r="J928" s="101"/>
    </row>
    <row r="929" spans="1:10" ht="12.75">
      <c r="A929" s="97"/>
      <c r="B929" s="78">
        <v>1</v>
      </c>
      <c r="C929" s="78" t="str">
        <f>'Unit tariffs'!B$86</f>
        <v>hour-artisan </v>
      </c>
      <c r="D929" s="78"/>
      <c r="E929" s="78"/>
      <c r="F929" s="78"/>
      <c r="G929" s="78"/>
      <c r="H929" s="80">
        <v>180.05873256334615</v>
      </c>
      <c r="I929" s="80">
        <f>VLOOKUP($C929,'Unit tariffs'!$B$21:$F$122,5,FALSE)*$B929</f>
        <v>322.85223173076923</v>
      </c>
      <c r="J929" s="111"/>
    </row>
    <row r="930" spans="1:10" ht="12.75">
      <c r="A930" s="97"/>
      <c r="B930" s="78">
        <v>2</v>
      </c>
      <c r="C930" s="78" t="str">
        <f>'Unit tariffs'!B$84</f>
        <v>hour-artisan assistant</v>
      </c>
      <c r="D930" s="78"/>
      <c r="E930" s="78"/>
      <c r="F930" s="78"/>
      <c r="G930" s="78"/>
      <c r="H930" s="87">
        <v>159.20611184686155</v>
      </c>
      <c r="I930" s="87">
        <f>VLOOKUP($C930,'Unit tariffs'!$B$21:$F$122,5,FALSE)*$B930</f>
        <v>257.0716153846154</v>
      </c>
      <c r="J930" s="111"/>
    </row>
    <row r="931" spans="1:11" ht="12.75">
      <c r="A931" s="97"/>
      <c r="B931" s="121"/>
      <c r="C931" s="121"/>
      <c r="D931" s="121"/>
      <c r="E931" s="121"/>
      <c r="F931" s="121"/>
      <c r="G931" s="121"/>
      <c r="H931" s="80">
        <v>339.26484441020773</v>
      </c>
      <c r="I931" s="80">
        <f>SUM(I929:I930)</f>
        <v>579.9238471153847</v>
      </c>
      <c r="J931" s="111"/>
      <c r="K931" s="667"/>
    </row>
    <row r="932" spans="1:10" ht="12.75">
      <c r="A932" s="97"/>
      <c r="B932" s="110" t="s">
        <v>60</v>
      </c>
      <c r="C932" s="78"/>
      <c r="D932" s="78"/>
      <c r="E932" s="78"/>
      <c r="F932" s="78"/>
      <c r="G932" s="78"/>
      <c r="H932" s="78"/>
      <c r="I932" s="78"/>
      <c r="J932" s="101"/>
    </row>
    <row r="933" spans="1:10" ht="12.75">
      <c r="A933" s="97"/>
      <c r="B933" s="78">
        <v>2</v>
      </c>
      <c r="C933" s="78" t="str">
        <f>'Unit tariffs'!B$86</f>
        <v>hour-artisan </v>
      </c>
      <c r="D933" s="78"/>
      <c r="E933" s="78"/>
      <c r="F933" s="78"/>
      <c r="G933" s="78"/>
      <c r="H933" s="80">
        <v>360.1174651266923</v>
      </c>
      <c r="I933" s="80">
        <f>VLOOKUP($C933,'Unit tariffs'!$B$21:$F$122,5,FALSE)*$B933</f>
        <v>645.7044634615385</v>
      </c>
      <c r="J933" s="111"/>
    </row>
    <row r="934" spans="1:10" ht="12.75">
      <c r="A934" s="97"/>
      <c r="B934" s="78">
        <v>4</v>
      </c>
      <c r="C934" s="78" t="str">
        <f>'Unit tariffs'!B$84</f>
        <v>hour-artisan assistant</v>
      </c>
      <c r="D934" s="78"/>
      <c r="E934" s="78"/>
      <c r="F934" s="78"/>
      <c r="G934" s="78"/>
      <c r="H934" s="87">
        <v>318.4122236937231</v>
      </c>
      <c r="I934" s="87">
        <f>VLOOKUP($C934,'Unit tariffs'!$B$21:$F$122,5,FALSE)*$B934</f>
        <v>514.1432307692309</v>
      </c>
      <c r="J934" s="111"/>
    </row>
    <row r="935" spans="1:11" ht="12.75">
      <c r="A935" s="97"/>
      <c r="B935" s="78"/>
      <c r="C935" s="78"/>
      <c r="D935" s="78"/>
      <c r="E935" s="78"/>
      <c r="F935" s="78"/>
      <c r="G935" s="78"/>
      <c r="H935" s="80">
        <v>678.5296888204155</v>
      </c>
      <c r="I935" s="80">
        <f>SUM(I933:I934)</f>
        <v>1159.8476942307693</v>
      </c>
      <c r="J935" s="111"/>
      <c r="K935" s="667"/>
    </row>
    <row r="936" spans="1:10" ht="12.75">
      <c r="A936" s="97"/>
      <c r="B936" s="78"/>
      <c r="C936" s="78"/>
      <c r="D936" s="78"/>
      <c r="E936" s="78"/>
      <c r="F936" s="78"/>
      <c r="G936" s="78"/>
      <c r="H936" s="80"/>
      <c r="I936" s="80"/>
      <c r="J936" s="111"/>
    </row>
    <row r="937" spans="1:10" ht="12.75">
      <c r="A937" s="97"/>
      <c r="B937" s="110" t="s">
        <v>43</v>
      </c>
      <c r="C937" s="78"/>
      <c r="D937" s="78"/>
      <c r="E937" s="78"/>
      <c r="F937" s="78"/>
      <c r="G937" s="78"/>
      <c r="H937" s="78"/>
      <c r="I937" s="78"/>
      <c r="J937" s="101"/>
    </row>
    <row r="938" spans="1:10" ht="12.75">
      <c r="A938" s="97"/>
      <c r="B938" s="78">
        <v>24</v>
      </c>
      <c r="C938" s="78" t="str">
        <f>'Unit tariffs'!B$110</f>
        <v>km-truck with platform</v>
      </c>
      <c r="D938" s="78"/>
      <c r="E938" s="78"/>
      <c r="F938" s="78"/>
      <c r="G938" s="78"/>
      <c r="H938" s="80">
        <v>779.1765820800001</v>
      </c>
      <c r="I938" s="80">
        <f>VLOOKUP($C938,'Unit tariffs'!$B$21:$F$122,5,FALSE)*$B938</f>
        <v>970.1459533764145</v>
      </c>
      <c r="J938" s="111"/>
    </row>
    <row r="939" spans="1:10" ht="12.75">
      <c r="A939" s="97"/>
      <c r="B939" s="78">
        <f>+B933</f>
        <v>2</v>
      </c>
      <c r="C939" s="78" t="str">
        <f>'Unit tariffs'!B$111</f>
        <v>hour-truck with platform</v>
      </c>
      <c r="D939" s="78"/>
      <c r="E939" s="78"/>
      <c r="F939" s="78"/>
      <c r="G939" s="78"/>
      <c r="H939" s="80">
        <v>335.22502000000003</v>
      </c>
      <c r="I939" s="80">
        <f>VLOOKUP($C939,'Unit tariffs'!$B$21:$F$122,5,FALSE)*$B939</f>
        <v>393.4441791011</v>
      </c>
      <c r="J939" s="111"/>
    </row>
    <row r="940" spans="1:11" ht="12.75">
      <c r="A940" s="97"/>
      <c r="B940" s="78"/>
      <c r="C940" s="78"/>
      <c r="D940" s="78"/>
      <c r="E940" s="78"/>
      <c r="F940" s="78"/>
      <c r="G940" s="78"/>
      <c r="H940" s="146">
        <v>1114.4016020800002</v>
      </c>
      <c r="I940" s="146">
        <f>SUM(I938:I939)</f>
        <v>1363.5901324775145</v>
      </c>
      <c r="J940" s="111"/>
      <c r="K940" s="667"/>
    </row>
    <row r="941" spans="1:10" ht="13.5" thickBot="1">
      <c r="A941" s="97"/>
      <c r="B941" s="78"/>
      <c r="C941" s="78"/>
      <c r="D941" s="78"/>
      <c r="E941" s="78"/>
      <c r="F941" s="78"/>
      <c r="G941" s="78"/>
      <c r="H941" s="208"/>
      <c r="I941" s="114"/>
      <c r="J941" s="111"/>
    </row>
    <row r="942" spans="1:10" ht="13.5" thickTop="1">
      <c r="A942" s="97"/>
      <c r="B942" s="78"/>
      <c r="C942" s="78"/>
      <c r="D942" s="78"/>
      <c r="E942" s="78"/>
      <c r="F942" s="78"/>
      <c r="G942" s="80"/>
      <c r="H942" s="80">
        <v>7159.016485080565</v>
      </c>
      <c r="I942" s="80">
        <f>I940+I935+I931+I927+I941</f>
        <v>10622.853149252387</v>
      </c>
      <c r="J942" s="111"/>
    </row>
    <row r="943" spans="1:10" ht="13.5" thickBot="1">
      <c r="A943" s="97"/>
      <c r="B943" s="110" t="str">
        <f>'Unit tariffs'!$B$7</f>
        <v>Administration Levy (Indirect Cost)</v>
      </c>
      <c r="C943" s="78"/>
      <c r="D943" s="112">
        <f>'Unit tariffs'!$C$7</f>
        <v>0.1</v>
      </c>
      <c r="E943" s="78" t="s">
        <v>312</v>
      </c>
      <c r="F943" s="196">
        <f>+'Unit tariffs'!$F$7</f>
        <v>10000</v>
      </c>
      <c r="G943" s="80"/>
      <c r="H943" s="114">
        <v>1908.5937949224785</v>
      </c>
      <c r="I943" s="114">
        <f>IF(I942*$D943&gt;='Unit tariffs'!$E$7,'Unit tariffs'!$E$7,I942*$D943)</f>
        <v>1062.2853149252387</v>
      </c>
      <c r="J943" s="111"/>
    </row>
    <row r="944" spans="1:11" ht="14.25" thickBot="1" thickTop="1">
      <c r="A944" s="97"/>
      <c r="B944" s="110" t="s">
        <v>44</v>
      </c>
      <c r="C944" s="78"/>
      <c r="D944" s="78"/>
      <c r="E944" s="78"/>
      <c r="F944" s="78"/>
      <c r="G944" s="80"/>
      <c r="H944" s="670">
        <v>9067.610280003044</v>
      </c>
      <c r="I944" s="670">
        <f>SUM(I942:I943)</f>
        <v>11685.138464177626</v>
      </c>
      <c r="J944" s="111"/>
      <c r="K944" s="667"/>
    </row>
    <row r="945" spans="1:10" ht="13.5" thickTop="1">
      <c r="A945" s="97"/>
      <c r="B945" s="78"/>
      <c r="C945" s="78"/>
      <c r="D945" s="78"/>
      <c r="E945" s="78"/>
      <c r="F945" s="78"/>
      <c r="G945" s="78"/>
      <c r="H945" s="78"/>
      <c r="I945" s="78"/>
      <c r="J945" s="101"/>
    </row>
    <row r="946" spans="1:10" ht="12.75">
      <c r="A946" s="97"/>
      <c r="B946" s="78"/>
      <c r="C946" s="78"/>
      <c r="D946" s="78"/>
      <c r="E946" s="78"/>
      <c r="F946" s="78"/>
      <c r="G946" s="78"/>
      <c r="H946" s="90">
        <v>9070</v>
      </c>
      <c r="I946" s="90">
        <f>ROUND(I944,-1)</f>
        <v>11690</v>
      </c>
      <c r="J946" s="101"/>
    </row>
    <row r="947" spans="1:10" ht="12.75">
      <c r="A947" s="97"/>
      <c r="B947" s="78"/>
      <c r="C947" s="78"/>
      <c r="D947" s="78"/>
      <c r="E947" s="78"/>
      <c r="F947" s="78"/>
      <c r="G947" s="78"/>
      <c r="H947" s="118">
        <v>0.03775743707093822</v>
      </c>
      <c r="I947" s="118">
        <f>+(I946-H946)/H946</f>
        <v>0.288864388092613</v>
      </c>
      <c r="J947" s="119"/>
    </row>
    <row r="948" spans="1:10" ht="12.75">
      <c r="A948" s="97"/>
      <c r="B948" s="78"/>
      <c r="C948" s="78"/>
      <c r="D948" s="78"/>
      <c r="E948" s="78"/>
      <c r="F948" s="78"/>
      <c r="G948" s="78"/>
      <c r="H948" s="118"/>
      <c r="I948" s="118"/>
      <c r="J948" s="119"/>
    </row>
    <row r="949" spans="1:10" ht="30" customHeight="1">
      <c r="A949" s="97"/>
      <c r="B949" s="852" t="s">
        <v>583</v>
      </c>
      <c r="C949" s="853"/>
      <c r="D949" s="853"/>
      <c r="E949" s="853"/>
      <c r="F949" s="853"/>
      <c r="G949" s="854"/>
      <c r="H949" s="355"/>
      <c r="I949" s="90"/>
      <c r="J949" s="101"/>
    </row>
    <row r="950" spans="1:10" ht="18" customHeight="1">
      <c r="A950" s="97"/>
      <c r="B950" s="78"/>
      <c r="C950" s="78"/>
      <c r="D950" s="78"/>
      <c r="E950" s="78"/>
      <c r="F950" s="78"/>
      <c r="G950" s="78"/>
      <c r="H950" s="109" t="str">
        <f>+H$11</f>
        <v>2020/2021</v>
      </c>
      <c r="I950" s="109" t="str">
        <f>+'Unit tariffs'!$F$11</f>
        <v>2021/2022</v>
      </c>
      <c r="J950" s="101"/>
    </row>
    <row r="951" spans="1:10" ht="27.75" customHeight="1">
      <c r="A951" s="97"/>
      <c r="B951" s="110" t="s">
        <v>318</v>
      </c>
      <c r="C951" s="78"/>
      <c r="D951" s="78"/>
      <c r="E951" s="78"/>
      <c r="F951" s="78"/>
      <c r="G951" s="78"/>
      <c r="H951" s="145"/>
      <c r="I951" s="198"/>
      <c r="J951" s="101"/>
    </row>
    <row r="952" spans="1:10" ht="12.75">
      <c r="A952" s="97"/>
      <c r="B952" s="78"/>
      <c r="C952" s="78"/>
      <c r="D952" s="78"/>
      <c r="E952" s="78"/>
      <c r="F952" s="78"/>
      <c r="G952" s="78"/>
      <c r="H952" s="145"/>
      <c r="I952" s="78"/>
      <c r="J952" s="458" t="s">
        <v>315</v>
      </c>
    </row>
    <row r="953" spans="1:10" ht="12.75">
      <c r="A953" s="97"/>
      <c r="B953" s="78">
        <v>1</v>
      </c>
      <c r="C953" s="78" t="s">
        <v>9</v>
      </c>
      <c r="D953" s="78"/>
      <c r="E953" s="78"/>
      <c r="F953" s="78"/>
      <c r="G953" s="78"/>
      <c r="H953" s="80">
        <v>0</v>
      </c>
      <c r="I953" s="80">
        <f>VLOOKUP($C953,'Unit tariffs'!$B$21:$F$122,5,FALSE)*$B953</f>
        <v>3883.8902358339997</v>
      </c>
      <c r="J953" s="471" t="e">
        <f>IF(+I953*'Unit tariffs'!#REF!&gt;'Unit tariffs'!#REF!,'Unit tariffs'!#REF!,+I953*'Unit tariffs'!#REF!)</f>
        <v>#REF!</v>
      </c>
    </row>
    <row r="954" spans="1:10" ht="12.75">
      <c r="A954" s="97"/>
      <c r="B954" s="78">
        <v>1</v>
      </c>
      <c r="C954" s="78" t="s">
        <v>229</v>
      </c>
      <c r="D954" s="78"/>
      <c r="E954" s="78"/>
      <c r="F954" s="78"/>
      <c r="G954" s="78"/>
      <c r="H954" s="80">
        <v>0</v>
      </c>
      <c r="I954" s="80">
        <f>VLOOKUP($C954,'Unit tariffs'!$B$21:$F$122,5,FALSE)*$B954</f>
        <v>7028.362490897999</v>
      </c>
      <c r="J954" s="471" t="e">
        <f>IF(+I954*'Unit tariffs'!#REF!&gt;'Unit tariffs'!#REF!,'Unit tariffs'!#REF!,+I954*'Unit tariffs'!#REF!)</f>
        <v>#REF!</v>
      </c>
    </row>
    <row r="955" spans="1:10" ht="12.75">
      <c r="A955" s="97"/>
      <c r="B955" s="78">
        <v>3</v>
      </c>
      <c r="C955" s="78" t="s">
        <v>99</v>
      </c>
      <c r="D955" s="78"/>
      <c r="E955" s="78"/>
      <c r="F955" s="78"/>
      <c r="G955" s="78"/>
      <c r="H955" s="80">
        <v>0</v>
      </c>
      <c r="I955" s="80">
        <f>VLOOKUP($C955,'Unit tariffs'!$B$21:$F$122,5,FALSE)*$B955</f>
        <v>563.736716166</v>
      </c>
      <c r="J955" s="471" t="e">
        <f>IF(+I955*'Unit tariffs'!#REF!&gt;'Unit tariffs'!#REF!,'Unit tariffs'!#REF!,+I955*'Unit tariffs'!#REF!)</f>
        <v>#REF!</v>
      </c>
    </row>
    <row r="956" spans="1:10" ht="12.75">
      <c r="A956" s="97"/>
      <c r="B956" s="78">
        <v>20</v>
      </c>
      <c r="C956" s="78" t="s">
        <v>11</v>
      </c>
      <c r="D956" s="78"/>
      <c r="E956" s="78"/>
      <c r="F956" s="78"/>
      <c r="G956" s="78"/>
      <c r="H956" s="80">
        <v>4072.2831981504996</v>
      </c>
      <c r="I956" s="80">
        <f>VLOOKUP($C956,'Unit tariffs'!$B$21:$F$122,5,FALSE)*$B956</f>
        <v>1697.3276369891282</v>
      </c>
      <c r="J956" s="471" t="e">
        <f>IF(+I956*'Unit tariffs'!#REF!&gt;'Unit tariffs'!#REF!,'Unit tariffs'!#REF!,+I956*'Unit tariffs'!#REF!)</f>
        <v>#REF!</v>
      </c>
    </row>
    <row r="957" spans="1:10" ht="12.75">
      <c r="A957" s="97"/>
      <c r="B957" s="78">
        <v>8</v>
      </c>
      <c r="C957" s="78" t="s">
        <v>484</v>
      </c>
      <c r="D957" s="78"/>
      <c r="E957" s="78"/>
      <c r="F957" s="78"/>
      <c r="G957" s="78"/>
      <c r="H957" s="80">
        <v>25.610135999999997</v>
      </c>
      <c r="I957" s="80">
        <f>VLOOKUP($C957,'Unit tariffs'!$B$21:$F$122,5,FALSE)*$B957</f>
        <v>26.685761711999998</v>
      </c>
      <c r="J957" s="471" t="e">
        <f>IF(+I957*'Unit tariffs'!#REF!&gt;'Unit tariffs'!#REF!,'Unit tariffs'!#REF!,+I957*'Unit tariffs'!#REF!)</f>
        <v>#REF!</v>
      </c>
    </row>
    <row r="958" spans="1:10" ht="12.75" customHeight="1">
      <c r="A958" s="97"/>
      <c r="B958" s="78">
        <v>3</v>
      </c>
      <c r="C958" s="78" t="s">
        <v>483</v>
      </c>
      <c r="D958" s="78"/>
      <c r="E958" s="78"/>
      <c r="F958" s="78"/>
      <c r="G958" s="78"/>
      <c r="H958" s="80">
        <v>77.288217992403</v>
      </c>
      <c r="I958" s="80">
        <f>VLOOKUP($C958,'Unit tariffs'!$B$21:$F$122,5,FALSE)*$B958</f>
        <v>875.2487400000001</v>
      </c>
      <c r="J958" s="471" t="e">
        <f>IF(+I958*'Unit tariffs'!#REF!&gt;'Unit tariffs'!#REF!,'Unit tariffs'!#REF!,+I958*'Unit tariffs'!#REF!)</f>
        <v>#REF!</v>
      </c>
    </row>
    <row r="959" spans="1:10" ht="12.75">
      <c r="A959" s="97"/>
      <c r="B959" s="78">
        <v>1</v>
      </c>
      <c r="C959" s="78" t="s">
        <v>17</v>
      </c>
      <c r="D959" s="78"/>
      <c r="E959" s="78"/>
      <c r="F959" s="78"/>
      <c r="G959" s="78"/>
      <c r="H959" s="80">
        <v>113.6449785</v>
      </c>
      <c r="I959" s="80">
        <f>VLOOKUP($C959,'Unit tariffs'!$B$21:$F$122,5,FALSE)*$B959</f>
        <v>260.5</v>
      </c>
      <c r="J959" s="471" t="e">
        <f>IF(+I959*'Unit tariffs'!#REF!&gt;'Unit tariffs'!#REF!,'Unit tariffs'!#REF!,+I959*'Unit tariffs'!#REF!)</f>
        <v>#REF!</v>
      </c>
    </row>
    <row r="960" spans="1:10" ht="12.75">
      <c r="A960" s="97"/>
      <c r="B960" s="78">
        <v>2</v>
      </c>
      <c r="C960" s="78" t="s">
        <v>189</v>
      </c>
      <c r="D960" s="78"/>
      <c r="E960" s="78"/>
      <c r="F960" s="78"/>
      <c r="G960" s="78"/>
      <c r="H960" s="87">
        <v>96.3254837766</v>
      </c>
      <c r="I960" s="87">
        <f>VLOOKUP($C960,'Unit tariffs'!$B$21:$F$122,5,FALSE)*$B960</f>
        <v>362.616</v>
      </c>
      <c r="J960" s="471" t="e">
        <f>IF(+I960*'Unit tariffs'!#REF!&gt;'Unit tariffs'!#REF!,'Unit tariffs'!#REF!,+I960*'Unit tariffs'!#REF!)</f>
        <v>#REF!</v>
      </c>
    </row>
    <row r="961" spans="1:10" ht="12.75">
      <c r="A961" s="97"/>
      <c r="B961" s="78"/>
      <c r="C961" s="78"/>
      <c r="D961" s="78"/>
      <c r="E961" s="78"/>
      <c r="F961" s="78"/>
      <c r="G961" s="80"/>
      <c r="H961" s="80">
        <v>4385.152014419503</v>
      </c>
      <c r="I961" s="80">
        <f>SUM(I953:I960)</f>
        <v>14698.367581599128</v>
      </c>
      <c r="J961" s="111"/>
    </row>
    <row r="962" spans="1:10" ht="12.75">
      <c r="A962" s="97"/>
      <c r="B962" s="110" t="s">
        <v>339</v>
      </c>
      <c r="C962" s="78"/>
      <c r="D962" s="78"/>
      <c r="E962" s="78"/>
      <c r="F962" s="78"/>
      <c r="G962" s="78"/>
      <c r="H962" s="78"/>
      <c r="I962" s="78"/>
      <c r="J962" s="111"/>
    </row>
    <row r="963" spans="1:10" ht="12.75">
      <c r="A963" s="97"/>
      <c r="B963" s="78">
        <v>1</v>
      </c>
      <c r="C963" s="78" t="str">
        <f>'Unit tariffs'!B$86</f>
        <v>hour-artisan </v>
      </c>
      <c r="D963" s="78"/>
      <c r="E963" s="78"/>
      <c r="F963" s="78"/>
      <c r="G963" s="78"/>
      <c r="H963" s="80">
        <v>180.05873256334615</v>
      </c>
      <c r="I963" s="80">
        <f>VLOOKUP($C963,'Unit tariffs'!$B$21:$F$122,5,FALSE)*$B963</f>
        <v>322.85223173076923</v>
      </c>
      <c r="J963" s="111"/>
    </row>
    <row r="964" spans="1:10" ht="12.75">
      <c r="A964" s="97"/>
      <c r="B964" s="78">
        <v>2</v>
      </c>
      <c r="C964" s="78" t="str">
        <f>'Unit tariffs'!B$84</f>
        <v>hour-artisan assistant</v>
      </c>
      <c r="D964" s="78"/>
      <c r="E964" s="78"/>
      <c r="F964" s="78"/>
      <c r="G964" s="78"/>
      <c r="H964" s="87">
        <v>159.20611184686155</v>
      </c>
      <c r="I964" s="87">
        <f>VLOOKUP($C964,'Unit tariffs'!$B$21:$F$122,5,FALSE)*$B964</f>
        <v>257.0716153846154</v>
      </c>
      <c r="J964" s="101"/>
    </row>
    <row r="965" spans="1:10" ht="12.75">
      <c r="A965" s="97"/>
      <c r="B965" s="121"/>
      <c r="C965" s="121"/>
      <c r="D965" s="121"/>
      <c r="E965" s="121"/>
      <c r="F965" s="121"/>
      <c r="G965" s="121"/>
      <c r="H965" s="80">
        <v>339.26484441020773</v>
      </c>
      <c r="I965" s="80">
        <f>SUM(I963:I964)</f>
        <v>579.9238471153847</v>
      </c>
      <c r="J965" s="101"/>
    </row>
    <row r="966" spans="1:10" ht="12.75">
      <c r="A966" s="97"/>
      <c r="B966" s="110" t="s">
        <v>338</v>
      </c>
      <c r="C966" s="78"/>
      <c r="D966" s="78"/>
      <c r="E966" s="78"/>
      <c r="F966" s="78"/>
      <c r="G966" s="78"/>
      <c r="H966" s="78"/>
      <c r="I966" s="78"/>
      <c r="J966" s="101"/>
    </row>
    <row r="967" spans="1:10" ht="12.75">
      <c r="A967" s="97"/>
      <c r="B967" s="78">
        <v>2</v>
      </c>
      <c r="C967" s="78" t="str">
        <f>'Unit tariffs'!B$86</f>
        <v>hour-artisan </v>
      </c>
      <c r="D967" s="78"/>
      <c r="E967" s="78"/>
      <c r="F967" s="78"/>
      <c r="G967" s="78"/>
      <c r="H967" s="80">
        <v>360.1174651266923</v>
      </c>
      <c r="I967" s="80">
        <f>VLOOKUP($C967,'Unit tariffs'!$B$21:$F$122,5,FALSE)*$B967</f>
        <v>645.7044634615385</v>
      </c>
      <c r="J967" s="111"/>
    </row>
    <row r="968" spans="1:10" ht="12.75">
      <c r="A968" s="97"/>
      <c r="B968" s="78">
        <v>4</v>
      </c>
      <c r="C968" s="78" t="str">
        <f>'Unit tariffs'!B$84</f>
        <v>hour-artisan assistant</v>
      </c>
      <c r="D968" s="78"/>
      <c r="E968" s="78"/>
      <c r="F968" s="78"/>
      <c r="G968" s="78"/>
      <c r="H968" s="87">
        <v>318.4122236937231</v>
      </c>
      <c r="I968" s="87">
        <f>VLOOKUP($C968,'Unit tariffs'!$B$21:$F$122,5,FALSE)*$B968</f>
        <v>514.1432307692309</v>
      </c>
      <c r="J968" s="111"/>
    </row>
    <row r="969" spans="1:10" ht="12.75">
      <c r="A969" s="97"/>
      <c r="B969" s="78"/>
      <c r="C969" s="78"/>
      <c r="D969" s="78"/>
      <c r="E969" s="78"/>
      <c r="F969" s="78"/>
      <c r="G969" s="78"/>
      <c r="H969" s="80">
        <v>678.5296888204155</v>
      </c>
      <c r="I969" s="80">
        <f>SUM(I967:I968)</f>
        <v>1159.8476942307693</v>
      </c>
      <c r="J969" s="111"/>
    </row>
    <row r="970" spans="1:10" ht="12.75">
      <c r="A970" s="97"/>
      <c r="B970" s="78"/>
      <c r="C970" s="78"/>
      <c r="D970" s="78"/>
      <c r="E970" s="78"/>
      <c r="F970" s="78"/>
      <c r="G970" s="78"/>
      <c r="H970" s="80"/>
      <c r="I970" s="80"/>
      <c r="J970" s="101"/>
    </row>
    <row r="971" spans="1:10" ht="12.75">
      <c r="A971" s="97"/>
      <c r="B971" s="110" t="s">
        <v>337</v>
      </c>
      <c r="C971" s="78"/>
      <c r="D971" s="78"/>
      <c r="E971" s="78"/>
      <c r="F971" s="78"/>
      <c r="G971" s="78"/>
      <c r="H971" s="78"/>
      <c r="I971" s="78"/>
      <c r="J971" s="101"/>
    </row>
    <row r="972" spans="1:10" ht="12.75">
      <c r="A972" s="97"/>
      <c r="B972" s="78">
        <v>24</v>
      </c>
      <c r="C972" s="78" t="str">
        <f>'Unit tariffs'!B$110</f>
        <v>km-truck with platform</v>
      </c>
      <c r="D972" s="78"/>
      <c r="E972" s="78"/>
      <c r="F972" s="78"/>
      <c r="G972" s="78"/>
      <c r="H972" s="80">
        <v>779.1765820800001</v>
      </c>
      <c r="I972" s="80">
        <f>VLOOKUP($C972,'Unit tariffs'!$B$21:$F$122,5,FALSE)*$B972</f>
        <v>970.1459533764145</v>
      </c>
      <c r="J972" s="111"/>
    </row>
    <row r="973" spans="1:10" ht="12.75">
      <c r="A973" s="97"/>
      <c r="B973" s="78">
        <f>+B967</f>
        <v>2</v>
      </c>
      <c r="C973" s="78" t="str">
        <f>'Unit tariffs'!B$111</f>
        <v>hour-truck with platform</v>
      </c>
      <c r="D973" s="78"/>
      <c r="E973" s="78"/>
      <c r="F973" s="78"/>
      <c r="G973" s="78"/>
      <c r="H973" s="87">
        <v>335.22502000000003</v>
      </c>
      <c r="I973" s="87">
        <f>VLOOKUP($C973,'Unit tariffs'!$B$21:$F$122,5,FALSE)*$B973</f>
        <v>393.4441791011</v>
      </c>
      <c r="J973" s="111"/>
    </row>
    <row r="974" spans="1:10" ht="12.75">
      <c r="A974" s="97"/>
      <c r="B974" s="78"/>
      <c r="C974" s="78"/>
      <c r="D974" s="78"/>
      <c r="E974" s="78"/>
      <c r="F974" s="78"/>
      <c r="G974" s="78"/>
      <c r="H974" s="146">
        <v>1114.4016020800002</v>
      </c>
      <c r="I974" s="146">
        <f>SUM(I972:I973)</f>
        <v>1363.5901324775145</v>
      </c>
      <c r="J974" s="111"/>
    </row>
    <row r="975" spans="1:10" ht="12.75">
      <c r="A975" s="97"/>
      <c r="B975" s="110" t="s">
        <v>336</v>
      </c>
      <c r="C975" s="78"/>
      <c r="D975" s="78"/>
      <c r="E975" s="78"/>
      <c r="F975" s="78"/>
      <c r="G975" s="78"/>
      <c r="H975" s="80"/>
      <c r="I975" s="80"/>
      <c r="J975" s="111"/>
    </row>
    <row r="976" spans="1:10" ht="12.75">
      <c r="A976" s="97"/>
      <c r="B976" s="110"/>
      <c r="C976" s="78"/>
      <c r="D976" s="78"/>
      <c r="E976" s="78"/>
      <c r="F976" s="78"/>
      <c r="G976" s="78"/>
      <c r="H976" s="80"/>
      <c r="I976" s="80"/>
      <c r="J976" s="111"/>
    </row>
    <row r="977" spans="1:10" s="747" customFormat="1" ht="12.75">
      <c r="A977" s="753"/>
      <c r="B977" s="91">
        <v>12</v>
      </c>
      <c r="C977" s="91" t="str">
        <f>'Unit tariffs'!B97</f>
        <v>m trench 0.6 m deep, Dig &amp; Backfill (Internal)</v>
      </c>
      <c r="D977" s="91"/>
      <c r="E977" s="91"/>
      <c r="F977" s="91"/>
      <c r="G977" s="91"/>
      <c r="H977" s="198">
        <v>15523.3786233</v>
      </c>
      <c r="I977" s="198">
        <f>VLOOKUP($C977,'Unit tariffs'!$B$21:$F$122,5,FALSE)*$B977</f>
        <v>3947.0446430769234</v>
      </c>
      <c r="J977" s="784"/>
    </row>
    <row r="978" spans="1:10" s="747" customFormat="1" ht="12.75">
      <c r="A978" s="753"/>
      <c r="B978" s="91">
        <v>3</v>
      </c>
      <c r="C978" s="91" t="str">
        <f>'Unit tariffs'!B98</f>
        <v>m Additional rock per sqm (Internal)</v>
      </c>
      <c r="D978" s="91"/>
      <c r="E978" s="91"/>
      <c r="F978" s="91"/>
      <c r="G978" s="91"/>
      <c r="H978" s="745">
        <v>15524.3786233</v>
      </c>
      <c r="I978" s="745">
        <f>VLOOKUP($C978,'Unit tariffs'!$B$21:$F$122,5,FALSE)*$B978</f>
        <v>5782.865372307693</v>
      </c>
      <c r="J978" s="784"/>
    </row>
    <row r="979" spans="1:10" ht="13.5" thickBot="1">
      <c r="A979" s="97"/>
      <c r="B979" s="78"/>
      <c r="C979" s="78"/>
      <c r="D979" s="78"/>
      <c r="E979" s="78"/>
      <c r="F979" s="78"/>
      <c r="G979" s="80"/>
      <c r="H979" s="113">
        <v>22042.72677303013</v>
      </c>
      <c r="I979" s="113">
        <f>SUM(I977:I978)</f>
        <v>9729.910015384616</v>
      </c>
      <c r="J979" s="111"/>
    </row>
    <row r="980" spans="1:10" ht="13.5" thickTop="1">
      <c r="A980" s="97"/>
      <c r="B980" s="78"/>
      <c r="C980" s="78"/>
      <c r="D980" s="78"/>
      <c r="E980" s="78"/>
      <c r="F980" s="78"/>
      <c r="G980" s="80"/>
      <c r="H980" s="80">
        <f>H979+H974+H969+H965+H961</f>
        <v>28560.074922760254</v>
      </c>
      <c r="I980" s="80">
        <f>I979+I974+I969+I965+I961</f>
        <v>27531.639270807413</v>
      </c>
      <c r="J980" s="111"/>
    </row>
    <row r="981" spans="1:10" ht="13.5" thickBot="1">
      <c r="A981" s="97"/>
      <c r="B981" s="110" t="str">
        <f>'Unit tariffs'!$B$7</f>
        <v>Administration Levy (Indirect Cost)</v>
      </c>
      <c r="C981" s="78"/>
      <c r="D981" s="112">
        <f>'Unit tariffs'!$C$7</f>
        <v>0.1</v>
      </c>
      <c r="E981" s="78" t="s">
        <v>312</v>
      </c>
      <c r="F981" s="196">
        <f>+'Unit tariffs'!$F$7</f>
        <v>10000</v>
      </c>
      <c r="G981" s="80"/>
      <c r="H981" s="114">
        <f>H980*0.2636</f>
        <v>7528.435749639603</v>
      </c>
      <c r="I981" s="114">
        <f>IF(I979*$D981&gt;='Unit tariffs'!$E$7,'Unit tariffs'!$E$7,I979*$D981)</f>
        <v>972.9910015384617</v>
      </c>
      <c r="J981" s="101"/>
    </row>
    <row r="982" spans="1:10" ht="13.5" thickTop="1">
      <c r="A982" s="97"/>
      <c r="B982" s="110" t="s">
        <v>44</v>
      </c>
      <c r="C982" s="78"/>
      <c r="D982" s="78"/>
      <c r="E982" s="78"/>
      <c r="F982" s="78"/>
      <c r="G982" s="80"/>
      <c r="H982" s="115">
        <f>SUM(H980:H981)</f>
        <v>36088.510672399854</v>
      </c>
      <c r="I982" s="115">
        <f>SUM(I979:I981)</f>
        <v>38234.54028773049</v>
      </c>
      <c r="J982" s="116"/>
    </row>
    <row r="983" spans="1:10" ht="12.75">
      <c r="A983" s="97"/>
      <c r="B983" s="110"/>
      <c r="C983" s="78"/>
      <c r="D983" s="78"/>
      <c r="E983" s="78"/>
      <c r="F983" s="78"/>
      <c r="G983" s="80"/>
      <c r="H983" s="80"/>
      <c r="I983" s="80"/>
      <c r="J983" s="116"/>
    </row>
    <row r="984" spans="1:11" ht="12.75">
      <c r="A984" s="97"/>
      <c r="B984" s="78"/>
      <c r="C984" s="78"/>
      <c r="D984" s="78"/>
      <c r="E984" s="78"/>
      <c r="F984" s="78"/>
      <c r="G984" s="78"/>
      <c r="H984" s="671">
        <f>ROUND(H982,-1)</f>
        <v>36090</v>
      </c>
      <c r="I984" s="671">
        <f>ROUND(I982,-1)</f>
        <v>38230</v>
      </c>
      <c r="J984" s="111"/>
      <c r="K984" s="117"/>
    </row>
    <row r="985" spans="1:10" ht="12.75">
      <c r="A985" s="97"/>
      <c r="B985" s="78"/>
      <c r="C985" s="78"/>
      <c r="D985" s="78"/>
      <c r="E985" s="78"/>
      <c r="F985" s="78"/>
      <c r="G985" s="78"/>
      <c r="H985" s="118">
        <v>0.05918057663125948</v>
      </c>
      <c r="I985" s="118">
        <f>+(I984-H984)/H984</f>
        <v>0.059296203934607924</v>
      </c>
      <c r="J985" s="119"/>
    </row>
    <row r="986" spans="1:10" ht="12.75">
      <c r="A986" s="97"/>
      <c r="B986" s="354"/>
      <c r="C986" s="354"/>
      <c r="D986" s="354"/>
      <c r="E986" s="354"/>
      <c r="F986" s="354"/>
      <c r="G986" s="354"/>
      <c r="H986" s="118"/>
      <c r="I986" s="118"/>
      <c r="J986" s="101"/>
    </row>
    <row r="987" spans="1:10" ht="38.25" customHeight="1">
      <c r="A987" s="97"/>
      <c r="B987" s="852" t="s">
        <v>585</v>
      </c>
      <c r="C987" s="853"/>
      <c r="D987" s="853"/>
      <c r="E987" s="853"/>
      <c r="F987" s="853"/>
      <c r="G987" s="854"/>
      <c r="H987" s="90"/>
      <c r="I987" s="80"/>
      <c r="J987" s="101"/>
    </row>
    <row r="988" spans="1:10" ht="12.75">
      <c r="A988" s="97"/>
      <c r="B988" s="78"/>
      <c r="C988" s="78"/>
      <c r="D988" s="78"/>
      <c r="E988" s="78"/>
      <c r="F988" s="78"/>
      <c r="G988" s="78"/>
      <c r="H988" s="109" t="str">
        <f>+H$11</f>
        <v>2020/2021</v>
      </c>
      <c r="I988" s="109" t="str">
        <f>+'Unit tariffs'!$F$11</f>
        <v>2021/2022</v>
      </c>
      <c r="J988" s="101"/>
    </row>
    <row r="989" spans="1:10" ht="12.75">
      <c r="A989" s="97"/>
      <c r="B989" s="110" t="s">
        <v>586</v>
      </c>
      <c r="C989" s="78"/>
      <c r="D989" s="78"/>
      <c r="E989" s="78"/>
      <c r="F989" s="78"/>
      <c r="G989" s="78"/>
      <c r="H989" s="145"/>
      <c r="I989" s="78"/>
      <c r="J989" s="101"/>
    </row>
    <row r="990" spans="1:10" ht="33" customHeight="1">
      <c r="A990" s="97"/>
      <c r="B990" s="78"/>
      <c r="C990" s="78"/>
      <c r="D990" s="78"/>
      <c r="E990" s="78"/>
      <c r="F990" s="78"/>
      <c r="G990" s="78"/>
      <c r="H990" s="145"/>
      <c r="I990" s="78"/>
      <c r="J990" s="458" t="s">
        <v>315</v>
      </c>
    </row>
    <row r="991" spans="1:10" ht="12.75">
      <c r="A991" s="97"/>
      <c r="B991" s="78">
        <v>1</v>
      </c>
      <c r="C991" s="78" t="s">
        <v>9</v>
      </c>
      <c r="D991" s="78"/>
      <c r="E991" s="78"/>
      <c r="F991" s="78"/>
      <c r="G991" s="78"/>
      <c r="H991" s="80">
        <v>0</v>
      </c>
      <c r="I991" s="80">
        <f>VLOOKUP($C991,'Unit tariffs'!$B$21:$F$122,5,FALSE)*$B991</f>
        <v>3883.8902358339997</v>
      </c>
      <c r="J991" s="471" t="e">
        <f>IF(+I991*'Unit tariffs'!#REF!&gt;'Unit tariffs'!#REF!,'Unit tariffs'!#REF!,+I991*'Unit tariffs'!#REF!)</f>
        <v>#REF!</v>
      </c>
    </row>
    <row r="992" spans="1:10" ht="12.75">
      <c r="A992" s="97"/>
      <c r="B992" s="78">
        <v>1</v>
      </c>
      <c r="C992" s="78" t="s">
        <v>229</v>
      </c>
      <c r="D992" s="78"/>
      <c r="E992" s="78"/>
      <c r="F992" s="78"/>
      <c r="G992" s="78"/>
      <c r="H992" s="80">
        <v>0</v>
      </c>
      <c r="I992" s="80">
        <f>VLOOKUP($C992,'Unit tariffs'!$B$21:$F$122,5,FALSE)*$B992</f>
        <v>7028.362490897999</v>
      </c>
      <c r="J992" s="471" t="e">
        <f>IF(+I992*'Unit tariffs'!#REF!&gt;'Unit tariffs'!#REF!,'Unit tariffs'!#REF!,+I992*'Unit tariffs'!#REF!)</f>
        <v>#REF!</v>
      </c>
    </row>
    <row r="993" spans="1:10" ht="12.75">
      <c r="A993" s="97"/>
      <c r="B993" s="78">
        <v>3</v>
      </c>
      <c r="C993" s="78" t="s">
        <v>99</v>
      </c>
      <c r="D993" s="78"/>
      <c r="E993" s="78"/>
      <c r="F993" s="78"/>
      <c r="G993" s="78"/>
      <c r="H993" s="80">
        <v>0</v>
      </c>
      <c r="I993" s="80">
        <f>VLOOKUP($C993,'Unit tariffs'!$B$21:$F$122,5,FALSE)*$B993</f>
        <v>563.736716166</v>
      </c>
      <c r="J993" s="471" t="e">
        <f>IF(+I993*'Unit tariffs'!#REF!&gt;'Unit tariffs'!#REF!,'Unit tariffs'!#REF!,+I993*'Unit tariffs'!#REF!)</f>
        <v>#REF!</v>
      </c>
    </row>
    <row r="994" spans="1:10" ht="12.75">
      <c r="A994" s="97"/>
      <c r="B994" s="78">
        <v>12</v>
      </c>
      <c r="C994" s="78" t="s">
        <v>11</v>
      </c>
      <c r="D994" s="78"/>
      <c r="E994" s="78"/>
      <c r="F994" s="78"/>
      <c r="G994" s="78"/>
      <c r="H994" s="80">
        <v>0</v>
      </c>
      <c r="I994" s="80">
        <f>VLOOKUP($C994,'Unit tariffs'!$B$21:$F$122,5,FALSE)*$B994</f>
        <v>1018.396582193477</v>
      </c>
      <c r="J994" s="471" t="e">
        <f>IF(+I994*'Unit tariffs'!#REF!&gt;'Unit tariffs'!#REF!,'Unit tariffs'!#REF!,+I994*'Unit tariffs'!#REF!)</f>
        <v>#REF!</v>
      </c>
    </row>
    <row r="995" spans="1:10" ht="12.75">
      <c r="A995" s="97"/>
      <c r="B995" s="78">
        <v>8</v>
      </c>
      <c r="C995" s="6" t="s">
        <v>484</v>
      </c>
      <c r="D995" s="78"/>
      <c r="E995" s="78"/>
      <c r="F995" s="78"/>
      <c r="G995" s="78"/>
      <c r="H995" s="80">
        <v>0</v>
      </c>
      <c r="I995" s="80">
        <f>VLOOKUP($C995,'Unit tariffs'!$B$21:$F$122,5,FALSE)*$B995</f>
        <v>26.685761711999998</v>
      </c>
      <c r="J995" s="471" t="e">
        <f>IF(+I995*'Unit tariffs'!#REF!&gt;'Unit tariffs'!#REF!,'Unit tariffs'!#REF!,+I995*'Unit tariffs'!#REF!)</f>
        <v>#REF!</v>
      </c>
    </row>
    <row r="996" spans="1:10" ht="12.75">
      <c r="A996" s="97"/>
      <c r="B996" s="78">
        <v>3</v>
      </c>
      <c r="C996" s="6" t="s">
        <v>483</v>
      </c>
      <c r="D996" s="78"/>
      <c r="E996" s="78"/>
      <c r="F996" s="78"/>
      <c r="G996" s="78"/>
      <c r="H996" s="80">
        <v>0</v>
      </c>
      <c r="I996" s="80">
        <f>VLOOKUP($C996,'Unit tariffs'!$B$21:$F$122,5,FALSE)*$B996</f>
        <v>875.2487400000001</v>
      </c>
      <c r="J996" s="471" t="e">
        <f>IF(+I996*'Unit tariffs'!#REF!&gt;'Unit tariffs'!#REF!,'Unit tariffs'!#REF!,+I996*'Unit tariffs'!#REF!)</f>
        <v>#REF!</v>
      </c>
    </row>
    <row r="997" spans="1:10" ht="12.75">
      <c r="A997" s="97"/>
      <c r="B997" s="78">
        <v>1</v>
      </c>
      <c r="C997" s="78" t="s">
        <v>17</v>
      </c>
      <c r="D997" s="78"/>
      <c r="E997" s="78"/>
      <c r="F997" s="78"/>
      <c r="G997" s="78"/>
      <c r="H997" s="80">
        <v>0</v>
      </c>
      <c r="I997" s="80">
        <f>VLOOKUP($C997,'Unit tariffs'!$B$21:$F$122,5,FALSE)*$B997</f>
        <v>260.5</v>
      </c>
      <c r="J997" s="471" t="e">
        <f>IF(+I997*'Unit tariffs'!#REF!&gt;'Unit tariffs'!#REF!,'Unit tariffs'!#REF!,+I997*'Unit tariffs'!#REF!)</f>
        <v>#REF!</v>
      </c>
    </row>
    <row r="998" spans="1:10" ht="12.75">
      <c r="A998" s="97"/>
      <c r="B998" s="78">
        <v>2</v>
      </c>
      <c r="C998" s="78" t="s">
        <v>189</v>
      </c>
      <c r="D998" s="78"/>
      <c r="E998" s="78"/>
      <c r="F998" s="78"/>
      <c r="G998" s="78"/>
      <c r="H998" s="87">
        <v>0</v>
      </c>
      <c r="I998" s="87">
        <f>VLOOKUP($C998,'Unit tariffs'!$B$21:$F$122,5,FALSE)*$B998</f>
        <v>362.616</v>
      </c>
      <c r="J998" s="471" t="e">
        <f>IF(+I998*'Unit tariffs'!#REF!&gt;'Unit tariffs'!#REF!,'Unit tariffs'!#REF!,+I998*'Unit tariffs'!#REF!)</f>
        <v>#REF!</v>
      </c>
    </row>
    <row r="999" spans="1:10" ht="12.75">
      <c r="A999" s="97"/>
      <c r="B999" s="78"/>
      <c r="C999" s="78"/>
      <c r="D999" s="78"/>
      <c r="E999" s="78"/>
      <c r="F999" s="78"/>
      <c r="G999" s="80"/>
      <c r="H999" s="80">
        <v>0</v>
      </c>
      <c r="I999" s="80">
        <f>SUM(I991:I998)</f>
        <v>14019.436526803476</v>
      </c>
      <c r="J999" s="101"/>
    </row>
    <row r="1000" spans="1:10" ht="12.75">
      <c r="A1000" s="97"/>
      <c r="B1000" s="110" t="s">
        <v>59</v>
      </c>
      <c r="C1000" s="78"/>
      <c r="D1000" s="78"/>
      <c r="E1000" s="78"/>
      <c r="F1000" s="78"/>
      <c r="G1000" s="78"/>
      <c r="H1000" s="78"/>
      <c r="I1000" s="78"/>
      <c r="J1000" s="111"/>
    </row>
    <row r="1001" spans="1:10" ht="12.75">
      <c r="A1001" s="97"/>
      <c r="B1001" s="78">
        <v>1</v>
      </c>
      <c r="C1001" s="78" t="str">
        <f>'Unit tariffs'!B$86</f>
        <v>hour-artisan </v>
      </c>
      <c r="D1001" s="78"/>
      <c r="E1001" s="78"/>
      <c r="F1001" s="78"/>
      <c r="G1001" s="78"/>
      <c r="H1001" s="80">
        <v>180.05873256334615</v>
      </c>
      <c r="I1001" s="80">
        <f>VLOOKUP($C1001,'Unit tariffs'!$B$21:$F$122,5,FALSE)*$B1001</f>
        <v>322.85223173076923</v>
      </c>
      <c r="J1001" s="111"/>
    </row>
    <row r="1002" spans="1:10" ht="12.75">
      <c r="A1002" s="97"/>
      <c r="B1002" s="78">
        <v>2</v>
      </c>
      <c r="C1002" s="78" t="str">
        <f>'Unit tariffs'!B$84</f>
        <v>hour-artisan assistant</v>
      </c>
      <c r="D1002" s="78"/>
      <c r="E1002" s="78"/>
      <c r="F1002" s="78"/>
      <c r="G1002" s="78"/>
      <c r="H1002" s="87">
        <v>159.20611184686155</v>
      </c>
      <c r="I1002" s="87">
        <f>VLOOKUP($C1002,'Unit tariffs'!$B$21:$F$122,5,FALSE)*$B1002</f>
        <v>257.0716153846154</v>
      </c>
      <c r="J1002" s="111"/>
    </row>
    <row r="1003" spans="1:10" ht="12.75">
      <c r="A1003" s="97"/>
      <c r="B1003" s="121"/>
      <c r="C1003" s="121"/>
      <c r="D1003" s="121"/>
      <c r="E1003" s="121"/>
      <c r="F1003" s="121"/>
      <c r="G1003" s="121"/>
      <c r="H1003" s="80">
        <v>339.26484441020773</v>
      </c>
      <c r="I1003" s="80">
        <f>SUM(I1001:I1002)</f>
        <v>579.9238471153847</v>
      </c>
      <c r="J1003" s="101"/>
    </row>
    <row r="1004" spans="1:10" ht="12.75">
      <c r="A1004" s="97"/>
      <c r="B1004" s="110" t="s">
        <v>60</v>
      </c>
      <c r="C1004" s="78"/>
      <c r="D1004" s="78"/>
      <c r="E1004" s="78"/>
      <c r="F1004" s="78"/>
      <c r="G1004" s="78"/>
      <c r="H1004" s="78"/>
      <c r="I1004" s="78"/>
      <c r="J1004" s="101"/>
    </row>
    <row r="1005" spans="1:10" ht="12.75">
      <c r="A1005" s="97"/>
      <c r="B1005" s="78">
        <v>2</v>
      </c>
      <c r="C1005" s="78" t="str">
        <f>'Unit tariffs'!B$86</f>
        <v>hour-artisan </v>
      </c>
      <c r="D1005" s="78"/>
      <c r="E1005" s="78"/>
      <c r="F1005" s="78"/>
      <c r="G1005" s="78"/>
      <c r="H1005" s="80">
        <v>360.1174651266923</v>
      </c>
      <c r="I1005" s="80">
        <f>VLOOKUP($C1005,'Unit tariffs'!$B$21:$F$122,5,FALSE)*$B1005</f>
        <v>645.7044634615385</v>
      </c>
      <c r="J1005" s="111"/>
    </row>
    <row r="1006" spans="1:10" ht="12.75">
      <c r="A1006" s="97"/>
      <c r="B1006" s="78">
        <v>4</v>
      </c>
      <c r="C1006" s="78" t="str">
        <f>'Unit tariffs'!B$84</f>
        <v>hour-artisan assistant</v>
      </c>
      <c r="D1006" s="78"/>
      <c r="E1006" s="78"/>
      <c r="F1006" s="78"/>
      <c r="G1006" s="78"/>
      <c r="H1006" s="87">
        <v>318.4122236937231</v>
      </c>
      <c r="I1006" s="87">
        <f>VLOOKUP($C1006,'Unit tariffs'!$B$21:$F$122,5,FALSE)*$B1006</f>
        <v>514.1432307692309</v>
      </c>
      <c r="J1006" s="111"/>
    </row>
    <row r="1007" spans="1:10" ht="12.75">
      <c r="A1007" s="97"/>
      <c r="B1007" s="78"/>
      <c r="C1007" s="78"/>
      <c r="D1007" s="78"/>
      <c r="E1007" s="78"/>
      <c r="F1007" s="78"/>
      <c r="G1007" s="78"/>
      <c r="H1007" s="80">
        <v>678.5296888204155</v>
      </c>
      <c r="I1007" s="80">
        <f>SUM(I1005:I1006)</f>
        <v>1159.8476942307693</v>
      </c>
      <c r="J1007" s="111"/>
    </row>
    <row r="1008" spans="1:10" ht="12.75">
      <c r="A1008" s="97"/>
      <c r="B1008" s="78"/>
      <c r="C1008" s="78"/>
      <c r="D1008" s="78"/>
      <c r="E1008" s="78"/>
      <c r="F1008" s="78"/>
      <c r="G1008" s="78"/>
      <c r="H1008" s="80"/>
      <c r="I1008" s="80"/>
      <c r="J1008" s="111"/>
    </row>
    <row r="1009" spans="1:10" ht="12.75">
      <c r="A1009" s="97"/>
      <c r="B1009" s="110" t="s">
        <v>43</v>
      </c>
      <c r="C1009" s="78"/>
      <c r="D1009" s="78"/>
      <c r="E1009" s="78"/>
      <c r="F1009" s="78"/>
      <c r="G1009" s="78"/>
      <c r="H1009" s="78"/>
      <c r="I1009" s="78"/>
      <c r="J1009" s="111"/>
    </row>
    <row r="1010" spans="1:10" ht="12.75">
      <c r="A1010" s="97"/>
      <c r="B1010" s="78">
        <v>24</v>
      </c>
      <c r="C1010" s="78" t="str">
        <f>'Unit tariffs'!B$110</f>
        <v>km-truck with platform</v>
      </c>
      <c r="D1010" s="78"/>
      <c r="E1010" s="78"/>
      <c r="F1010" s="78"/>
      <c r="G1010" s="78"/>
      <c r="H1010" s="80">
        <v>779.1765820800001</v>
      </c>
      <c r="I1010" s="80">
        <f>VLOOKUP($C1010,'Unit tariffs'!$B$21:$F$122,5,FALSE)*$B1010</f>
        <v>970.1459533764145</v>
      </c>
      <c r="J1010" s="111"/>
    </row>
    <row r="1011" spans="1:10" ht="12.75">
      <c r="A1011" s="97"/>
      <c r="B1011" s="78">
        <f>+B1005</f>
        <v>2</v>
      </c>
      <c r="C1011" s="78" t="str">
        <f>'Unit tariffs'!B$111</f>
        <v>hour-truck with platform</v>
      </c>
      <c r="D1011" s="78"/>
      <c r="E1011" s="78"/>
      <c r="F1011" s="78"/>
      <c r="G1011" s="78"/>
      <c r="H1011" s="87">
        <v>335.22502000000003</v>
      </c>
      <c r="I1011" s="87">
        <f>VLOOKUP($C1011,'Unit tariffs'!$B$21:$F$122,5,FALSE)*$B1011</f>
        <v>393.4441791011</v>
      </c>
      <c r="J1011" s="111"/>
    </row>
    <row r="1012" spans="1:10" ht="12.75">
      <c r="A1012" s="97"/>
      <c r="B1012" s="78"/>
      <c r="C1012" s="78"/>
      <c r="D1012" s="78"/>
      <c r="E1012" s="78"/>
      <c r="F1012" s="78"/>
      <c r="G1012" s="78"/>
      <c r="H1012" s="146">
        <v>1114.4016020800002</v>
      </c>
      <c r="I1012" s="672">
        <f>SUM(I1010:I1011)</f>
        <v>1363.5901324775145</v>
      </c>
      <c r="J1012" s="101"/>
    </row>
    <row r="1013" spans="1:10" ht="12.75">
      <c r="A1013" s="97"/>
      <c r="B1013" s="110" t="s">
        <v>335</v>
      </c>
      <c r="C1013" s="78"/>
      <c r="D1013" s="78"/>
      <c r="E1013" s="78"/>
      <c r="F1013" s="78"/>
      <c r="G1013" s="78"/>
      <c r="H1013" s="80"/>
      <c r="I1013" s="199"/>
      <c r="J1013" s="473"/>
    </row>
    <row r="1014" spans="1:10" ht="12.75">
      <c r="A1014" s="97"/>
      <c r="B1014" s="78"/>
      <c r="C1014" s="78"/>
      <c r="D1014" s="78"/>
      <c r="E1014" s="78"/>
      <c r="F1014" s="78"/>
      <c r="G1014" s="78"/>
      <c r="H1014" s="80"/>
      <c r="I1014" s="199"/>
      <c r="J1014" s="111"/>
    </row>
    <row r="1015" spans="1:10" ht="12.75">
      <c r="A1015" s="97"/>
      <c r="B1015" s="91">
        <v>3</v>
      </c>
      <c r="C1015" s="91" t="str">
        <f>'Unit tariffs'!B98</f>
        <v>m Additional rock per sqm (Internal)</v>
      </c>
      <c r="D1015" s="91"/>
      <c r="E1015" s="91"/>
      <c r="F1015" s="91"/>
      <c r="G1015" s="91"/>
      <c r="H1015" s="198">
        <f>'Unit tariffs'!E98*B1015</f>
        <v>5404.547076923078</v>
      </c>
      <c r="I1015" s="198">
        <f>VLOOKUP($C1015,'Unit tariffs'!B96:F98,5,FALSE)*$B1015</f>
        <v>5782.865372307693</v>
      </c>
      <c r="J1015" s="111"/>
    </row>
    <row r="1016" spans="1:10" ht="12.75">
      <c r="A1016" s="97"/>
      <c r="B1016" s="91">
        <v>12</v>
      </c>
      <c r="C1016" s="91" t="str">
        <f>'Unit tariffs'!B97</f>
        <v>m trench 0.6 m deep, Dig &amp; Backfill (Internal)</v>
      </c>
      <c r="D1016" s="91"/>
      <c r="E1016" s="91"/>
      <c r="F1016" s="91"/>
      <c r="G1016" s="91"/>
      <c r="H1016" s="745">
        <f>'Unit tariffs'!E97*B1016</f>
        <v>3688.826769230769</v>
      </c>
      <c r="I1016" s="745">
        <f>VLOOKUP($C1016,'Unit tariffs'!B97:F99,5,FALSE)*$B1016</f>
        <v>3947.0446430769234</v>
      </c>
      <c r="J1016" s="119"/>
    </row>
    <row r="1017" spans="1:10" ht="13.5" thickBot="1">
      <c r="A1017" s="97"/>
      <c r="B1017" s="78"/>
      <c r="C1017" s="78"/>
      <c r="D1017" s="78"/>
      <c r="E1017" s="78"/>
      <c r="F1017" s="78"/>
      <c r="G1017" s="80" t="s">
        <v>44</v>
      </c>
      <c r="H1017" s="113">
        <f>SUM(H1015:H1016)</f>
        <v>9093.373846153847</v>
      </c>
      <c r="I1017" s="749">
        <f>SUM(I1015:I1016)</f>
        <v>9729.910015384616</v>
      </c>
      <c r="J1017" s="101"/>
    </row>
    <row r="1018" spans="1:10" ht="13.5" thickTop="1">
      <c r="A1018" s="97"/>
      <c r="B1018" s="78"/>
      <c r="C1018" s="78"/>
      <c r="D1018" s="78"/>
      <c r="E1018" s="78"/>
      <c r="F1018" s="78"/>
      <c r="G1018" s="80"/>
      <c r="H1018" s="80">
        <f>H1017+H1012+H1007+H1003+H999</f>
        <v>11225.56998146447</v>
      </c>
      <c r="I1018" s="199">
        <f>I1017+I1012+I1007+I1003+I999</f>
        <v>26852.70821601176</v>
      </c>
      <c r="J1018" s="101"/>
    </row>
    <row r="1019" spans="1:10" ht="13.5" thickBot="1">
      <c r="A1019" s="97"/>
      <c r="B1019" s="110" t="str">
        <f>'Unit tariffs'!$B$7</f>
        <v>Administration Levy (Indirect Cost)</v>
      </c>
      <c r="C1019" s="78"/>
      <c r="D1019" s="112">
        <f>'Unit tariffs'!$C$7</f>
        <v>0.1</v>
      </c>
      <c r="E1019" s="78" t="s">
        <v>312</v>
      </c>
      <c r="F1019" s="196">
        <f>+'Unit tariffs'!$F$7</f>
        <v>10000</v>
      </c>
      <c r="G1019" s="80"/>
      <c r="H1019" s="114">
        <f>H1017*0.2636</f>
        <v>2397.013345846154</v>
      </c>
      <c r="I1019" s="356">
        <f>IF(I1017*$D1019&gt;='Unit tariffs'!$E$7,'Unit tariffs'!$E$7,I1017*$D1019)</f>
        <v>972.9910015384617</v>
      </c>
      <c r="J1019" s="101"/>
    </row>
    <row r="1020" spans="1:11" ht="13.5" thickTop="1">
      <c r="A1020" s="97"/>
      <c r="B1020" s="110" t="s">
        <v>44</v>
      </c>
      <c r="C1020" s="78"/>
      <c r="D1020" s="78"/>
      <c r="E1020" s="78"/>
      <c r="F1020" s="78"/>
      <c r="G1020" s="80"/>
      <c r="H1020" s="80">
        <f>SUM(H1018:H1019)</f>
        <v>13622.583327310625</v>
      </c>
      <c r="I1020" s="80">
        <f>SUM(I1017:I1019)</f>
        <v>37555.60923293484</v>
      </c>
      <c r="J1020" s="101"/>
      <c r="K1020" s="117"/>
    </row>
    <row r="1021" spans="1:10" ht="18" customHeight="1">
      <c r="A1021" s="97"/>
      <c r="B1021" s="78"/>
      <c r="C1021" s="78"/>
      <c r="D1021" s="78"/>
      <c r="E1021" s="78"/>
      <c r="F1021" s="78"/>
      <c r="G1021" s="78"/>
      <c r="H1021" s="78"/>
      <c r="I1021" s="78"/>
      <c r="J1021" s="101"/>
    </row>
    <row r="1022" spans="1:10" ht="12.75">
      <c r="A1022" s="97"/>
      <c r="B1022" s="78"/>
      <c r="C1022" s="78"/>
      <c r="D1022" s="78"/>
      <c r="E1022" s="78"/>
      <c r="F1022" s="78"/>
      <c r="G1022" s="78"/>
      <c r="H1022" s="90">
        <f>ROUND(H1020,-1)</f>
        <v>13620</v>
      </c>
      <c r="I1022" s="90">
        <f>ROUND(I1020,-1)</f>
        <v>37560</v>
      </c>
      <c r="J1022" s="458"/>
    </row>
    <row r="1023" spans="1:10" ht="13.5" thickBot="1">
      <c r="A1023" s="457"/>
      <c r="B1023" s="130"/>
      <c r="C1023" s="130"/>
      <c r="D1023" s="130"/>
      <c r="E1023" s="130"/>
      <c r="F1023" s="130"/>
      <c r="G1023" s="130"/>
      <c r="H1023" s="139">
        <v>0.06625357483317446</v>
      </c>
      <c r="I1023" s="139">
        <f>+(I1022-H1022)/H1022</f>
        <v>1.7577092511013215</v>
      </c>
      <c r="J1023" s="101"/>
    </row>
    <row r="1024" spans="1:10" ht="13.5" thickTop="1">
      <c r="A1024" s="459"/>
      <c r="B1024" s="78"/>
      <c r="C1024" s="78"/>
      <c r="D1024" s="78"/>
      <c r="E1024" s="78"/>
      <c r="F1024" s="78"/>
      <c r="G1024" s="78"/>
      <c r="H1024" s="78"/>
      <c r="I1024" s="78"/>
      <c r="J1024" s="464"/>
    </row>
    <row r="1025" spans="1:10" ht="13.5" thickBot="1">
      <c r="A1025" s="462"/>
      <c r="B1025" s="78"/>
      <c r="C1025" s="78"/>
      <c r="D1025" s="78"/>
      <c r="E1025" s="78"/>
      <c r="F1025" s="78"/>
      <c r="G1025" s="78"/>
      <c r="H1025" s="78"/>
      <c r="I1025" s="78"/>
      <c r="J1025" s="464"/>
    </row>
    <row r="1026" spans="1:10" ht="13.5" thickTop="1">
      <c r="A1026" s="97"/>
      <c r="B1026" s="127" t="s">
        <v>1</v>
      </c>
      <c r="C1026" s="127"/>
      <c r="D1026" s="127"/>
      <c r="E1026" s="127"/>
      <c r="F1026" s="127"/>
      <c r="G1026" s="127"/>
      <c r="H1026" s="127"/>
      <c r="I1026" s="127"/>
      <c r="J1026" s="111"/>
    </row>
    <row r="1027" spans="1:10" ht="12.75">
      <c r="A1027" s="97"/>
      <c r="B1027" s="98" t="s">
        <v>587</v>
      </c>
      <c r="C1027" s="99"/>
      <c r="D1027" s="99"/>
      <c r="E1027" s="99"/>
      <c r="F1027" s="99"/>
      <c r="G1027" s="99"/>
      <c r="H1027" s="99"/>
      <c r="I1027" s="100"/>
      <c r="J1027" s="111"/>
    </row>
    <row r="1028" spans="1:10" ht="12.75">
      <c r="A1028" s="97"/>
      <c r="B1028" s="78"/>
      <c r="C1028" s="78"/>
      <c r="D1028" s="78"/>
      <c r="E1028" s="78"/>
      <c r="F1028" s="78"/>
      <c r="G1028" s="78"/>
      <c r="H1028" s="78"/>
      <c r="I1028" s="78"/>
      <c r="J1028" s="111"/>
    </row>
    <row r="1029" spans="1:10" ht="12.75">
      <c r="A1029" s="97"/>
      <c r="B1029" s="829" t="s">
        <v>588</v>
      </c>
      <c r="C1029" s="830"/>
      <c r="D1029" s="830"/>
      <c r="E1029" s="830"/>
      <c r="F1029" s="830"/>
      <c r="G1029" s="831"/>
      <c r="H1029" s="78"/>
      <c r="I1029" s="141" t="s">
        <v>246</v>
      </c>
      <c r="J1029" s="111"/>
    </row>
    <row r="1030" spans="1:10" ht="12.75">
      <c r="A1030" s="97"/>
      <c r="B1030" s="78" t="s">
        <v>1</v>
      </c>
      <c r="C1030" s="78"/>
      <c r="D1030" s="78"/>
      <c r="E1030" s="78"/>
      <c r="F1030" s="78"/>
      <c r="G1030" s="78"/>
      <c r="H1030" s="109" t="str">
        <f>+H$11</f>
        <v>2020/2021</v>
      </c>
      <c r="I1030" s="109" t="str">
        <f>+'Unit tariffs'!$F$11</f>
        <v>2021/2022</v>
      </c>
      <c r="J1030" s="101"/>
    </row>
    <row r="1031" spans="1:10" ht="12.75">
      <c r="A1031" s="97"/>
      <c r="B1031" s="110" t="s">
        <v>41</v>
      </c>
      <c r="C1031" s="78"/>
      <c r="D1031" s="78"/>
      <c r="E1031" s="78"/>
      <c r="F1031" s="78"/>
      <c r="G1031" s="78"/>
      <c r="H1031" s="145"/>
      <c r="I1031" s="78"/>
      <c r="J1031" s="458" t="s">
        <v>315</v>
      </c>
    </row>
    <row r="1032" spans="1:10" ht="12.75">
      <c r="A1032" s="97"/>
      <c r="B1032" s="78">
        <v>0</v>
      </c>
      <c r="C1032" s="78" t="str">
        <f>+'Unit tariffs'!B34</f>
        <v>Prepaid meter (Split) 1 phase 59A Unique Mbani</v>
      </c>
      <c r="D1032" s="78"/>
      <c r="E1032" s="78"/>
      <c r="F1032" s="78"/>
      <c r="G1032" s="78"/>
      <c r="H1032" s="88">
        <v>0</v>
      </c>
      <c r="I1032" s="87">
        <f>VLOOKUP($C1032,'Unit tariffs'!$B$21:$F$122,5,FALSE)*$B1032</f>
        <v>0</v>
      </c>
      <c r="J1032" s="471" t="e">
        <f>IF(+I1032*'Unit tariffs'!#REF!&gt;'Unit tariffs'!#REF!,'Unit tariffs'!#REF!,+I1032*'Unit tariffs'!#REF!)</f>
        <v>#REF!</v>
      </c>
    </row>
    <row r="1033" spans="1:10" ht="12.75">
      <c r="A1033" s="97"/>
      <c r="B1033" s="78">
        <v>1</v>
      </c>
      <c r="C1033" s="78" t="s">
        <v>17</v>
      </c>
      <c r="D1033" s="78"/>
      <c r="E1033" s="78"/>
      <c r="F1033" s="78"/>
      <c r="G1033" s="78"/>
      <c r="H1033" s="89">
        <v>113.6449785</v>
      </c>
      <c r="I1033" s="87">
        <f>VLOOKUP($C1033,'Unit tariffs'!$B$21:$F$122,5,FALSE)*$B1033</f>
        <v>260.5</v>
      </c>
      <c r="J1033" s="471" t="e">
        <f>IF(+I1033*'Unit tariffs'!#REF!&gt;'Unit tariffs'!#REF!,'Unit tariffs'!#REF!,+I1033*'Unit tariffs'!#REF!)</f>
        <v>#REF!</v>
      </c>
    </row>
    <row r="1034" spans="1:10" ht="12.75">
      <c r="A1034" s="97"/>
      <c r="B1034" s="78"/>
      <c r="C1034" s="78"/>
      <c r="D1034" s="78"/>
      <c r="E1034" s="78"/>
      <c r="F1034" s="78"/>
      <c r="G1034" s="80"/>
      <c r="H1034" s="80">
        <v>113.6449785</v>
      </c>
      <c r="I1034" s="80">
        <f>SUM(I1032:I1033)</f>
        <v>260.5</v>
      </c>
      <c r="J1034" s="461"/>
    </row>
    <row r="1035" spans="1:10" ht="12.75">
      <c r="A1035" s="97"/>
      <c r="B1035" s="78"/>
      <c r="C1035" s="78"/>
      <c r="D1035" s="78"/>
      <c r="E1035" s="78"/>
      <c r="F1035" s="78"/>
      <c r="G1035" s="78"/>
      <c r="H1035" s="78"/>
      <c r="I1035" s="78"/>
      <c r="J1035" s="111"/>
    </row>
    <row r="1036" spans="1:10" ht="12.75">
      <c r="A1036" s="97"/>
      <c r="B1036" s="110" t="s">
        <v>42</v>
      </c>
      <c r="C1036" s="78"/>
      <c r="D1036" s="78"/>
      <c r="E1036" s="78"/>
      <c r="F1036" s="78"/>
      <c r="G1036" s="78"/>
      <c r="H1036" s="78"/>
      <c r="I1036" s="78"/>
      <c r="J1036" s="111"/>
    </row>
    <row r="1037" spans="1:10" ht="12.75">
      <c r="A1037" s="97"/>
      <c r="B1037" s="78"/>
      <c r="C1037" s="78"/>
      <c r="D1037" s="78"/>
      <c r="E1037" s="78"/>
      <c r="F1037" s="78"/>
      <c r="G1037" s="78"/>
      <c r="H1037" s="78"/>
      <c r="I1037" s="78"/>
      <c r="J1037" s="111"/>
    </row>
    <row r="1038" spans="1:10" ht="12.75">
      <c r="A1038" s="97"/>
      <c r="B1038" s="78">
        <v>0.75</v>
      </c>
      <c r="C1038" s="78" t="str">
        <f>'Unit tariffs'!B86</f>
        <v>hour-artisan </v>
      </c>
      <c r="D1038" s="78"/>
      <c r="E1038" s="78"/>
      <c r="F1038" s="78"/>
      <c r="G1038" s="78"/>
      <c r="H1038" s="88">
        <v>135.0440494225096</v>
      </c>
      <c r="I1038" s="80">
        <f>VLOOKUP($C1038,'Unit tariffs'!$B$21:$F$122,5,FALSE)*$B1038</f>
        <v>242.1391737980769</v>
      </c>
      <c r="J1038" s="101"/>
    </row>
    <row r="1039" spans="1:10" ht="12.75">
      <c r="A1039" s="97"/>
      <c r="B1039" s="78">
        <v>1.5</v>
      </c>
      <c r="C1039" s="78" t="str">
        <f>'Unit tariffs'!B84</f>
        <v>hour-artisan assistant</v>
      </c>
      <c r="D1039" s="78"/>
      <c r="E1039" s="78"/>
      <c r="F1039" s="78"/>
      <c r="G1039" s="78"/>
      <c r="H1039" s="89">
        <v>119.40458388514617</v>
      </c>
      <c r="I1039" s="87">
        <f>VLOOKUP($C1039,'Unit tariffs'!$B$21:$F$139,5,FALSE)*$B1039</f>
        <v>192.80371153846158</v>
      </c>
      <c r="J1039" s="101"/>
    </row>
    <row r="1040" spans="1:10" ht="12.75">
      <c r="A1040" s="97"/>
      <c r="B1040" s="78"/>
      <c r="C1040" s="78"/>
      <c r="D1040" s="78"/>
      <c r="E1040" s="78"/>
      <c r="F1040" s="78"/>
      <c r="G1040" s="78"/>
      <c r="H1040" s="88">
        <v>254.44863330765577</v>
      </c>
      <c r="I1040" s="80">
        <f>SUM(I1038:I1039)</f>
        <v>434.9428853365385</v>
      </c>
      <c r="J1040" s="111"/>
    </row>
    <row r="1041" spans="1:10" ht="12.75">
      <c r="A1041" s="97"/>
      <c r="B1041" s="110" t="s">
        <v>43</v>
      </c>
      <c r="C1041" s="78"/>
      <c r="D1041" s="78"/>
      <c r="E1041" s="78"/>
      <c r="F1041" s="78"/>
      <c r="G1041" s="78"/>
      <c r="H1041" s="145"/>
      <c r="I1041" s="78"/>
      <c r="J1041" s="111"/>
    </row>
    <row r="1042" spans="1:10" ht="12.75">
      <c r="A1042" s="97"/>
      <c r="B1042" s="78"/>
      <c r="C1042" s="78"/>
      <c r="D1042" s="78"/>
      <c r="E1042" s="78"/>
      <c r="F1042" s="78"/>
      <c r="G1042" s="78"/>
      <c r="H1042" s="145"/>
      <c r="I1042" s="78"/>
      <c r="J1042" s="111"/>
    </row>
    <row r="1043" spans="1:10" ht="12.75">
      <c r="A1043" s="97"/>
      <c r="B1043" s="78">
        <v>24</v>
      </c>
      <c r="C1043" s="78" t="str">
        <f>'Unit tariffs'!B110</f>
        <v>km-truck with platform</v>
      </c>
      <c r="D1043" s="78"/>
      <c r="E1043" s="78"/>
      <c r="F1043" s="78"/>
      <c r="G1043" s="78"/>
      <c r="H1043" s="88">
        <v>779.1765820800001</v>
      </c>
      <c r="I1043" s="80">
        <f>VLOOKUP($C1043,'Unit tariffs'!$B$21:$F$122,5,FALSE)*$B1043</f>
        <v>970.1459533764145</v>
      </c>
      <c r="J1043" s="101"/>
    </row>
    <row r="1044" spans="1:10" ht="12.75">
      <c r="A1044" s="97"/>
      <c r="B1044" s="78">
        <v>0.75</v>
      </c>
      <c r="C1044" s="78" t="str">
        <f>'Unit tariffs'!B111</f>
        <v>hour-truck with platform</v>
      </c>
      <c r="D1044" s="78"/>
      <c r="E1044" s="78"/>
      <c r="F1044" s="78"/>
      <c r="G1044" s="78"/>
      <c r="H1044" s="89">
        <v>125.7093825</v>
      </c>
      <c r="I1044" s="80">
        <f>VLOOKUP($C1044,'Unit tariffs'!$B$21:$F$122,5,FALSE)*$B1044</f>
        <v>147.54156716291251</v>
      </c>
      <c r="J1044" s="101"/>
    </row>
    <row r="1045" spans="1:10" ht="12.75">
      <c r="A1045" s="97"/>
      <c r="B1045" s="78"/>
      <c r="C1045" s="78"/>
      <c r="D1045" s="78"/>
      <c r="E1045" s="78"/>
      <c r="F1045" s="78"/>
      <c r="G1045" s="78"/>
      <c r="H1045" s="155">
        <v>904.8859645800001</v>
      </c>
      <c r="I1045" s="146">
        <f>SUM(I1043:I1044)</f>
        <v>1117.687520539327</v>
      </c>
      <c r="J1045" s="111"/>
    </row>
    <row r="1046" spans="1:10" ht="13.5" thickBot="1">
      <c r="A1046" s="97"/>
      <c r="B1046" s="110"/>
      <c r="C1046" s="78"/>
      <c r="D1046" s="112"/>
      <c r="E1046" s="78"/>
      <c r="F1046" s="78"/>
      <c r="G1046" s="78"/>
      <c r="H1046" s="136"/>
      <c r="I1046" s="114"/>
      <c r="J1046" s="111"/>
    </row>
    <row r="1047" spans="1:10" ht="13.5" thickTop="1">
      <c r="A1047" s="97"/>
      <c r="B1047" s="78"/>
      <c r="C1047" s="78"/>
      <c r="D1047" s="78"/>
      <c r="E1047" s="78"/>
      <c r="F1047" s="78"/>
      <c r="G1047" s="80"/>
      <c r="H1047" s="88">
        <v>1272.979576387656</v>
      </c>
      <c r="I1047" s="80">
        <f>+I1045+I1040+I1034</f>
        <v>1813.1304058758653</v>
      </c>
      <c r="J1047" s="111"/>
    </row>
    <row r="1048" spans="1:10" ht="13.5" thickBot="1">
      <c r="A1048" s="97"/>
      <c r="B1048" s="110" t="str">
        <f>'Unit tariffs'!$B$7</f>
        <v>Administration Levy (Indirect Cost)</v>
      </c>
      <c r="C1048" s="78"/>
      <c r="D1048" s="112">
        <f>'Unit tariffs'!$C$7</f>
        <v>0.1</v>
      </c>
      <c r="E1048" s="78" t="s">
        <v>312</v>
      </c>
      <c r="F1048" s="196">
        <f>+'Unit tariffs'!$F$7</f>
        <v>10000</v>
      </c>
      <c r="G1048" s="80"/>
      <c r="H1048" s="136">
        <v>339.37635506494905</v>
      </c>
      <c r="I1048" s="114">
        <f>IF(I1047*$D1048&gt;='Unit tariffs'!$E$7,'Unit tariffs'!$E$7,I1047*$D1048)</f>
        <v>181.31304058758656</v>
      </c>
      <c r="J1048" s="111"/>
    </row>
    <row r="1049" spans="1:10" ht="13.5" thickTop="1">
      <c r="A1049" s="97"/>
      <c r="B1049" s="110" t="s">
        <v>44</v>
      </c>
      <c r="C1049" s="78"/>
      <c r="D1049" s="78"/>
      <c r="E1049" s="78"/>
      <c r="F1049" s="78"/>
      <c r="G1049" s="80"/>
      <c r="H1049" s="137">
        <v>1612.355931452605</v>
      </c>
      <c r="I1049" s="115">
        <f>SUM(I1047:I1048)</f>
        <v>1994.443446463452</v>
      </c>
      <c r="J1049" s="111"/>
    </row>
    <row r="1050" spans="1:10" ht="12.75">
      <c r="A1050" s="97"/>
      <c r="B1050" s="78"/>
      <c r="C1050" s="78"/>
      <c r="D1050" s="78"/>
      <c r="E1050" s="78"/>
      <c r="F1050" s="78"/>
      <c r="G1050" s="78"/>
      <c r="H1050" s="145"/>
      <c r="I1050" s="78"/>
      <c r="J1050" s="111"/>
    </row>
    <row r="1051" spans="1:10" ht="12.75">
      <c r="A1051" s="97"/>
      <c r="B1051" s="110" t="s">
        <v>45</v>
      </c>
      <c r="C1051" s="78"/>
      <c r="D1051" s="78"/>
      <c r="E1051" s="78"/>
      <c r="F1051" s="78"/>
      <c r="G1051" s="78"/>
      <c r="H1051" s="90">
        <v>1610</v>
      </c>
      <c r="I1051" s="90">
        <f>ROUND(I1049,-1)</f>
        <v>1990</v>
      </c>
      <c r="J1051" s="111"/>
    </row>
    <row r="1052" spans="1:10" ht="12.75">
      <c r="A1052" s="97"/>
      <c r="B1052" s="121"/>
      <c r="C1052" s="121"/>
      <c r="D1052" s="121"/>
      <c r="E1052" s="121"/>
      <c r="F1052" s="121"/>
      <c r="G1052" s="121"/>
      <c r="H1052" s="78"/>
      <c r="I1052" s="80"/>
      <c r="J1052" s="111"/>
    </row>
    <row r="1053" spans="1:10" ht="12.75">
      <c r="A1053" s="97"/>
      <c r="B1053" s="78"/>
      <c r="C1053" s="78"/>
      <c r="D1053" s="78"/>
      <c r="E1053" s="78"/>
      <c r="F1053" s="78"/>
      <c r="G1053" s="78"/>
      <c r="H1053" s="118">
        <v>0.05921052631578947</v>
      </c>
      <c r="I1053" s="118">
        <f>(I1051-H1051)/H1051</f>
        <v>0.2360248447204969</v>
      </c>
      <c r="J1053" s="116"/>
    </row>
    <row r="1054" spans="1:10" ht="13.5" thickBot="1">
      <c r="A1054" s="462"/>
      <c r="B1054" s="78"/>
      <c r="C1054" s="78"/>
      <c r="D1054" s="78"/>
      <c r="E1054" s="78"/>
      <c r="F1054" s="78"/>
      <c r="G1054" s="78"/>
      <c r="H1054" s="130"/>
      <c r="I1054" s="130"/>
      <c r="J1054" s="111"/>
    </row>
    <row r="1055" spans="1:10" ht="13.5" thickTop="1">
      <c r="A1055" s="97"/>
      <c r="B1055" s="127"/>
      <c r="C1055" s="127"/>
      <c r="D1055" s="127"/>
      <c r="E1055" s="127"/>
      <c r="F1055" s="127"/>
      <c r="G1055" s="127"/>
      <c r="H1055" s="78"/>
      <c r="I1055" s="78"/>
      <c r="J1055" s="119"/>
    </row>
    <row r="1056" spans="1:10" ht="12.75">
      <c r="A1056" s="97"/>
      <c r="B1056" s="78"/>
      <c r="C1056" s="78"/>
      <c r="D1056" s="78"/>
      <c r="E1056" s="78"/>
      <c r="F1056" s="78"/>
      <c r="G1056" s="78"/>
      <c r="H1056" s="78"/>
      <c r="I1056" s="78"/>
      <c r="J1056" s="101"/>
    </row>
    <row r="1057" spans="1:10" ht="12.75">
      <c r="A1057" s="97"/>
      <c r="B1057" s="78" t="s">
        <v>1</v>
      </c>
      <c r="C1057" s="78"/>
      <c r="D1057" s="78"/>
      <c r="E1057" s="78"/>
      <c r="F1057" s="78"/>
      <c r="G1057" s="78"/>
      <c r="H1057" s="78"/>
      <c r="I1057" s="78"/>
      <c r="J1057" s="101"/>
    </row>
    <row r="1058" spans="1:10" ht="23.25" customHeight="1">
      <c r="A1058" s="97"/>
      <c r="B1058" s="157" t="s">
        <v>589</v>
      </c>
      <c r="C1058" s="405"/>
      <c r="D1058" s="99"/>
      <c r="E1058" s="99"/>
      <c r="F1058" s="99"/>
      <c r="G1058" s="100"/>
      <c r="H1058" s="78"/>
      <c r="I1058" s="78"/>
      <c r="J1058" s="101"/>
    </row>
    <row r="1059" spans="1:10" ht="12.75">
      <c r="A1059" s="97"/>
      <c r="B1059" s="78"/>
      <c r="C1059" s="78"/>
      <c r="D1059" s="78"/>
      <c r="E1059" s="78"/>
      <c r="F1059" s="78"/>
      <c r="G1059" s="78"/>
      <c r="H1059" s="109" t="str">
        <f>+H$11</f>
        <v>2020/2021</v>
      </c>
      <c r="I1059" s="109" t="str">
        <f>+'Unit tariffs'!$F$11</f>
        <v>2021/2022</v>
      </c>
      <c r="J1059" s="464"/>
    </row>
    <row r="1060" spans="1:10" ht="12.75">
      <c r="A1060" s="97"/>
      <c r="B1060" s="78"/>
      <c r="C1060" s="78"/>
      <c r="D1060" s="78"/>
      <c r="E1060" s="78"/>
      <c r="F1060" s="78"/>
      <c r="G1060" s="78"/>
      <c r="H1060" s="78"/>
      <c r="I1060" s="78"/>
      <c r="J1060" s="101"/>
    </row>
    <row r="1061" spans="1:10" ht="12.75">
      <c r="A1061" s="97"/>
      <c r="B1061" s="110" t="s">
        <v>41</v>
      </c>
      <c r="C1061" s="78"/>
      <c r="D1061" s="78"/>
      <c r="E1061" s="78"/>
      <c r="F1061" s="78"/>
      <c r="G1061" s="78"/>
      <c r="H1061" s="145"/>
      <c r="I1061" s="78"/>
      <c r="J1061" s="464"/>
    </row>
    <row r="1062" spans="1:10" ht="12.75">
      <c r="A1062" s="97"/>
      <c r="B1062" s="78"/>
      <c r="C1062" s="78"/>
      <c r="D1062" s="78"/>
      <c r="E1062" s="78"/>
      <c r="F1062" s="78"/>
      <c r="G1062" s="78"/>
      <c r="H1062" s="145"/>
      <c r="I1062" s="78"/>
      <c r="J1062" s="458" t="s">
        <v>315</v>
      </c>
    </row>
    <row r="1063" spans="1:10" ht="12.75">
      <c r="A1063" s="97"/>
      <c r="B1063" s="78">
        <v>0</v>
      </c>
      <c r="C1063" s="91" t="str">
        <f>'Unit tariffs'!B35</f>
        <v>Prepaid meter (Split) 3 phase - </v>
      </c>
      <c r="D1063" s="78"/>
      <c r="E1063" s="78"/>
      <c r="F1063" s="78"/>
      <c r="G1063" s="78"/>
      <c r="H1063" s="80">
        <v>6745.069568999999</v>
      </c>
      <c r="I1063" s="199">
        <f>VLOOKUP($C1063,'Unit tariffs'!$B$21:$F$122,5,FALSE)*$B1063</f>
        <v>0</v>
      </c>
      <c r="J1063" s="471" t="e">
        <f>IF(+I1063*'Unit tariffs'!#REF!&gt;'Unit tariffs'!#REF!,'Unit tariffs'!#REF!,+I1063*'Unit tariffs'!#REF!)</f>
        <v>#REF!</v>
      </c>
    </row>
    <row r="1064" spans="1:10" ht="12.75">
      <c r="A1064" s="97"/>
      <c r="B1064" s="78">
        <v>1</v>
      </c>
      <c r="C1064" s="78" t="str">
        <f>'Unit tariffs'!B21</f>
        <v>Installation material</v>
      </c>
      <c r="D1064" s="78"/>
      <c r="E1064" s="78"/>
      <c r="F1064" s="78"/>
      <c r="G1064" s="78"/>
      <c r="H1064" s="87">
        <v>113.6449785</v>
      </c>
      <c r="I1064" s="87">
        <f>VLOOKUP($C1064,'Unit tariffs'!$B$21:$F$122,5,FALSE)*$B1064</f>
        <v>260.5</v>
      </c>
      <c r="J1064" s="471" t="e">
        <f>IF(+I1064*'Unit tariffs'!#REF!&gt;'Unit tariffs'!#REF!,'Unit tariffs'!#REF!,+I1064*'Unit tariffs'!#REF!)</f>
        <v>#REF!</v>
      </c>
    </row>
    <row r="1065" spans="1:10" ht="12.75">
      <c r="A1065" s="97"/>
      <c r="B1065" s="78"/>
      <c r="C1065" s="78"/>
      <c r="D1065" s="78"/>
      <c r="E1065" s="78"/>
      <c r="F1065" s="78"/>
      <c r="G1065" s="80"/>
      <c r="H1065" s="80">
        <v>6858.7145475</v>
      </c>
      <c r="I1065" s="80">
        <f>SUM(I1063:I1064)</f>
        <v>260.5</v>
      </c>
      <c r="J1065" s="101"/>
    </row>
    <row r="1066" spans="1:10" ht="12.75">
      <c r="A1066" s="97"/>
      <c r="B1066" s="110" t="s">
        <v>42</v>
      </c>
      <c r="C1066" s="78"/>
      <c r="D1066" s="78"/>
      <c r="E1066" s="78"/>
      <c r="F1066" s="78"/>
      <c r="G1066" s="78"/>
      <c r="H1066" s="78"/>
      <c r="I1066" s="78"/>
      <c r="J1066" s="101"/>
    </row>
    <row r="1067" spans="1:10" ht="12.75">
      <c r="A1067" s="97"/>
      <c r="B1067" s="78"/>
      <c r="C1067" s="78"/>
      <c r="D1067" s="78"/>
      <c r="E1067" s="78"/>
      <c r="F1067" s="78"/>
      <c r="G1067" s="78"/>
      <c r="H1067" s="78"/>
      <c r="I1067" s="78"/>
      <c r="J1067" s="111"/>
    </row>
    <row r="1068" spans="1:10" ht="12.75">
      <c r="A1068" s="97"/>
      <c r="B1068" s="78">
        <v>1</v>
      </c>
      <c r="C1068" s="78" t="str">
        <f>'Unit tariffs'!B$86</f>
        <v>hour-artisan </v>
      </c>
      <c r="D1068" s="78"/>
      <c r="E1068" s="78"/>
      <c r="F1068" s="78"/>
      <c r="G1068" s="78"/>
      <c r="H1068" s="80">
        <v>180.05873256334615</v>
      </c>
      <c r="I1068" s="80">
        <f>VLOOKUP($C1068,'Unit tariffs'!$B$21:$F$122,5,FALSE)*$B1068</f>
        <v>322.85223173076923</v>
      </c>
      <c r="J1068" s="111"/>
    </row>
    <row r="1069" spans="1:10" ht="12.75">
      <c r="A1069" s="97"/>
      <c r="B1069" s="78">
        <v>2</v>
      </c>
      <c r="C1069" s="78" t="str">
        <f>'Unit tariffs'!B$84</f>
        <v>hour-artisan assistant</v>
      </c>
      <c r="D1069" s="78"/>
      <c r="E1069" s="78"/>
      <c r="F1069" s="78"/>
      <c r="G1069" s="78"/>
      <c r="H1069" s="87">
        <v>159.20611184686155</v>
      </c>
      <c r="I1069" s="87">
        <f>VLOOKUP($C1069,'Unit tariffs'!$B$21:$F$122,5,FALSE)*$B1069</f>
        <v>257.0716153846154</v>
      </c>
      <c r="J1069" s="111"/>
    </row>
    <row r="1070" spans="1:10" ht="12.75">
      <c r="A1070" s="97"/>
      <c r="B1070" s="78"/>
      <c r="C1070" s="78"/>
      <c r="D1070" s="78"/>
      <c r="E1070" s="78"/>
      <c r="F1070" s="78"/>
      <c r="G1070" s="78"/>
      <c r="H1070" s="80">
        <v>339.26484441020773</v>
      </c>
      <c r="I1070" s="80">
        <f>SUM(I1068:I1069)</f>
        <v>579.9238471153847</v>
      </c>
      <c r="J1070" s="111"/>
    </row>
    <row r="1071" spans="1:10" ht="12.75">
      <c r="A1071" s="97"/>
      <c r="B1071" s="110" t="s">
        <v>43</v>
      </c>
      <c r="C1071" s="78"/>
      <c r="D1071" s="78"/>
      <c r="E1071" s="78"/>
      <c r="F1071" s="78"/>
      <c r="G1071" s="78"/>
      <c r="H1071" s="78"/>
      <c r="I1071" s="78"/>
      <c r="J1071" s="111"/>
    </row>
    <row r="1072" spans="1:10" ht="12.75">
      <c r="A1072" s="97"/>
      <c r="B1072" s="78"/>
      <c r="C1072" s="78"/>
      <c r="D1072" s="78"/>
      <c r="E1072" s="78"/>
      <c r="F1072" s="78"/>
      <c r="G1072" s="78"/>
      <c r="H1072" s="78"/>
      <c r="I1072" s="78"/>
      <c r="J1072" s="111"/>
    </row>
    <row r="1073" spans="1:10" ht="12.75">
      <c r="A1073" s="97"/>
      <c r="B1073" s="78">
        <v>14</v>
      </c>
      <c r="C1073" s="78" t="str">
        <f>'Unit tariffs'!B$110</f>
        <v>km-truck with platform</v>
      </c>
      <c r="D1073" s="78"/>
      <c r="E1073" s="78"/>
      <c r="F1073" s="78"/>
      <c r="G1073" s="78"/>
      <c r="H1073" s="80">
        <v>454.5196728800001</v>
      </c>
      <c r="I1073" s="80">
        <f>VLOOKUP($C1073,'Unit tariffs'!$B$21:$F$122,5,FALSE)*$B1073</f>
        <v>565.9184728029085</v>
      </c>
      <c r="J1073" s="111"/>
    </row>
    <row r="1074" spans="1:10" ht="12.75">
      <c r="A1074" s="97"/>
      <c r="B1074" s="78">
        <v>1</v>
      </c>
      <c r="C1074" s="78" t="str">
        <f>'Unit tariffs'!B$111</f>
        <v>hour-truck with platform</v>
      </c>
      <c r="D1074" s="78"/>
      <c r="E1074" s="78"/>
      <c r="F1074" s="78"/>
      <c r="G1074" s="78"/>
      <c r="H1074" s="87">
        <v>167.61251000000001</v>
      </c>
      <c r="I1074" s="80">
        <f>VLOOKUP($C1074,'Unit tariffs'!$B$21:$F$122,5,FALSE)*$B1074</f>
        <v>196.72208955055</v>
      </c>
      <c r="J1074" s="101"/>
    </row>
    <row r="1075" spans="1:10" ht="12.75">
      <c r="A1075" s="97"/>
      <c r="B1075" s="78"/>
      <c r="C1075" s="78"/>
      <c r="D1075" s="78"/>
      <c r="E1075" s="78"/>
      <c r="F1075" s="78"/>
      <c r="G1075" s="78"/>
      <c r="H1075" s="146">
        <v>622.1321828800001</v>
      </c>
      <c r="I1075" s="146">
        <f>SUM(I1073:I1074)</f>
        <v>762.6405623534584</v>
      </c>
      <c r="J1075" s="101"/>
    </row>
    <row r="1076" spans="1:10" ht="13.5" thickBot="1">
      <c r="A1076" s="97"/>
      <c r="B1076" s="110"/>
      <c r="C1076" s="78"/>
      <c r="D1076" s="112"/>
      <c r="E1076" s="78"/>
      <c r="F1076" s="78"/>
      <c r="G1076" s="78"/>
      <c r="H1076" s="114"/>
      <c r="I1076" s="114"/>
      <c r="J1076" s="111"/>
    </row>
    <row r="1077" spans="1:10" ht="13.5" thickTop="1">
      <c r="A1077" s="97"/>
      <c r="B1077" s="78"/>
      <c r="C1077" s="78"/>
      <c r="D1077" s="78"/>
      <c r="E1077" s="78"/>
      <c r="F1077" s="78"/>
      <c r="G1077" s="80"/>
      <c r="H1077" s="80">
        <v>7820.111574790208</v>
      </c>
      <c r="I1077" s="80">
        <f>I1075+I1070+I1065</f>
        <v>1603.0644094688432</v>
      </c>
      <c r="J1077" s="111"/>
    </row>
    <row r="1078" spans="1:10" ht="13.5" thickBot="1">
      <c r="A1078" s="97"/>
      <c r="B1078" s="110" t="str">
        <f>'Unit tariffs'!$B$7</f>
        <v>Administration Levy (Indirect Cost)</v>
      </c>
      <c r="C1078" s="78"/>
      <c r="D1078" s="112">
        <f>'Unit tariffs'!$C$7</f>
        <v>0.1</v>
      </c>
      <c r="E1078" s="78" t="s">
        <v>312</v>
      </c>
      <c r="F1078" s="196">
        <f>+'Unit tariffs'!$F$7</f>
        <v>10000</v>
      </c>
      <c r="G1078" s="80"/>
      <c r="H1078" s="114">
        <v>2084.8417458390695</v>
      </c>
      <c r="I1078" s="114">
        <f>IF(I1077*$D1078&gt;='Unit tariffs'!$E$7,'Unit tariffs'!$E$7,I1077*$D1078)</f>
        <v>160.30644094688432</v>
      </c>
      <c r="J1078" s="111"/>
    </row>
    <row r="1079" spans="1:10" ht="13.5" thickTop="1">
      <c r="A1079" s="97"/>
      <c r="B1079" s="110" t="s">
        <v>44</v>
      </c>
      <c r="C1079" s="78"/>
      <c r="D1079" s="78"/>
      <c r="E1079" s="78"/>
      <c r="F1079" s="78"/>
      <c r="G1079" s="80"/>
      <c r="H1079" s="115">
        <v>9904.953320629276</v>
      </c>
      <c r="I1079" s="115">
        <f>SUM(I1077:I1078)</f>
        <v>1763.3708504157275</v>
      </c>
      <c r="J1079" s="101"/>
    </row>
    <row r="1080" spans="1:10" ht="12.75">
      <c r="A1080" s="97"/>
      <c r="B1080" s="78"/>
      <c r="C1080" s="78"/>
      <c r="D1080" s="78"/>
      <c r="E1080" s="78"/>
      <c r="F1080" s="78"/>
      <c r="G1080" s="78"/>
      <c r="H1080" s="78"/>
      <c r="I1080" s="78"/>
      <c r="J1080" s="101"/>
    </row>
    <row r="1081" spans="1:10" ht="12.75">
      <c r="A1081" s="97"/>
      <c r="B1081" s="110" t="s">
        <v>45</v>
      </c>
      <c r="C1081" s="78"/>
      <c r="D1081" s="78"/>
      <c r="E1081" s="78"/>
      <c r="F1081" s="78"/>
      <c r="G1081" s="78"/>
      <c r="H1081" s="90">
        <v>9900</v>
      </c>
      <c r="I1081" s="90">
        <f>ROUND(I1079,-1)</f>
        <v>1760</v>
      </c>
      <c r="J1081" s="111"/>
    </row>
    <row r="1082" spans="1:10" ht="12.75">
      <c r="A1082" s="97"/>
      <c r="B1082" s="121"/>
      <c r="C1082" s="121"/>
      <c r="D1082" s="121"/>
      <c r="E1082" s="121"/>
      <c r="F1082" s="121"/>
      <c r="G1082" s="121"/>
      <c r="H1082" s="78"/>
      <c r="I1082" s="209"/>
      <c r="J1082" s="111"/>
    </row>
    <row r="1083" spans="1:10" ht="12.75">
      <c r="A1083" s="97"/>
      <c r="B1083" s="78"/>
      <c r="C1083" s="78"/>
      <c r="D1083" s="78"/>
      <c r="E1083" s="78"/>
      <c r="F1083" s="78"/>
      <c r="G1083" s="78"/>
      <c r="H1083" s="118">
        <v>0.03664921465968586</v>
      </c>
      <c r="I1083" s="118">
        <f>(I1081-H1081)/H1081</f>
        <v>-0.8222222222222222</v>
      </c>
      <c r="J1083" s="111"/>
    </row>
    <row r="1084" spans="1:10" ht="12.75">
      <c r="A1084" s="97"/>
      <c r="B1084" s="78"/>
      <c r="C1084" s="78"/>
      <c r="D1084" s="78"/>
      <c r="E1084" s="78"/>
      <c r="F1084" s="78"/>
      <c r="G1084" s="78"/>
      <c r="H1084" s="78"/>
      <c r="I1084" s="78"/>
      <c r="J1084" s="111"/>
    </row>
    <row r="1085" spans="1:10" ht="12.75">
      <c r="A1085" s="97"/>
      <c r="B1085" s="78"/>
      <c r="C1085" s="78"/>
      <c r="D1085" s="78"/>
      <c r="E1085" s="78"/>
      <c r="F1085" s="78"/>
      <c r="G1085" s="78"/>
      <c r="H1085" s="78"/>
      <c r="I1085" s="78"/>
      <c r="J1085" s="111"/>
    </row>
    <row r="1086" spans="1:10" ht="12.75">
      <c r="A1086" s="97"/>
      <c r="B1086" s="78"/>
      <c r="C1086" s="78"/>
      <c r="D1086" s="78"/>
      <c r="E1086" s="78"/>
      <c r="F1086" s="78"/>
      <c r="G1086" s="78"/>
      <c r="H1086" s="78"/>
      <c r="I1086" s="78"/>
      <c r="J1086" s="111"/>
    </row>
    <row r="1087" spans="1:10" ht="12.75">
      <c r="A1087" s="97"/>
      <c r="B1087" s="98" t="s">
        <v>590</v>
      </c>
      <c r="C1087" s="99"/>
      <c r="D1087" s="99"/>
      <c r="E1087" s="99"/>
      <c r="F1087" s="99"/>
      <c r="G1087" s="100"/>
      <c r="H1087" s="78"/>
      <c r="I1087" s="141" t="s">
        <v>232</v>
      </c>
      <c r="J1087" s="111"/>
    </row>
    <row r="1088" spans="1:10" ht="12.75">
      <c r="A1088" s="97"/>
      <c r="B1088" s="78"/>
      <c r="C1088" s="78"/>
      <c r="D1088" s="78"/>
      <c r="E1088" s="78"/>
      <c r="F1088" s="78"/>
      <c r="G1088" s="78"/>
      <c r="H1088" s="109" t="str">
        <f>+H$11</f>
        <v>2020/2021</v>
      </c>
      <c r="I1088" s="109" t="str">
        <f>+'Unit tariffs'!$F$11</f>
        <v>2021/2022</v>
      </c>
      <c r="J1088" s="111"/>
    </row>
    <row r="1089" spans="1:11" ht="12.75">
      <c r="A1089" s="97"/>
      <c r="B1089" s="78"/>
      <c r="C1089" s="78"/>
      <c r="D1089" s="78"/>
      <c r="E1089" s="78"/>
      <c r="F1089" s="78"/>
      <c r="G1089" s="78"/>
      <c r="H1089" s="78"/>
      <c r="I1089" s="78"/>
      <c r="J1089" s="116"/>
      <c r="K1089" s="117"/>
    </row>
    <row r="1090" spans="1:10" ht="13.5">
      <c r="A1090" s="97"/>
      <c r="B1090" s="110" t="s">
        <v>117</v>
      </c>
      <c r="C1090" s="78"/>
      <c r="D1090" s="78"/>
      <c r="E1090" s="78"/>
      <c r="F1090" s="78"/>
      <c r="G1090" s="78"/>
      <c r="H1090" s="144"/>
      <c r="I1090" s="134"/>
      <c r="J1090" s="111"/>
    </row>
    <row r="1091" spans="1:10" ht="12.75">
      <c r="A1091" s="97"/>
      <c r="B1091" s="78" t="s">
        <v>118</v>
      </c>
      <c r="C1091" s="78"/>
      <c r="D1091" s="78"/>
      <c r="E1091" s="78"/>
      <c r="F1091" s="78"/>
      <c r="G1091" s="78"/>
      <c r="H1091" s="145"/>
      <c r="I1091" s="134"/>
      <c r="J1091" s="119"/>
    </row>
    <row r="1092" spans="1:10" ht="12.75">
      <c r="A1092" s="97"/>
      <c r="B1092" s="78">
        <v>2.5</v>
      </c>
      <c r="C1092" s="78" t="str">
        <f>'Unit tariffs'!B$130</f>
        <v>Primary Backbone - Urban</v>
      </c>
      <c r="D1092" s="78"/>
      <c r="E1092" s="78"/>
      <c r="F1092" s="78" t="str">
        <f>'Unit tariffs'!C$130</f>
        <v>per kVA</v>
      </c>
      <c r="G1092" s="78"/>
      <c r="H1092" s="80">
        <v>2318.042474220001</v>
      </c>
      <c r="I1092" s="80">
        <f>VLOOKUP($C1092,'Unit tariffs'!$B$21:$F$157,5,FALSE)*$B1092</f>
        <v>2887.3350000000005</v>
      </c>
      <c r="J1092" s="101"/>
    </row>
    <row r="1093" spans="1:10" ht="12.75">
      <c r="A1093" s="97"/>
      <c r="B1093" s="78">
        <v>2.5</v>
      </c>
      <c r="C1093" s="78" t="str">
        <f>'Unit tariffs'!B$132</f>
        <v>Secondary Backbone - LV Urban</v>
      </c>
      <c r="D1093" s="78"/>
      <c r="E1093" s="78"/>
      <c r="F1093" s="78" t="str">
        <f>'Unit tariffs'!C$131</f>
        <v>per kVA</v>
      </c>
      <c r="G1093" s="78"/>
      <c r="H1093" s="80">
        <v>1996.3567910550007</v>
      </c>
      <c r="I1093" s="80">
        <f>VLOOKUP($C1093,'Unit tariffs'!$B$21:$F$157,5,FALSE)*$B1093</f>
        <v>2486.6325</v>
      </c>
      <c r="J1093" s="101"/>
    </row>
    <row r="1094" spans="1:10" ht="12.75">
      <c r="A1094" s="97"/>
      <c r="B1094" s="78">
        <v>2.5</v>
      </c>
      <c r="C1094" s="78" t="str">
        <f>'Unit tariffs'!B$133</f>
        <v>LV Backbone -Urban</v>
      </c>
      <c r="D1094" s="78"/>
      <c r="E1094" s="78"/>
      <c r="F1094" s="78" t="str">
        <f>'Unit tariffs'!C$132</f>
        <v>per kVA</v>
      </c>
      <c r="G1094" s="78"/>
      <c r="H1094" s="87">
        <v>830.4361291050004</v>
      </c>
      <c r="I1094" s="87">
        <f>VLOOKUP($C1094,'Unit tariffs'!$B$21:$F$157,5,FALSE)*$B1094</f>
        <v>1034.385</v>
      </c>
      <c r="J1094" s="101"/>
    </row>
    <row r="1095" spans="1:10" ht="19.5" customHeight="1">
      <c r="A1095" s="97"/>
      <c r="B1095" s="78"/>
      <c r="C1095" s="78"/>
      <c r="D1095" s="78"/>
      <c r="E1095" s="78"/>
      <c r="F1095" s="78"/>
      <c r="G1095" s="78"/>
      <c r="H1095" s="80">
        <v>5144.835394380003</v>
      </c>
      <c r="I1095" s="80">
        <f>SUM(I1092:I1094)</f>
        <v>6408.352500000001</v>
      </c>
      <c r="J1095" s="101"/>
    </row>
    <row r="1096" spans="1:10" ht="12.75">
      <c r="A1096" s="97"/>
      <c r="B1096" s="110" t="s">
        <v>41</v>
      </c>
      <c r="C1096" s="78"/>
      <c r="D1096" s="78"/>
      <c r="E1096" s="78"/>
      <c r="F1096" s="78"/>
      <c r="G1096" s="78"/>
      <c r="H1096" s="78"/>
      <c r="I1096" s="78"/>
      <c r="J1096" s="122"/>
    </row>
    <row r="1097" spans="1:10" ht="12.75">
      <c r="A1097" s="97"/>
      <c r="B1097" s="78"/>
      <c r="C1097" s="78"/>
      <c r="D1097" s="78"/>
      <c r="E1097" s="78"/>
      <c r="F1097" s="78"/>
      <c r="G1097" s="78"/>
      <c r="H1097" s="78"/>
      <c r="I1097" s="78"/>
      <c r="J1097" s="458" t="s">
        <v>315</v>
      </c>
    </row>
    <row r="1098" spans="1:10" ht="12.75">
      <c r="A1098" s="97"/>
      <c r="B1098" s="78">
        <v>1</v>
      </c>
      <c r="C1098" s="78" t="str">
        <f>'Unit tariffs'!B45</f>
        <v>METER: TIME OF USE 100 AMP</v>
      </c>
      <c r="D1098" s="78"/>
      <c r="E1098" s="78"/>
      <c r="F1098" s="91"/>
      <c r="G1098" s="121"/>
      <c r="H1098" s="80">
        <v>4588.4827</v>
      </c>
      <c r="I1098" s="80">
        <f>VLOOKUP($C1098,'Unit tariffs'!$B$21:$F$122,5,FALSE)*$B1098</f>
        <v>5314.91420764</v>
      </c>
      <c r="J1098" s="471" t="e">
        <f>IF(+I1098*'Unit tariffs'!#REF!&gt;'Unit tariffs'!#REF!,'Unit tariffs'!#REF!,+I1098*'Unit tariffs'!#REF!)</f>
        <v>#REF!</v>
      </c>
    </row>
    <row r="1099" spans="1:10" ht="12.75">
      <c r="A1099" s="97"/>
      <c r="B1099" s="78">
        <v>1</v>
      </c>
      <c r="C1099" s="78" t="s">
        <v>230</v>
      </c>
      <c r="D1099" s="78"/>
      <c r="E1099" s="78"/>
      <c r="F1099" s="78"/>
      <c r="G1099" s="78"/>
      <c r="H1099" s="80">
        <v>3414.6847999999995</v>
      </c>
      <c r="I1099" s="80">
        <f>VLOOKUP($C1099,'Unit tariffs'!$B$21:$F$122,5,FALSE)*$B1099</f>
        <v>3558.1015615999995</v>
      </c>
      <c r="J1099" s="471" t="e">
        <f>IF(+I1099*'Unit tariffs'!#REF!&gt;'Unit tariffs'!#REF!,'Unit tariffs'!#REF!,+I1099*'Unit tariffs'!#REF!)</f>
        <v>#REF!</v>
      </c>
    </row>
    <row r="1100" spans="1:10" ht="12.75">
      <c r="A1100" s="97"/>
      <c r="B1100" s="78">
        <v>3</v>
      </c>
      <c r="C1100" s="78" t="str">
        <f>'Unit tariffs'!B42</f>
        <v>x 80 A circuit breaker (5kA) - Orange</v>
      </c>
      <c r="D1100" s="78"/>
      <c r="E1100" s="78"/>
      <c r="F1100" s="78"/>
      <c r="G1100" s="78"/>
      <c r="H1100" s="80">
        <v>541.0141229999999</v>
      </c>
      <c r="I1100" s="80">
        <f>VLOOKUP($C1100,'Unit tariffs'!$B$21:$F$122,5,FALSE)*$B1100</f>
        <v>563.736716166</v>
      </c>
      <c r="J1100" s="471" t="e">
        <f>IF(+I1100*'Unit tariffs'!#REF!&gt;'Unit tariffs'!#REF!,'Unit tariffs'!#REF!,+I1100*'Unit tariffs'!#REF!)</f>
        <v>#REF!</v>
      </c>
    </row>
    <row r="1101" spans="1:10" ht="12.75">
      <c r="A1101" s="97"/>
      <c r="B1101" s="78">
        <v>1</v>
      </c>
      <c r="C1101" s="78" t="str">
        <f>'Unit tariffs'!B71</f>
        <v>Cable clamp (Clampex) - K26</v>
      </c>
      <c r="D1101" s="78"/>
      <c r="E1101" s="78"/>
      <c r="F1101" s="78"/>
      <c r="G1101" s="78"/>
      <c r="H1101" s="80">
        <v>32.08197743055</v>
      </c>
      <c r="I1101" s="80">
        <f>VLOOKUP($C1101,'Unit tariffs'!$B$21:$F$122,5,FALSE)*$B1101</f>
        <v>33.4294204826331</v>
      </c>
      <c r="J1101" s="471" t="e">
        <f>IF(+I1101*'Unit tariffs'!#REF!&gt;'Unit tariffs'!#REF!,'Unit tariffs'!#REF!,+I1101*'Unit tariffs'!#REF!)</f>
        <v>#REF!</v>
      </c>
    </row>
    <row r="1102" spans="1:10" ht="12.75">
      <c r="A1102" s="97"/>
      <c r="B1102" s="78">
        <v>1</v>
      </c>
      <c r="C1102" s="78" t="str">
        <f>'Unit tariffs'!B21</f>
        <v>Installation material</v>
      </c>
      <c r="D1102" s="78"/>
      <c r="E1102" s="78"/>
      <c r="F1102" s="78"/>
      <c r="G1102" s="78"/>
      <c r="H1102" s="87">
        <v>113.6449785</v>
      </c>
      <c r="I1102" s="87">
        <f>VLOOKUP($C1102,'Unit tariffs'!$B$21:$F$122,5,FALSE)*$B1102</f>
        <v>260.5</v>
      </c>
      <c r="J1102" s="471" t="e">
        <f>IF(+I1102*'Unit tariffs'!#REF!&gt;'Unit tariffs'!#REF!,'Unit tariffs'!#REF!,+I1102*'Unit tariffs'!#REF!)</f>
        <v>#REF!</v>
      </c>
    </row>
    <row r="1103" spans="1:10" ht="12.75">
      <c r="A1103" s="97"/>
      <c r="B1103" s="78"/>
      <c r="C1103" s="78"/>
      <c r="D1103" s="78"/>
      <c r="E1103" s="78"/>
      <c r="F1103" s="78"/>
      <c r="G1103" s="80"/>
      <c r="H1103" s="80">
        <v>8689.90857893055</v>
      </c>
      <c r="I1103" s="80">
        <f>SUM(I1098:I1102)</f>
        <v>9730.681905888632</v>
      </c>
      <c r="J1103" s="461"/>
    </row>
    <row r="1104" spans="1:10" ht="12.75">
      <c r="A1104" s="97"/>
      <c r="B1104" s="110" t="s">
        <v>42</v>
      </c>
      <c r="C1104" s="78"/>
      <c r="D1104" s="78"/>
      <c r="E1104" s="78"/>
      <c r="F1104" s="78"/>
      <c r="G1104" s="78"/>
      <c r="H1104" s="78"/>
      <c r="I1104" s="78"/>
      <c r="J1104" s="461"/>
    </row>
    <row r="1105" spans="1:10" ht="12.75">
      <c r="A1105" s="97"/>
      <c r="B1105" s="78"/>
      <c r="C1105" s="78"/>
      <c r="D1105" s="78"/>
      <c r="E1105" s="78"/>
      <c r="F1105" s="78"/>
      <c r="G1105" s="78"/>
      <c r="H1105" s="78"/>
      <c r="I1105" s="78"/>
      <c r="J1105" s="461"/>
    </row>
    <row r="1106" spans="1:10" ht="12.75">
      <c r="A1106" s="97"/>
      <c r="B1106" s="78">
        <v>1</v>
      </c>
      <c r="C1106" s="78" t="str">
        <f>'Unit tariffs'!B$86</f>
        <v>hour-artisan </v>
      </c>
      <c r="D1106" s="78"/>
      <c r="E1106" s="78"/>
      <c r="F1106" s="78"/>
      <c r="G1106" s="78"/>
      <c r="H1106" s="80">
        <v>180.05873256334615</v>
      </c>
      <c r="I1106" s="80">
        <f>VLOOKUP($C1106,'Unit tariffs'!$B$21:$F$122,5,FALSE)*$B1106</f>
        <v>322.85223173076923</v>
      </c>
      <c r="J1106" s="461"/>
    </row>
    <row r="1107" spans="1:10" ht="12.75">
      <c r="A1107" s="97"/>
      <c r="B1107" s="78">
        <v>4</v>
      </c>
      <c r="C1107" s="78" t="str">
        <f>'Unit tariffs'!B$84</f>
        <v>hour-artisan assistant</v>
      </c>
      <c r="D1107" s="78"/>
      <c r="E1107" s="78"/>
      <c r="F1107" s="78"/>
      <c r="G1107" s="78"/>
      <c r="H1107" s="87">
        <v>318.4122236937231</v>
      </c>
      <c r="I1107" s="87">
        <f>VLOOKUP($C1107,'Unit tariffs'!$B$21:$F$122,5,FALSE)*$B1107</f>
        <v>514.1432307692309</v>
      </c>
      <c r="J1107" s="461"/>
    </row>
    <row r="1108" spans="1:10" ht="12.75">
      <c r="A1108" s="97"/>
      <c r="B1108" s="78"/>
      <c r="C1108" s="78"/>
      <c r="D1108" s="78"/>
      <c r="E1108" s="78"/>
      <c r="F1108" s="78"/>
      <c r="G1108" s="78"/>
      <c r="H1108" s="80">
        <v>498.47095625706925</v>
      </c>
      <c r="I1108" s="80">
        <f>SUM(I1106:I1107)</f>
        <v>836.9954625</v>
      </c>
      <c r="J1108" s="111"/>
    </row>
    <row r="1109" spans="1:10" ht="12.75">
      <c r="A1109" s="97"/>
      <c r="B1109" s="110" t="s">
        <v>43</v>
      </c>
      <c r="C1109" s="78"/>
      <c r="D1109" s="78"/>
      <c r="E1109" s="78"/>
      <c r="F1109" s="78"/>
      <c r="G1109" s="78"/>
      <c r="H1109" s="78"/>
      <c r="I1109" s="78"/>
      <c r="J1109" s="111"/>
    </row>
    <row r="1110" spans="1:10" ht="12.75">
      <c r="A1110" s="97"/>
      <c r="B1110" s="78"/>
      <c r="C1110" s="78"/>
      <c r="D1110" s="78"/>
      <c r="E1110" s="78"/>
      <c r="F1110" s="78"/>
      <c r="G1110" s="78"/>
      <c r="H1110" s="78"/>
      <c r="I1110" s="78"/>
      <c r="J1110" s="111"/>
    </row>
    <row r="1111" spans="1:10" ht="12.75">
      <c r="A1111" s="97"/>
      <c r="B1111" s="78">
        <v>28</v>
      </c>
      <c r="C1111" s="78" t="str">
        <f>'Unit tariffs'!B$110</f>
        <v>km-truck with platform</v>
      </c>
      <c r="D1111" s="78"/>
      <c r="E1111" s="78"/>
      <c r="F1111" s="78"/>
      <c r="G1111" s="78"/>
      <c r="H1111" s="80">
        <v>909.0393457600002</v>
      </c>
      <c r="I1111" s="80">
        <f>VLOOKUP($C1111,'Unit tariffs'!$B$21:$F$122,5,FALSE)*$B1111</f>
        <v>1131.836945605817</v>
      </c>
      <c r="J1111" s="101"/>
    </row>
    <row r="1112" spans="1:10" ht="12.75">
      <c r="A1112" s="97"/>
      <c r="B1112" s="78">
        <v>1</v>
      </c>
      <c r="C1112" s="78" t="str">
        <f>'Unit tariffs'!B$111</f>
        <v>hour-truck with platform</v>
      </c>
      <c r="D1112" s="78"/>
      <c r="E1112" s="78"/>
      <c r="F1112" s="78"/>
      <c r="G1112" s="78"/>
      <c r="H1112" s="87">
        <v>167.61251000000001</v>
      </c>
      <c r="I1112" s="87">
        <f>VLOOKUP($C1112,'Unit tariffs'!$B$21:$F$122,5,FALSE)*$B1112</f>
        <v>196.72208955055</v>
      </c>
      <c r="J1112" s="101"/>
    </row>
    <row r="1113" spans="1:10" ht="12.75">
      <c r="A1113" s="97"/>
      <c r="B1113" s="78"/>
      <c r="C1113" s="78"/>
      <c r="D1113" s="78"/>
      <c r="E1113" s="78"/>
      <c r="F1113" s="78"/>
      <c r="G1113" s="78"/>
      <c r="H1113" s="80">
        <v>1076.6518557600002</v>
      </c>
      <c r="I1113" s="80">
        <f>SUM(I1111:I1112)</f>
        <v>1328.559035156367</v>
      </c>
      <c r="J1113" s="111"/>
    </row>
    <row r="1114" spans="1:10" ht="13.5" thickBot="1">
      <c r="A1114" s="97"/>
      <c r="B1114" s="78"/>
      <c r="C1114" s="78"/>
      <c r="D1114" s="78"/>
      <c r="E1114" s="78"/>
      <c r="F1114" s="78"/>
      <c r="G1114" s="78"/>
      <c r="H1114" s="114"/>
      <c r="I1114" s="114"/>
      <c r="J1114" s="111"/>
    </row>
    <row r="1115" spans="1:10" ht="13.5" thickTop="1">
      <c r="A1115" s="97"/>
      <c r="B1115" s="78"/>
      <c r="C1115" s="78"/>
      <c r="D1115" s="78"/>
      <c r="E1115" s="78"/>
      <c r="F1115" s="78"/>
      <c r="G1115" s="80"/>
      <c r="H1115" s="80">
        <v>15409.866785327622</v>
      </c>
      <c r="I1115" s="80">
        <f>I1113+I1108+I1103+I1095</f>
        <v>18304.588903545</v>
      </c>
      <c r="J1115" s="111"/>
    </row>
    <row r="1116" spans="1:10" ht="13.5" thickBot="1">
      <c r="A1116" s="97"/>
      <c r="B1116" s="110" t="str">
        <f>'Unit tariffs'!$B$7</f>
        <v>Administration Levy (Indirect Cost)</v>
      </c>
      <c r="C1116" s="78"/>
      <c r="D1116" s="112">
        <f>'Unit tariffs'!$C$7</f>
        <v>0.1</v>
      </c>
      <c r="E1116" s="78" t="s">
        <v>312</v>
      </c>
      <c r="F1116" s="196">
        <f>+'Unit tariffs'!$F$7</f>
        <v>10000</v>
      </c>
      <c r="G1116" s="80"/>
      <c r="H1116" s="114">
        <v>4108.270484968344</v>
      </c>
      <c r="I1116" s="114">
        <f>IF(I1115*$D1116&gt;='Unit tariffs'!$E$7,'Unit tariffs'!$E$7,I1115*$D1116)</f>
        <v>1830.4588903545002</v>
      </c>
      <c r="J1116" s="101"/>
    </row>
    <row r="1117" spans="1:10" ht="13.5" thickTop="1">
      <c r="A1117" s="97"/>
      <c r="B1117" s="110" t="s">
        <v>44</v>
      </c>
      <c r="C1117" s="78"/>
      <c r="D1117" s="78"/>
      <c r="E1117" s="78"/>
      <c r="F1117" s="78"/>
      <c r="G1117" s="80"/>
      <c r="H1117" s="115">
        <v>19518.137270295967</v>
      </c>
      <c r="I1117" s="115">
        <f>SUM(I1115:I1116)</f>
        <v>20135.047793899503</v>
      </c>
      <c r="J1117" s="101"/>
    </row>
    <row r="1118" spans="1:10" ht="12.75">
      <c r="A1118" s="97"/>
      <c r="B1118" s="110"/>
      <c r="C1118" s="78"/>
      <c r="D1118" s="78"/>
      <c r="E1118" s="78"/>
      <c r="F1118" s="78"/>
      <c r="G1118" s="80"/>
      <c r="H1118" s="80"/>
      <c r="I1118" s="80"/>
      <c r="J1118" s="111"/>
    </row>
    <row r="1119" spans="1:10" ht="12.75">
      <c r="A1119" s="97"/>
      <c r="B1119" s="110" t="s">
        <v>45</v>
      </c>
      <c r="C1119" s="78"/>
      <c r="D1119" s="78"/>
      <c r="E1119" s="78"/>
      <c r="F1119" s="78"/>
      <c r="G1119" s="78"/>
      <c r="H1119" s="90">
        <v>19520</v>
      </c>
      <c r="I1119" s="90">
        <f>ROUND(I1117,-1)</f>
        <v>20140</v>
      </c>
      <c r="J1119" s="111"/>
    </row>
    <row r="1120" spans="1:10" ht="12.75">
      <c r="A1120" s="97"/>
      <c r="B1120" s="121"/>
      <c r="C1120" s="121"/>
      <c r="D1120" s="121"/>
      <c r="E1120" s="121"/>
      <c r="F1120" s="121"/>
      <c r="G1120" s="121"/>
      <c r="H1120" s="78"/>
      <c r="I1120" s="80"/>
      <c r="J1120" s="111"/>
    </row>
    <row r="1121" spans="1:10" ht="12.75">
      <c r="A1121" s="97"/>
      <c r="B1121" s="78"/>
      <c r="C1121" s="78"/>
      <c r="D1121" s="78"/>
      <c r="E1121" s="78"/>
      <c r="F1121" s="78"/>
      <c r="G1121" s="78"/>
      <c r="H1121" s="118">
        <v>0.05799457994579946</v>
      </c>
      <c r="I1121" s="118">
        <f>(I1119-H1119)/H1119</f>
        <v>0.031762295081967214</v>
      </c>
      <c r="J1121" s="111"/>
    </row>
    <row r="1122" spans="1:10" ht="12.75">
      <c r="A1122" s="97"/>
      <c r="B1122" s="78"/>
      <c r="C1122" s="78"/>
      <c r="D1122" s="78"/>
      <c r="E1122" s="78"/>
      <c r="F1122" s="78"/>
      <c r="G1122" s="78"/>
      <c r="H1122" s="78"/>
      <c r="I1122" s="78"/>
      <c r="J1122" s="111"/>
    </row>
    <row r="1123" spans="1:10" ht="12.75">
      <c r="A1123" s="97"/>
      <c r="B1123" s="78" t="s">
        <v>1</v>
      </c>
      <c r="C1123" s="78"/>
      <c r="D1123" s="78"/>
      <c r="E1123" s="78"/>
      <c r="F1123" s="78"/>
      <c r="G1123" s="78"/>
      <c r="H1123" s="78"/>
      <c r="I1123" s="78"/>
      <c r="J1123" s="111"/>
    </row>
    <row r="1124" spans="1:10" ht="12.75">
      <c r="A1124" s="97"/>
      <c r="B1124" s="820" t="s">
        <v>591</v>
      </c>
      <c r="C1124" s="821"/>
      <c r="D1124" s="821"/>
      <c r="E1124" s="821"/>
      <c r="F1124" s="821"/>
      <c r="G1124" s="822"/>
      <c r="H1124" s="78"/>
      <c r="I1124" s="141" t="s">
        <v>232</v>
      </c>
      <c r="J1124" s="111"/>
    </row>
    <row r="1125" spans="1:10" ht="12.75">
      <c r="A1125" s="97"/>
      <c r="B1125" s="78"/>
      <c r="C1125" s="78"/>
      <c r="D1125" s="78"/>
      <c r="E1125" s="78"/>
      <c r="F1125" s="78"/>
      <c r="G1125" s="78"/>
      <c r="H1125" s="109" t="str">
        <f>+H$11</f>
        <v>2020/2021</v>
      </c>
      <c r="I1125" s="109" t="str">
        <f>+'Unit tariffs'!$F$11</f>
        <v>2021/2022</v>
      </c>
      <c r="J1125" s="111"/>
    </row>
    <row r="1126" spans="1:10" ht="12.75">
      <c r="A1126" s="97"/>
      <c r="B1126" s="78"/>
      <c r="C1126" s="78"/>
      <c r="D1126" s="78"/>
      <c r="E1126" s="78"/>
      <c r="F1126" s="78"/>
      <c r="G1126" s="78"/>
      <c r="H1126" s="78"/>
      <c r="I1126" s="78"/>
      <c r="J1126" s="116"/>
    </row>
    <row r="1127" spans="1:10" ht="12.75">
      <c r="A1127" s="97"/>
      <c r="B1127" s="110" t="s">
        <v>117</v>
      </c>
      <c r="C1127" s="78"/>
      <c r="D1127" s="78"/>
      <c r="E1127" s="78"/>
      <c r="F1127" s="78"/>
      <c r="G1127" s="78"/>
      <c r="H1127" s="134"/>
      <c r="I1127" s="134"/>
      <c r="J1127" s="111"/>
    </row>
    <row r="1128" spans="1:10" ht="12.75">
      <c r="A1128" s="97"/>
      <c r="B1128" s="78" t="s">
        <v>118</v>
      </c>
      <c r="C1128" s="78"/>
      <c r="D1128" s="78"/>
      <c r="E1128" s="78"/>
      <c r="F1128" s="78"/>
      <c r="G1128" s="78"/>
      <c r="H1128" s="134"/>
      <c r="I1128" s="134"/>
      <c r="J1128" s="119"/>
    </row>
    <row r="1129" spans="1:10" ht="12.75">
      <c r="A1129" s="97"/>
      <c r="B1129" s="78">
        <v>2.5</v>
      </c>
      <c r="C1129" s="78" t="str">
        <f>'Unit tariffs'!B$130</f>
        <v>Primary Backbone - Urban</v>
      </c>
      <c r="D1129" s="78"/>
      <c r="E1129" s="78"/>
      <c r="F1129" s="78" t="str">
        <f>'Unit tariffs'!C$130</f>
        <v>per kVA</v>
      </c>
      <c r="G1129" s="78"/>
      <c r="H1129" s="80">
        <v>2318.042474220001</v>
      </c>
      <c r="I1129" s="80">
        <f>VLOOKUP($C1129,'Unit tariffs'!$B$21:$F$157,5,FALSE)*$B1129</f>
        <v>2887.3350000000005</v>
      </c>
      <c r="J1129" s="101"/>
    </row>
    <row r="1130" spans="1:10" ht="12" customHeight="1">
      <c r="A1130" s="97"/>
      <c r="B1130" s="78">
        <v>2.5</v>
      </c>
      <c r="C1130" s="78" t="str">
        <f>'Unit tariffs'!B$132</f>
        <v>Secondary Backbone - LV Urban</v>
      </c>
      <c r="D1130" s="78"/>
      <c r="E1130" s="78"/>
      <c r="F1130" s="78" t="str">
        <f>'Unit tariffs'!C$131</f>
        <v>per kVA</v>
      </c>
      <c r="G1130" s="78"/>
      <c r="H1130" s="80">
        <v>1996.3567910550007</v>
      </c>
      <c r="I1130" s="80">
        <f>VLOOKUP($C1130,'Unit tariffs'!$B$21:$F$157,5,FALSE)*$B1130</f>
        <v>2486.6325</v>
      </c>
      <c r="J1130" s="101"/>
    </row>
    <row r="1131" spans="1:10" ht="12.75">
      <c r="A1131" s="97"/>
      <c r="B1131" s="78">
        <v>2.5</v>
      </c>
      <c r="C1131" s="78" t="str">
        <f>'Unit tariffs'!B$133</f>
        <v>LV Backbone -Urban</v>
      </c>
      <c r="D1131" s="78"/>
      <c r="E1131" s="78"/>
      <c r="F1131" s="78" t="str">
        <f>'Unit tariffs'!C$132</f>
        <v>per kVA</v>
      </c>
      <c r="G1131" s="78"/>
      <c r="H1131" s="87">
        <v>830.4361291050004</v>
      </c>
      <c r="I1131" s="87">
        <f>VLOOKUP($C1131,'Unit tariffs'!$B$21:$F$157,5,FALSE)*$B1131</f>
        <v>1034.385</v>
      </c>
      <c r="J1131" s="458"/>
    </row>
    <row r="1132" spans="1:10" ht="12.75">
      <c r="A1132" s="97"/>
      <c r="B1132" s="78"/>
      <c r="C1132" s="78"/>
      <c r="D1132" s="78"/>
      <c r="E1132" s="78"/>
      <c r="F1132" s="78"/>
      <c r="G1132" s="78"/>
      <c r="H1132" s="80">
        <v>5144.835394380003</v>
      </c>
      <c r="I1132" s="80">
        <f>SUM(I1129:I1131)</f>
        <v>6408.352500000001</v>
      </c>
      <c r="J1132" s="101"/>
    </row>
    <row r="1133" spans="1:10" ht="12.75">
      <c r="A1133" s="97"/>
      <c r="B1133" s="110" t="s">
        <v>41</v>
      </c>
      <c r="C1133" s="78"/>
      <c r="D1133" s="78"/>
      <c r="E1133" s="78"/>
      <c r="F1133" s="78"/>
      <c r="G1133" s="78"/>
      <c r="H1133" s="78"/>
      <c r="I1133" s="78"/>
      <c r="J1133" s="464"/>
    </row>
    <row r="1134" spans="1:10" ht="12.75">
      <c r="A1134" s="97"/>
      <c r="B1134" s="78"/>
      <c r="C1134" s="78"/>
      <c r="D1134" s="78"/>
      <c r="E1134" s="78"/>
      <c r="F1134" s="78"/>
      <c r="G1134" s="78"/>
      <c r="H1134" s="78"/>
      <c r="I1134" s="78"/>
      <c r="J1134" s="458" t="s">
        <v>315</v>
      </c>
    </row>
    <row r="1135" spans="1:10" ht="12.75">
      <c r="A1135" s="97"/>
      <c r="B1135" s="78">
        <v>1</v>
      </c>
      <c r="C1135" s="78" t="str">
        <f>+'Unit tariffs'!B34</f>
        <v>Prepaid meter (Split) 1 phase 59A Unique Mbani</v>
      </c>
      <c r="D1135" s="78"/>
      <c r="E1135" s="78"/>
      <c r="F1135" s="78"/>
      <c r="G1135" s="78"/>
      <c r="H1135" s="199">
        <v>2084.0248169999995</v>
      </c>
      <c r="I1135" s="199">
        <f>VLOOKUP($C1135,'Unit tariffs'!$B$21:$F$122,5,FALSE)*$B1135</f>
        <v>2171.5538593139995</v>
      </c>
      <c r="J1135" s="471" t="e">
        <f>IF(+I1135*'Unit tariffs'!#REF!&gt;'Unit tariffs'!#REF!,'Unit tariffs'!#REF!,+I1135*'Unit tariffs'!#REF!)</f>
        <v>#REF!</v>
      </c>
    </row>
    <row r="1136" spans="1:10" ht="12.75">
      <c r="A1136" s="97"/>
      <c r="B1136" s="78">
        <v>3</v>
      </c>
      <c r="C1136" s="78" t="str">
        <f>'Unit tariffs'!B42</f>
        <v>x 80 A circuit breaker (5kA) - Orange</v>
      </c>
      <c r="D1136" s="78"/>
      <c r="E1136" s="78"/>
      <c r="F1136" s="78"/>
      <c r="G1136" s="78"/>
      <c r="H1136" s="80">
        <v>541.0141229999999</v>
      </c>
      <c r="I1136" s="80">
        <f>VLOOKUP($C1136,'Unit tariffs'!$B$21:$F$122,5,FALSE)*$B1136</f>
        <v>563.736716166</v>
      </c>
      <c r="J1136" s="471" t="e">
        <f>IF(+I1136*'Unit tariffs'!#REF!&gt;'Unit tariffs'!#REF!,'Unit tariffs'!#REF!,+I1136*'Unit tariffs'!#REF!)</f>
        <v>#REF!</v>
      </c>
    </row>
    <row r="1137" spans="1:10" ht="12.75">
      <c r="A1137" s="97"/>
      <c r="B1137" s="78">
        <v>1</v>
      </c>
      <c r="C1137" s="78" t="str">
        <f>'Unit tariffs'!B71</f>
        <v>Cable clamp (Clampex) - K26</v>
      </c>
      <c r="D1137" s="78"/>
      <c r="E1137" s="78"/>
      <c r="F1137" s="78"/>
      <c r="G1137" s="78"/>
      <c r="H1137" s="80">
        <v>32.08197743055</v>
      </c>
      <c r="I1137" s="80">
        <f>VLOOKUP($C1137,'Unit tariffs'!$B$21:$F$122,5,FALSE)*$B1137</f>
        <v>33.4294204826331</v>
      </c>
      <c r="J1137" s="471" t="e">
        <f>IF(+I1137*'Unit tariffs'!#REF!&gt;'Unit tariffs'!#REF!,'Unit tariffs'!#REF!,+I1137*'Unit tariffs'!#REF!)</f>
        <v>#REF!</v>
      </c>
    </row>
    <row r="1138" spans="1:10" ht="12.75">
      <c r="A1138" s="97"/>
      <c r="B1138" s="78">
        <v>1</v>
      </c>
      <c r="C1138" s="78" t="str">
        <f>'Unit tariffs'!B21</f>
        <v>Installation material</v>
      </c>
      <c r="D1138" s="78"/>
      <c r="E1138" s="78"/>
      <c r="F1138" s="78"/>
      <c r="G1138" s="78"/>
      <c r="H1138" s="87">
        <v>113.6449785</v>
      </c>
      <c r="I1138" s="87">
        <f>VLOOKUP($C1138,'Unit tariffs'!$B$21:$F$122,5,FALSE)*$B1138</f>
        <v>260.5</v>
      </c>
      <c r="J1138" s="471" t="e">
        <f>IF(+I1138*'Unit tariffs'!#REF!&gt;'Unit tariffs'!#REF!,'Unit tariffs'!#REF!,+I1138*'Unit tariffs'!#REF!)</f>
        <v>#REF!</v>
      </c>
    </row>
    <row r="1139" spans="1:10" ht="12.75">
      <c r="A1139" s="97"/>
      <c r="B1139" s="78"/>
      <c r="C1139" s="78"/>
      <c r="D1139" s="78"/>
      <c r="E1139" s="78"/>
      <c r="F1139" s="78"/>
      <c r="G1139" s="80"/>
      <c r="H1139" s="80">
        <v>2770.7658959305495</v>
      </c>
      <c r="I1139" s="80">
        <f>SUM(I1135:I1138)</f>
        <v>3029.2199959626328</v>
      </c>
      <c r="J1139" s="461"/>
    </row>
    <row r="1140" spans="1:10" ht="12.75">
      <c r="A1140" s="97"/>
      <c r="B1140" s="110" t="s">
        <v>42</v>
      </c>
      <c r="C1140" s="78"/>
      <c r="D1140" s="78"/>
      <c r="E1140" s="78"/>
      <c r="F1140" s="78"/>
      <c r="G1140" s="78"/>
      <c r="H1140" s="78"/>
      <c r="I1140" s="78"/>
      <c r="J1140" s="461"/>
    </row>
    <row r="1141" spans="1:10" ht="12.75">
      <c r="A1141" s="97"/>
      <c r="B1141" s="78"/>
      <c r="C1141" s="78"/>
      <c r="D1141" s="78"/>
      <c r="E1141" s="78"/>
      <c r="F1141" s="78"/>
      <c r="G1141" s="78"/>
      <c r="H1141" s="78"/>
      <c r="I1141" s="78"/>
      <c r="J1141" s="461"/>
    </row>
    <row r="1142" spans="1:10" ht="12.75">
      <c r="A1142" s="97"/>
      <c r="B1142" s="78">
        <v>1</v>
      </c>
      <c r="C1142" s="78" t="str">
        <f>'Unit tariffs'!B$86</f>
        <v>hour-artisan </v>
      </c>
      <c r="D1142" s="78"/>
      <c r="E1142" s="78"/>
      <c r="F1142" s="78"/>
      <c r="G1142" s="78"/>
      <c r="H1142" s="80">
        <v>180.05873256334615</v>
      </c>
      <c r="I1142" s="80">
        <f>VLOOKUP($C1142,'Unit tariffs'!$B$21:$F$122,5,FALSE)*$B1142</f>
        <v>322.85223173076923</v>
      </c>
      <c r="J1142" s="111"/>
    </row>
    <row r="1143" spans="1:11" ht="12.75">
      <c r="A1143" s="97"/>
      <c r="B1143" s="78">
        <v>4</v>
      </c>
      <c r="C1143" s="78" t="str">
        <f>'Unit tariffs'!B$84</f>
        <v>hour-artisan assistant</v>
      </c>
      <c r="D1143" s="78"/>
      <c r="E1143" s="78"/>
      <c r="F1143" s="78"/>
      <c r="G1143" s="78"/>
      <c r="H1143" s="87">
        <v>318.4122236937231</v>
      </c>
      <c r="I1143" s="87">
        <f>VLOOKUP($C1143,'Unit tariffs'!$B$21:$F$122,5,FALSE)*$B1143</f>
        <v>514.1432307692309</v>
      </c>
      <c r="J1143" s="111"/>
      <c r="K1143" s="92" t="s">
        <v>1</v>
      </c>
    </row>
    <row r="1144" spans="1:10" ht="12.75">
      <c r="A1144" s="97"/>
      <c r="B1144" s="78"/>
      <c r="C1144" s="78"/>
      <c r="D1144" s="78"/>
      <c r="E1144" s="78"/>
      <c r="F1144" s="78"/>
      <c r="G1144" s="78"/>
      <c r="H1144" s="80">
        <v>498.47095625706925</v>
      </c>
      <c r="I1144" s="80">
        <f>SUM(I1142:I1143)</f>
        <v>836.9954625</v>
      </c>
      <c r="J1144" s="111"/>
    </row>
    <row r="1145" spans="1:10" ht="12.75">
      <c r="A1145" s="97"/>
      <c r="B1145" s="110" t="s">
        <v>43</v>
      </c>
      <c r="C1145" s="78"/>
      <c r="D1145" s="78"/>
      <c r="E1145" s="78"/>
      <c r="F1145" s="78"/>
      <c r="G1145" s="78"/>
      <c r="H1145" s="78"/>
      <c r="I1145" s="78"/>
      <c r="J1145" s="101"/>
    </row>
    <row r="1146" spans="1:10" ht="12.75">
      <c r="A1146" s="97"/>
      <c r="B1146" s="78"/>
      <c r="C1146" s="78"/>
      <c r="D1146" s="78"/>
      <c r="E1146" s="78"/>
      <c r="F1146" s="78"/>
      <c r="G1146" s="78"/>
      <c r="H1146" s="78"/>
      <c r="I1146" s="78"/>
      <c r="J1146" s="101"/>
    </row>
    <row r="1147" spans="1:10" ht="12.75">
      <c r="A1147" s="97"/>
      <c r="B1147" s="78">
        <v>28</v>
      </c>
      <c r="C1147" s="78" t="str">
        <f>'Unit tariffs'!B$110</f>
        <v>km-truck with platform</v>
      </c>
      <c r="D1147" s="78"/>
      <c r="E1147" s="78"/>
      <c r="F1147" s="78"/>
      <c r="G1147" s="78"/>
      <c r="H1147" s="80">
        <v>909.0393457600002</v>
      </c>
      <c r="I1147" s="80">
        <f>VLOOKUP($C1147,'Unit tariffs'!$B$21:$F$122,5,FALSE)*$B1147</f>
        <v>1131.836945605817</v>
      </c>
      <c r="J1147" s="111"/>
    </row>
    <row r="1148" spans="1:10" ht="12.75">
      <c r="A1148" s="97"/>
      <c r="B1148" s="78">
        <v>1</v>
      </c>
      <c r="C1148" s="78" t="str">
        <f>'Unit tariffs'!B$111</f>
        <v>hour-truck with platform</v>
      </c>
      <c r="D1148" s="78"/>
      <c r="E1148" s="78"/>
      <c r="F1148" s="78"/>
      <c r="G1148" s="78"/>
      <c r="H1148" s="87">
        <v>167.61251000000001</v>
      </c>
      <c r="I1148" s="87">
        <f>VLOOKUP($C1148,'Unit tariffs'!$B$21:$F$122,5,FALSE)*$B1148</f>
        <v>196.72208955055</v>
      </c>
      <c r="J1148" s="111"/>
    </row>
    <row r="1149" spans="1:10" ht="12.75">
      <c r="A1149" s="97"/>
      <c r="B1149" s="78"/>
      <c r="C1149" s="78"/>
      <c r="D1149" s="78"/>
      <c r="E1149" s="78"/>
      <c r="F1149" s="78"/>
      <c r="G1149" s="78"/>
      <c r="H1149" s="80">
        <v>1076.6518557600002</v>
      </c>
      <c r="I1149" s="80">
        <f>SUM(I1147:I1148)</f>
        <v>1328.559035156367</v>
      </c>
      <c r="J1149" s="111"/>
    </row>
    <row r="1150" spans="1:10" ht="13.5" thickBot="1">
      <c r="A1150" s="97"/>
      <c r="B1150" s="78"/>
      <c r="C1150" s="78"/>
      <c r="D1150" s="78"/>
      <c r="E1150" s="78"/>
      <c r="F1150" s="78"/>
      <c r="G1150" s="78"/>
      <c r="H1150" s="114"/>
      <c r="I1150" s="114"/>
      <c r="J1150" s="101"/>
    </row>
    <row r="1151" spans="1:10" ht="13.5" thickTop="1">
      <c r="A1151" s="97"/>
      <c r="B1151" s="78"/>
      <c r="C1151" s="78"/>
      <c r="D1151" s="78"/>
      <c r="E1151" s="78"/>
      <c r="F1151" s="78"/>
      <c r="G1151" s="80"/>
      <c r="H1151" s="80">
        <v>9490.724102327622</v>
      </c>
      <c r="I1151" s="80">
        <f>I1149+I1144+I1139+I1132</f>
        <v>11603.126993619</v>
      </c>
      <c r="J1151" s="101"/>
    </row>
    <row r="1152" spans="1:10" ht="13.5" thickBot="1">
      <c r="A1152" s="97"/>
      <c r="B1152" s="110" t="str">
        <f>'Unit tariffs'!$B$7</f>
        <v>Administration Levy (Indirect Cost)</v>
      </c>
      <c r="C1152" s="78"/>
      <c r="D1152" s="112">
        <f>'Unit tariffs'!$C$7</f>
        <v>0.1</v>
      </c>
      <c r="E1152" s="78" t="s">
        <v>312</v>
      </c>
      <c r="F1152" s="196">
        <f>+'Unit tariffs'!$F$7</f>
        <v>10000</v>
      </c>
      <c r="G1152" s="80"/>
      <c r="H1152" s="114">
        <v>2530.227045680544</v>
      </c>
      <c r="I1152" s="114">
        <f>IF(I1151*$D1152&gt;='Unit tariffs'!$E$7,'Unit tariffs'!$E$7,I1151*$D1152)</f>
        <v>1160.3126993619</v>
      </c>
      <c r="J1152" s="111"/>
    </row>
    <row r="1153" spans="1:10" ht="13.5" thickTop="1">
      <c r="A1153" s="97"/>
      <c r="B1153" s="110" t="s">
        <v>44</v>
      </c>
      <c r="C1153" s="78"/>
      <c r="D1153" s="78"/>
      <c r="E1153" s="78"/>
      <c r="F1153" s="78"/>
      <c r="G1153" s="80"/>
      <c r="H1153" s="115">
        <v>12020.951148008166</v>
      </c>
      <c r="I1153" s="115">
        <f>SUM(I1151:I1152)</f>
        <v>12763.4396929809</v>
      </c>
      <c r="J1153" s="111"/>
    </row>
    <row r="1154" spans="1:10" ht="12.75">
      <c r="A1154" s="97"/>
      <c r="B1154" s="110"/>
      <c r="C1154" s="78"/>
      <c r="D1154" s="78"/>
      <c r="E1154" s="78"/>
      <c r="F1154" s="78"/>
      <c r="G1154" s="80"/>
      <c r="H1154" s="80"/>
      <c r="I1154" s="80"/>
      <c r="J1154" s="111"/>
    </row>
    <row r="1155" spans="1:10" ht="12.75">
      <c r="A1155" s="97"/>
      <c r="B1155" s="110" t="s">
        <v>45</v>
      </c>
      <c r="C1155" s="78"/>
      <c r="D1155" s="78"/>
      <c r="E1155" s="78"/>
      <c r="F1155" s="78"/>
      <c r="G1155" s="78"/>
      <c r="H1155" s="90">
        <v>12020</v>
      </c>
      <c r="I1155" s="90">
        <f>ROUND(I1153,-1)</f>
        <v>12760</v>
      </c>
      <c r="J1155" s="111"/>
    </row>
    <row r="1156" spans="1:10" ht="12.75">
      <c r="A1156" s="97"/>
      <c r="B1156" s="121"/>
      <c r="C1156" s="121"/>
      <c r="D1156" s="121"/>
      <c r="E1156" s="121"/>
      <c r="F1156" s="121"/>
      <c r="G1156" s="121"/>
      <c r="H1156" s="80"/>
      <c r="I1156" s="80"/>
      <c r="J1156" s="111"/>
    </row>
    <row r="1157" spans="1:10" ht="12.75">
      <c r="A1157" s="97"/>
      <c r="B1157" s="78"/>
      <c r="C1157" s="78"/>
      <c r="D1157" s="78"/>
      <c r="E1157" s="78"/>
      <c r="F1157" s="78"/>
      <c r="G1157" s="78"/>
      <c r="H1157" s="118">
        <v>0.0741733690795353</v>
      </c>
      <c r="I1157" s="118">
        <f>(I1155-H1155)/H1155</f>
        <v>0.06156405990016639</v>
      </c>
      <c r="J1157" s="111"/>
    </row>
    <row r="1158" spans="1:10" ht="13.5" thickBot="1">
      <c r="A1158" s="462"/>
      <c r="B1158" s="130"/>
      <c r="C1158" s="130"/>
      <c r="D1158" s="130"/>
      <c r="E1158" s="130"/>
      <c r="F1158" s="130"/>
      <c r="G1158" s="130"/>
      <c r="H1158" s="130"/>
      <c r="I1158" s="130"/>
      <c r="J1158" s="111"/>
    </row>
    <row r="1159" spans="1:10" ht="13.5" thickTop="1">
      <c r="A1159" s="459"/>
      <c r="B1159" s="78"/>
      <c r="C1159" s="78"/>
      <c r="D1159" s="78"/>
      <c r="E1159" s="78"/>
      <c r="F1159" s="78"/>
      <c r="G1159" s="78"/>
      <c r="H1159" s="127"/>
      <c r="I1159" s="127"/>
      <c r="J1159" s="111"/>
    </row>
    <row r="1160" spans="1:10" ht="12.75">
      <c r="A1160" s="97"/>
      <c r="B1160" s="78" t="s">
        <v>1</v>
      </c>
      <c r="C1160" s="78"/>
      <c r="D1160" s="78"/>
      <c r="E1160" s="78"/>
      <c r="F1160" s="78"/>
      <c r="G1160" s="78"/>
      <c r="H1160" s="78"/>
      <c r="I1160" s="78"/>
      <c r="J1160" s="116"/>
    </row>
    <row r="1161" spans="1:10" ht="12.75">
      <c r="A1161" s="97"/>
      <c r="B1161" s="820" t="s">
        <v>592</v>
      </c>
      <c r="C1161" s="821"/>
      <c r="D1161" s="821"/>
      <c r="E1161" s="821"/>
      <c r="F1161" s="821"/>
      <c r="G1161" s="822"/>
      <c r="H1161" s="78"/>
      <c r="I1161" s="141" t="s">
        <v>233</v>
      </c>
      <c r="J1161" s="111"/>
    </row>
    <row r="1162" spans="1:10" ht="12.75">
      <c r="A1162" s="97"/>
      <c r="B1162" s="78"/>
      <c r="C1162" s="78"/>
      <c r="D1162" s="78"/>
      <c r="E1162" s="78"/>
      <c r="F1162" s="78"/>
      <c r="G1162" s="78"/>
      <c r="H1162" s="109" t="str">
        <f>+H$11</f>
        <v>2020/2021</v>
      </c>
      <c r="I1162" s="109" t="str">
        <f>+'Unit tariffs'!$F$11</f>
        <v>2021/2022</v>
      </c>
      <c r="J1162" s="119"/>
    </row>
    <row r="1163" spans="1:10" s="121" customFormat="1" ht="12.75">
      <c r="A1163" s="97"/>
      <c r="B1163" s="78"/>
      <c r="C1163" s="78"/>
      <c r="D1163" s="78"/>
      <c r="E1163" s="78"/>
      <c r="F1163" s="78"/>
      <c r="G1163" s="78"/>
      <c r="H1163" s="78"/>
      <c r="I1163" s="78"/>
      <c r="J1163" s="101"/>
    </row>
    <row r="1164" spans="1:10" s="121" customFormat="1" ht="13.5">
      <c r="A1164" s="97"/>
      <c r="B1164" s="110" t="s">
        <v>117</v>
      </c>
      <c r="C1164" s="78"/>
      <c r="D1164" s="78"/>
      <c r="E1164" s="78"/>
      <c r="F1164" s="78"/>
      <c r="G1164" s="78"/>
      <c r="H1164" s="144"/>
      <c r="I1164" s="134"/>
      <c r="J1164" s="101"/>
    </row>
    <row r="1165" spans="1:10" ht="21.75" customHeight="1">
      <c r="A1165" s="97"/>
      <c r="B1165" s="78" t="s">
        <v>118</v>
      </c>
      <c r="C1165" s="78"/>
      <c r="D1165" s="78"/>
      <c r="E1165" s="78"/>
      <c r="F1165" s="78"/>
      <c r="G1165" s="78"/>
      <c r="H1165" s="145"/>
      <c r="I1165" s="134"/>
      <c r="J1165" s="101"/>
    </row>
    <row r="1166" spans="1:10" ht="12.75">
      <c r="A1166" s="97"/>
      <c r="B1166" s="78">
        <v>2.5</v>
      </c>
      <c r="C1166" s="78" t="str">
        <f>'Unit tariffs'!B$132</f>
        <v>Secondary Backbone - LV Urban</v>
      </c>
      <c r="D1166" s="78"/>
      <c r="E1166" s="78"/>
      <c r="F1166" s="78" t="str">
        <f>'Unit tariffs'!C$131</f>
        <v>per kVA</v>
      </c>
      <c r="G1166" s="78"/>
      <c r="H1166" s="80">
        <v>1996.3567910550007</v>
      </c>
      <c r="I1166" s="80">
        <f>VLOOKUP($C1166,'Unit tariffs'!$B$21:$F$157,5,FALSE)*$B1166</f>
        <v>2486.6325</v>
      </c>
      <c r="J1166" s="458"/>
    </row>
    <row r="1167" spans="1:10" ht="12.75">
      <c r="A1167" s="97"/>
      <c r="B1167" s="78">
        <v>2.5</v>
      </c>
      <c r="C1167" s="78" t="str">
        <f>'Unit tariffs'!B$133</f>
        <v>LV Backbone -Urban</v>
      </c>
      <c r="D1167" s="78"/>
      <c r="E1167" s="78"/>
      <c r="F1167" s="78" t="str">
        <f>'Unit tariffs'!C$132</f>
        <v>per kVA</v>
      </c>
      <c r="G1167" s="78"/>
      <c r="H1167" s="87">
        <v>830.4361291050004</v>
      </c>
      <c r="I1167" s="87">
        <f>VLOOKUP($C1167,'Unit tariffs'!$B$21:$F$157,5,FALSE)*$B1167</f>
        <v>1034.385</v>
      </c>
      <c r="J1167" s="464"/>
    </row>
    <row r="1168" spans="1:10" ht="12.75">
      <c r="A1168" s="97"/>
      <c r="B1168" s="78"/>
      <c r="C1168" s="78"/>
      <c r="D1168" s="78"/>
      <c r="E1168" s="78"/>
      <c r="F1168" s="78"/>
      <c r="G1168" s="78"/>
      <c r="H1168" s="80">
        <v>2826.792920160001</v>
      </c>
      <c r="I1168" s="80">
        <f>SUM(I1166:I1167)</f>
        <v>3521.0175</v>
      </c>
      <c r="J1168" s="464"/>
    </row>
    <row r="1169" spans="1:10" ht="12.75">
      <c r="A1169" s="97"/>
      <c r="B1169" s="110" t="s">
        <v>41</v>
      </c>
      <c r="C1169" s="78"/>
      <c r="D1169" s="78"/>
      <c r="E1169" s="78"/>
      <c r="F1169" s="78"/>
      <c r="G1169" s="78"/>
      <c r="H1169" s="78"/>
      <c r="I1169" s="78"/>
      <c r="J1169" s="464"/>
    </row>
    <row r="1170" spans="1:10" ht="12.75">
      <c r="A1170" s="97"/>
      <c r="B1170" s="78"/>
      <c r="C1170" s="78"/>
      <c r="D1170" s="78"/>
      <c r="E1170" s="78"/>
      <c r="F1170" s="78"/>
      <c r="G1170" s="78"/>
      <c r="H1170" s="78"/>
      <c r="I1170" s="78"/>
      <c r="J1170" s="458" t="s">
        <v>315</v>
      </c>
    </row>
    <row r="1171" spans="1:10" ht="12.75">
      <c r="A1171" s="97"/>
      <c r="B1171" s="78">
        <v>1</v>
      </c>
      <c r="C1171" s="78" t="str">
        <f>'Unit tariffs'!B45</f>
        <v>METER: TIME OF USE 100 AMP</v>
      </c>
      <c r="D1171" s="78"/>
      <c r="E1171" s="78"/>
      <c r="F1171" s="91"/>
      <c r="G1171" s="78"/>
      <c r="H1171" s="80">
        <v>4588.4827</v>
      </c>
      <c r="I1171" s="80">
        <f>VLOOKUP($C1171,'Unit tariffs'!$B$21:$F$122,5,FALSE)*$B1171</f>
        <v>5314.91420764</v>
      </c>
      <c r="J1171" s="471" t="e">
        <f>IF(+I1171*'Unit tariffs'!#REF!&gt;'Unit tariffs'!#REF!,'Unit tariffs'!#REF!,+I1171*'Unit tariffs'!#REF!)</f>
        <v>#REF!</v>
      </c>
    </row>
    <row r="1172" spans="1:10" ht="12.75">
      <c r="A1172" s="97"/>
      <c r="B1172" s="78">
        <v>1</v>
      </c>
      <c r="C1172" s="78" t="s">
        <v>230</v>
      </c>
      <c r="D1172" s="78"/>
      <c r="E1172" s="78"/>
      <c r="F1172" s="78"/>
      <c r="G1172" s="78"/>
      <c r="H1172" s="80">
        <v>3414.6847999999995</v>
      </c>
      <c r="I1172" s="80">
        <f>VLOOKUP($C1172,'Unit tariffs'!$B$21:$F$122,5,FALSE)*$B1172</f>
        <v>3558.1015615999995</v>
      </c>
      <c r="J1172" s="471" t="e">
        <f>IF(+I1172*'Unit tariffs'!#REF!&gt;'Unit tariffs'!#REF!,'Unit tariffs'!#REF!,+I1172*'Unit tariffs'!#REF!)</f>
        <v>#REF!</v>
      </c>
    </row>
    <row r="1173" spans="1:10" ht="12.75">
      <c r="A1173" s="97"/>
      <c r="B1173" s="78">
        <v>3</v>
      </c>
      <c r="C1173" s="78" t="str">
        <f>'Unit tariffs'!B42</f>
        <v>x 80 A circuit breaker (5kA) - Orange</v>
      </c>
      <c r="D1173" s="78"/>
      <c r="E1173" s="78"/>
      <c r="F1173" s="78"/>
      <c r="G1173" s="78"/>
      <c r="H1173" s="80">
        <v>541.0141229999999</v>
      </c>
      <c r="I1173" s="80">
        <f>VLOOKUP($C1173,'Unit tariffs'!$B$21:$F$122,5,FALSE)*$B1173</f>
        <v>563.736716166</v>
      </c>
      <c r="J1173" s="471" t="e">
        <f>IF(+I1173*'Unit tariffs'!#REF!&gt;'Unit tariffs'!#REF!,'Unit tariffs'!#REF!,+I1173*'Unit tariffs'!#REF!)</f>
        <v>#REF!</v>
      </c>
    </row>
    <row r="1174" spans="1:10" ht="12.75">
      <c r="A1174" s="97"/>
      <c r="B1174" s="78">
        <v>1</v>
      </c>
      <c r="C1174" s="78" t="str">
        <f>'Unit tariffs'!B71</f>
        <v>Cable clamp (Clampex) - K26</v>
      </c>
      <c r="D1174" s="78"/>
      <c r="E1174" s="78"/>
      <c r="F1174" s="78"/>
      <c r="G1174" s="78"/>
      <c r="H1174" s="80">
        <v>32.08197743055</v>
      </c>
      <c r="I1174" s="80">
        <f>VLOOKUP($C1174,'Unit tariffs'!$B$21:$F$122,5,FALSE)*$B1174</f>
        <v>33.4294204826331</v>
      </c>
      <c r="J1174" s="471" t="e">
        <f>IF(+I1174*'Unit tariffs'!#REF!&gt;'Unit tariffs'!#REF!,'Unit tariffs'!#REF!,+I1174*'Unit tariffs'!#REF!)</f>
        <v>#REF!</v>
      </c>
    </row>
    <row r="1175" spans="1:10" ht="12.75">
      <c r="A1175" s="97"/>
      <c r="B1175" s="78">
        <v>1.5</v>
      </c>
      <c r="C1175" s="78" t="str">
        <f>'Unit tariffs'!B21</f>
        <v>Installation material</v>
      </c>
      <c r="D1175" s="78"/>
      <c r="E1175" s="78"/>
      <c r="F1175" s="78"/>
      <c r="G1175" s="78"/>
      <c r="H1175" s="87">
        <v>170.46746775</v>
      </c>
      <c r="I1175" s="87">
        <f>VLOOKUP($C1175,'Unit tariffs'!$B$21:$F$122,5,FALSE)*$B1175</f>
        <v>390.75</v>
      </c>
      <c r="J1175" s="471" t="e">
        <f>IF(+I1175*'Unit tariffs'!#REF!&gt;'Unit tariffs'!#REF!,'Unit tariffs'!#REF!,+I1175*'Unit tariffs'!#REF!)</f>
        <v>#REF!</v>
      </c>
    </row>
    <row r="1176" spans="1:10" ht="12.75">
      <c r="A1176" s="97"/>
      <c r="B1176" s="78"/>
      <c r="C1176" s="78"/>
      <c r="D1176" s="78"/>
      <c r="E1176" s="78"/>
      <c r="F1176" s="78"/>
      <c r="G1176" s="80"/>
      <c r="H1176" s="80">
        <v>8746.73106818055</v>
      </c>
      <c r="I1176" s="80">
        <f>SUM(I1171:I1175)</f>
        <v>9860.931905888632</v>
      </c>
      <c r="J1176" s="461"/>
    </row>
    <row r="1177" spans="1:10" ht="12.75">
      <c r="A1177" s="97"/>
      <c r="B1177" s="110" t="s">
        <v>42</v>
      </c>
      <c r="C1177" s="78"/>
      <c r="D1177" s="78"/>
      <c r="E1177" s="78"/>
      <c r="F1177" s="78"/>
      <c r="G1177" s="78"/>
      <c r="H1177" s="78"/>
      <c r="I1177" s="78"/>
      <c r="J1177" s="461"/>
    </row>
    <row r="1178" spans="1:10" ht="12.75">
      <c r="A1178" s="97"/>
      <c r="B1178" s="78"/>
      <c r="C1178" s="78"/>
      <c r="D1178" s="78"/>
      <c r="E1178" s="78"/>
      <c r="F1178" s="78"/>
      <c r="G1178" s="78"/>
      <c r="H1178" s="78"/>
      <c r="I1178" s="78"/>
      <c r="J1178" s="111"/>
    </row>
    <row r="1179" spans="1:10" ht="12.75">
      <c r="A1179" s="97"/>
      <c r="B1179" s="78">
        <v>2</v>
      </c>
      <c r="C1179" s="78" t="str">
        <f>'Unit tariffs'!B$86</f>
        <v>hour-artisan </v>
      </c>
      <c r="D1179" s="78"/>
      <c r="E1179" s="78"/>
      <c r="F1179" s="78"/>
      <c r="G1179" s="78"/>
      <c r="H1179" s="80">
        <v>360.1174651266923</v>
      </c>
      <c r="I1179" s="80">
        <f>VLOOKUP($C1179,'Unit tariffs'!$B$21:$F$122,5,FALSE)*$B1179</f>
        <v>645.7044634615385</v>
      </c>
      <c r="J1179" s="111"/>
    </row>
    <row r="1180" spans="1:10" ht="12.75">
      <c r="A1180" s="97"/>
      <c r="B1180" s="78">
        <v>2</v>
      </c>
      <c r="C1180" s="78" t="str">
        <f>'Unit tariffs'!B$84</f>
        <v>hour-artisan assistant</v>
      </c>
      <c r="D1180" s="78"/>
      <c r="E1180" s="78"/>
      <c r="F1180" s="78"/>
      <c r="G1180" s="78"/>
      <c r="H1180" s="87">
        <v>159.20611184686155</v>
      </c>
      <c r="I1180" s="87">
        <f>VLOOKUP($C1180,'Unit tariffs'!$B$21:$F$122,5,FALSE)*$B1180</f>
        <v>257.0716153846154</v>
      </c>
      <c r="J1180" s="111"/>
    </row>
    <row r="1181" spans="1:10" ht="12.75">
      <c r="A1181" s="97"/>
      <c r="B1181" s="78"/>
      <c r="C1181" s="78"/>
      <c r="D1181" s="78"/>
      <c r="E1181" s="78"/>
      <c r="F1181" s="78"/>
      <c r="G1181" s="78"/>
      <c r="H1181" s="80">
        <v>519.3235769735538</v>
      </c>
      <c r="I1181" s="80">
        <f>SUM(I1179:I1180)</f>
        <v>902.776078846154</v>
      </c>
      <c r="J1181" s="101"/>
    </row>
    <row r="1182" spans="1:10" ht="12.75">
      <c r="A1182" s="97"/>
      <c r="B1182" s="110" t="s">
        <v>43</v>
      </c>
      <c r="C1182" s="78"/>
      <c r="D1182" s="78"/>
      <c r="E1182" s="78"/>
      <c r="F1182" s="78"/>
      <c r="G1182" s="78"/>
      <c r="H1182" s="78"/>
      <c r="I1182" s="78"/>
      <c r="J1182" s="101"/>
    </row>
    <row r="1183" spans="1:10" ht="12.75">
      <c r="A1183" s="97"/>
      <c r="B1183" s="78"/>
      <c r="C1183" s="78"/>
      <c r="D1183" s="78"/>
      <c r="E1183" s="78"/>
      <c r="F1183" s="78"/>
      <c r="G1183" s="78"/>
      <c r="H1183" s="78"/>
      <c r="I1183" s="78"/>
      <c r="J1183" s="111"/>
    </row>
    <row r="1184" spans="1:10" ht="12.75">
      <c r="A1184" s="97"/>
      <c r="B1184" s="78">
        <v>35</v>
      </c>
      <c r="C1184" s="78" t="str">
        <f>'Unit tariffs'!B$110</f>
        <v>km-truck with platform</v>
      </c>
      <c r="D1184" s="78"/>
      <c r="E1184" s="78"/>
      <c r="F1184" s="78"/>
      <c r="G1184" s="78"/>
      <c r="H1184" s="80">
        <v>1136.2991822000004</v>
      </c>
      <c r="I1184" s="80">
        <f>VLOOKUP($C1184,'Unit tariffs'!$B$21:$F$122,5,FALSE)*$B1184</f>
        <v>1414.796182007271</v>
      </c>
      <c r="J1184" s="111"/>
    </row>
    <row r="1185" spans="1:10" ht="12.75">
      <c r="A1185" s="97"/>
      <c r="B1185" s="78">
        <v>1</v>
      </c>
      <c r="C1185" s="78" t="str">
        <f>'Unit tariffs'!B$111</f>
        <v>hour-truck with platform</v>
      </c>
      <c r="D1185" s="78"/>
      <c r="E1185" s="78"/>
      <c r="F1185" s="78"/>
      <c r="G1185" s="78"/>
      <c r="H1185" s="87">
        <v>167.61251000000001</v>
      </c>
      <c r="I1185" s="87">
        <f>VLOOKUP($C1185,'Unit tariffs'!$B$21:$F$122,5,FALSE)*$B1185</f>
        <v>196.72208955055</v>
      </c>
      <c r="J1185" s="111"/>
    </row>
    <row r="1186" spans="1:10" ht="12.75">
      <c r="A1186" s="97"/>
      <c r="B1186" s="78"/>
      <c r="C1186" s="78"/>
      <c r="D1186" s="78"/>
      <c r="E1186" s="78"/>
      <c r="F1186" s="78"/>
      <c r="G1186" s="78"/>
      <c r="H1186" s="80">
        <v>1303.9116922000003</v>
      </c>
      <c r="I1186" s="80">
        <f>SUM(I1184:I1185)</f>
        <v>1611.518271557821</v>
      </c>
      <c r="J1186" s="101"/>
    </row>
    <row r="1187" spans="1:10" ht="13.5" thickBot="1">
      <c r="A1187" s="97"/>
      <c r="B1187" s="78"/>
      <c r="C1187" s="78"/>
      <c r="D1187" s="78"/>
      <c r="E1187" s="78"/>
      <c r="F1187" s="78"/>
      <c r="G1187" s="78"/>
      <c r="H1187" s="114"/>
      <c r="I1187" s="114"/>
      <c r="J1187" s="101"/>
    </row>
    <row r="1188" spans="1:10" ht="13.5" thickTop="1">
      <c r="A1188" s="97"/>
      <c r="B1188" s="78"/>
      <c r="C1188" s="78"/>
      <c r="D1188" s="78"/>
      <c r="E1188" s="78"/>
      <c r="F1188" s="78"/>
      <c r="G1188" s="80"/>
      <c r="H1188" s="80">
        <v>13396.759257514106</v>
      </c>
      <c r="I1188" s="80">
        <f>I1186+I1181+I1176+I1168</f>
        <v>15896.243756292608</v>
      </c>
      <c r="J1188" s="111"/>
    </row>
    <row r="1189" spans="1:10" ht="13.5" thickBot="1">
      <c r="A1189" s="97"/>
      <c r="B1189" s="110" t="str">
        <f>'Unit tariffs'!$B$7</f>
        <v>Administration Levy (Indirect Cost)</v>
      </c>
      <c r="C1189" s="78"/>
      <c r="D1189" s="112">
        <f>'Unit tariffs'!$C$7</f>
        <v>0.1</v>
      </c>
      <c r="E1189" s="78" t="s">
        <v>312</v>
      </c>
      <c r="F1189" s="196">
        <f>+'Unit tariffs'!$F$7</f>
        <v>10000</v>
      </c>
      <c r="G1189" s="80"/>
      <c r="H1189" s="114">
        <v>3571.5760180532607</v>
      </c>
      <c r="I1189" s="114">
        <f>IF(I1188*$D1189&gt;='Unit tariffs'!$E$7,'Unit tariffs'!$E$7,I1188*$D1189)</f>
        <v>1589.6243756292608</v>
      </c>
      <c r="J1189" s="111"/>
    </row>
    <row r="1190" spans="1:10" ht="13.5" thickTop="1">
      <c r="A1190" s="97"/>
      <c r="B1190" s="110" t="s">
        <v>44</v>
      </c>
      <c r="C1190" s="78"/>
      <c r="D1190" s="78"/>
      <c r="E1190" s="78"/>
      <c r="F1190" s="78"/>
      <c r="G1190" s="80"/>
      <c r="H1190" s="115">
        <v>16968.335275567366</v>
      </c>
      <c r="I1190" s="115">
        <f>SUM(I1188:I1189)</f>
        <v>17485.86813192187</v>
      </c>
      <c r="J1190" s="111"/>
    </row>
    <row r="1191" spans="1:10" ht="12.75">
      <c r="A1191" s="97"/>
      <c r="B1191" s="110"/>
      <c r="C1191" s="78"/>
      <c r="D1191" s="78"/>
      <c r="E1191" s="78"/>
      <c r="F1191" s="78"/>
      <c r="G1191" s="80"/>
      <c r="H1191" s="80"/>
      <c r="I1191" s="80"/>
      <c r="J1191" s="111"/>
    </row>
    <row r="1192" spans="1:10" ht="12.75">
      <c r="A1192" s="97"/>
      <c r="B1192" s="110" t="s">
        <v>45</v>
      </c>
      <c r="C1192" s="78"/>
      <c r="D1192" s="78"/>
      <c r="E1192" s="78"/>
      <c r="F1192" s="78"/>
      <c r="G1192" s="78"/>
      <c r="H1192" s="90">
        <v>16970</v>
      </c>
      <c r="I1192" s="90">
        <f>ROUND(I1190,-1)</f>
        <v>17490</v>
      </c>
      <c r="J1192" s="111"/>
    </row>
    <row r="1193" spans="1:10" ht="12.75">
      <c r="A1193" s="97"/>
      <c r="B1193" s="121"/>
      <c r="C1193" s="121"/>
      <c r="D1193" s="121"/>
      <c r="E1193" s="121"/>
      <c r="F1193" s="121"/>
      <c r="G1193" s="121"/>
      <c r="H1193" s="80"/>
      <c r="I1193" s="80"/>
      <c r="J1193" s="111"/>
    </row>
    <row r="1194" spans="1:10" ht="12.75">
      <c r="A1194" s="97"/>
      <c r="B1194" s="78"/>
      <c r="C1194" s="78"/>
      <c r="D1194" s="78"/>
      <c r="E1194" s="78"/>
      <c r="F1194" s="78"/>
      <c r="G1194" s="78"/>
      <c r="H1194" s="118">
        <v>0.05077399380804953</v>
      </c>
      <c r="I1194" s="118">
        <f>(I1192-H1192)/H1192</f>
        <v>0.030642309958750738</v>
      </c>
      <c r="J1194" s="111"/>
    </row>
    <row r="1195" spans="1:10" ht="12.75">
      <c r="A1195" s="97"/>
      <c r="B1195" s="78" t="s">
        <v>1</v>
      </c>
      <c r="C1195" s="78"/>
      <c r="D1195" s="78"/>
      <c r="E1195" s="78"/>
      <c r="F1195" s="78"/>
      <c r="G1195" s="78"/>
      <c r="H1195" s="78"/>
      <c r="I1195" s="78"/>
      <c r="J1195" s="111"/>
    </row>
    <row r="1196" spans="1:10" ht="12.75">
      <c r="A1196" s="97"/>
      <c r="B1196" s="820" t="s">
        <v>593</v>
      </c>
      <c r="C1196" s="821"/>
      <c r="D1196" s="821"/>
      <c r="E1196" s="821"/>
      <c r="F1196" s="821"/>
      <c r="G1196" s="822"/>
      <c r="H1196" s="78"/>
      <c r="I1196" s="141" t="s">
        <v>233</v>
      </c>
      <c r="J1196" s="116"/>
    </row>
    <row r="1197" spans="1:10" ht="12.75">
      <c r="A1197" s="97"/>
      <c r="B1197" s="78"/>
      <c r="C1197" s="78"/>
      <c r="D1197" s="78"/>
      <c r="E1197" s="78"/>
      <c r="F1197" s="78"/>
      <c r="G1197" s="78"/>
      <c r="H1197" s="109" t="str">
        <f>+H$11</f>
        <v>2020/2021</v>
      </c>
      <c r="I1197" s="109" t="str">
        <f>+'Unit tariffs'!$F$11</f>
        <v>2021/2022</v>
      </c>
      <c r="J1197" s="111"/>
    </row>
    <row r="1198" spans="1:10" ht="12.75">
      <c r="A1198" s="97"/>
      <c r="B1198" s="78"/>
      <c r="C1198" s="78"/>
      <c r="D1198" s="78"/>
      <c r="E1198" s="78"/>
      <c r="F1198" s="78"/>
      <c r="G1198" s="78"/>
      <c r="H1198" s="78"/>
      <c r="I1198" s="78"/>
      <c r="J1198" s="119"/>
    </row>
    <row r="1199" spans="1:10" ht="14.25" thickBot="1">
      <c r="A1199" s="97"/>
      <c r="B1199" s="110" t="s">
        <v>117</v>
      </c>
      <c r="C1199" s="78"/>
      <c r="D1199" s="78"/>
      <c r="E1199" s="78"/>
      <c r="F1199" s="78"/>
      <c r="G1199" s="78"/>
      <c r="H1199" s="144"/>
      <c r="I1199" s="134"/>
      <c r="J1199" s="463"/>
    </row>
    <row r="1200" spans="1:10" ht="13.5" thickTop="1">
      <c r="A1200" s="97"/>
      <c r="B1200" s="78" t="s">
        <v>118</v>
      </c>
      <c r="C1200" s="78"/>
      <c r="D1200" s="78"/>
      <c r="E1200" s="78"/>
      <c r="F1200" s="78"/>
      <c r="G1200" s="78"/>
      <c r="H1200" s="145"/>
      <c r="I1200" s="134"/>
      <c r="J1200" s="101"/>
    </row>
    <row r="1201" spans="1:10" ht="21.75" customHeight="1">
      <c r="A1201" s="97"/>
      <c r="B1201" s="78">
        <v>2.5</v>
      </c>
      <c r="C1201" s="78" t="str">
        <f>'Unit tariffs'!B$132</f>
        <v>Secondary Backbone - LV Urban</v>
      </c>
      <c r="D1201" s="78"/>
      <c r="E1201" s="78"/>
      <c r="F1201" s="78" t="str">
        <f>'Unit tariffs'!C$131</f>
        <v>per kVA</v>
      </c>
      <c r="G1201" s="78"/>
      <c r="H1201" s="80">
        <v>1996.3567910550007</v>
      </c>
      <c r="I1201" s="80">
        <f>VLOOKUP($C1201,'Unit tariffs'!$B$21:$F$157,5,FALSE)*$B1201</f>
        <v>2486.6325</v>
      </c>
      <c r="J1201" s="101"/>
    </row>
    <row r="1202" spans="1:10" ht="12.75">
      <c r="A1202" s="97"/>
      <c r="B1202" s="78">
        <v>2.5</v>
      </c>
      <c r="C1202" s="78" t="str">
        <f>'Unit tariffs'!B$133</f>
        <v>LV Backbone -Urban</v>
      </c>
      <c r="D1202" s="78"/>
      <c r="E1202" s="78"/>
      <c r="F1202" s="78" t="str">
        <f>'Unit tariffs'!C$132</f>
        <v>per kVA</v>
      </c>
      <c r="G1202" s="78"/>
      <c r="H1202" s="87">
        <v>830.4361291050004</v>
      </c>
      <c r="I1202" s="87">
        <f>VLOOKUP($C1202,'Unit tariffs'!$B$21:$F$157,5,FALSE)*$B1202</f>
        <v>1034.385</v>
      </c>
      <c r="J1202" s="458"/>
    </row>
    <row r="1203" spans="1:10" ht="12.75">
      <c r="A1203" s="97"/>
      <c r="B1203" s="78"/>
      <c r="C1203" s="78"/>
      <c r="D1203" s="78"/>
      <c r="E1203" s="78"/>
      <c r="F1203" s="78"/>
      <c r="G1203" s="78"/>
      <c r="H1203" s="80">
        <v>2826.792920160001</v>
      </c>
      <c r="I1203" s="80">
        <f>SUM(I1201:I1202)</f>
        <v>3521.0175</v>
      </c>
      <c r="J1203" s="464"/>
    </row>
    <row r="1204" spans="1:10" ht="12.75">
      <c r="A1204" s="97"/>
      <c r="B1204" s="110" t="s">
        <v>41</v>
      </c>
      <c r="C1204" s="78"/>
      <c r="D1204" s="78"/>
      <c r="E1204" s="78"/>
      <c r="F1204" s="78"/>
      <c r="G1204" s="78"/>
      <c r="H1204" s="78"/>
      <c r="I1204" s="78"/>
      <c r="J1204" s="464"/>
    </row>
    <row r="1205" spans="1:10" ht="12.75">
      <c r="A1205" s="97"/>
      <c r="B1205" s="78"/>
      <c r="C1205" s="78"/>
      <c r="D1205" s="78"/>
      <c r="E1205" s="78"/>
      <c r="F1205" s="78"/>
      <c r="G1205" s="78"/>
      <c r="H1205" s="78"/>
      <c r="I1205" s="78"/>
      <c r="J1205" s="458" t="s">
        <v>315</v>
      </c>
    </row>
    <row r="1206" spans="1:10" ht="12.75">
      <c r="A1206" s="97"/>
      <c r="B1206" s="78">
        <v>1</v>
      </c>
      <c r="C1206" s="78" t="str">
        <f>'Unit tariffs'!B35</f>
        <v>Prepaid meter (Split) 3 phase - </v>
      </c>
      <c r="D1206" s="78"/>
      <c r="E1206" s="78"/>
      <c r="F1206" s="78"/>
      <c r="G1206" s="78"/>
      <c r="H1206" s="80">
        <v>6745.069568999999</v>
      </c>
      <c r="I1206" s="199">
        <f>VLOOKUP($C1206,'Unit tariffs'!$B$21:$F$122,5,FALSE)*$B1206</f>
        <v>7028.362490897999</v>
      </c>
      <c r="J1206" s="471" t="e">
        <f>IF(+I1206*'Unit tariffs'!#REF!&gt;'Unit tariffs'!#REF!,'Unit tariffs'!#REF!,+I1206*'Unit tariffs'!#REF!)</f>
        <v>#REF!</v>
      </c>
    </row>
    <row r="1207" spans="1:10" ht="12.75">
      <c r="A1207" s="97"/>
      <c r="B1207" s="78">
        <v>3</v>
      </c>
      <c r="C1207" s="78" t="str">
        <f>'Unit tariffs'!B42</f>
        <v>x 80 A circuit breaker (5kA) - Orange</v>
      </c>
      <c r="D1207" s="78"/>
      <c r="E1207" s="78"/>
      <c r="F1207" s="78"/>
      <c r="G1207" s="78"/>
      <c r="H1207" s="80">
        <v>541.0141229999999</v>
      </c>
      <c r="I1207" s="80">
        <f>VLOOKUP($C1207,'Unit tariffs'!$B$21:$F$122,5,FALSE)*$B1207</f>
        <v>563.736716166</v>
      </c>
      <c r="J1207" s="471" t="e">
        <f>IF(+I1207*'Unit tariffs'!#REF!&gt;'Unit tariffs'!#REF!,'Unit tariffs'!#REF!,+I1207*'Unit tariffs'!#REF!)</f>
        <v>#REF!</v>
      </c>
    </row>
    <row r="1208" spans="1:10" ht="12.75">
      <c r="A1208" s="97"/>
      <c r="B1208" s="78">
        <v>1</v>
      </c>
      <c r="C1208" s="78" t="str">
        <f>'Unit tariffs'!B71</f>
        <v>Cable clamp (Clampex) - K26</v>
      </c>
      <c r="D1208" s="78"/>
      <c r="E1208" s="78"/>
      <c r="F1208" s="78"/>
      <c r="G1208" s="78"/>
      <c r="H1208" s="80">
        <v>32.08197743055</v>
      </c>
      <c r="I1208" s="80">
        <f>VLOOKUP($C1208,'Unit tariffs'!$B$21:$F$122,5,FALSE)*$B1208</f>
        <v>33.4294204826331</v>
      </c>
      <c r="J1208" s="471" t="e">
        <f>IF(+I1208*'Unit tariffs'!#REF!&gt;'Unit tariffs'!#REF!,'Unit tariffs'!#REF!,+I1208*'Unit tariffs'!#REF!)</f>
        <v>#REF!</v>
      </c>
    </row>
    <row r="1209" spans="1:10" ht="12.75">
      <c r="A1209" s="97"/>
      <c r="B1209" s="78">
        <v>1.5</v>
      </c>
      <c r="C1209" s="78" t="str">
        <f>'Unit tariffs'!B21</f>
        <v>Installation material</v>
      </c>
      <c r="D1209" s="78"/>
      <c r="E1209" s="78"/>
      <c r="F1209" s="78"/>
      <c r="G1209" s="78"/>
      <c r="H1209" s="87">
        <v>170.46746775</v>
      </c>
      <c r="I1209" s="87">
        <f>VLOOKUP($C1209,'Unit tariffs'!$B$21:$F$122,5,FALSE)*$B1209</f>
        <v>390.75</v>
      </c>
      <c r="J1209" s="471" t="e">
        <f>IF(+I1209*'Unit tariffs'!#REF!&gt;'Unit tariffs'!#REF!,'Unit tariffs'!#REF!,+I1209*'Unit tariffs'!#REF!)</f>
        <v>#REF!</v>
      </c>
    </row>
    <row r="1210" spans="1:10" ht="12.75">
      <c r="A1210" s="97"/>
      <c r="B1210" s="78"/>
      <c r="C1210" s="78"/>
      <c r="D1210" s="78"/>
      <c r="E1210" s="78"/>
      <c r="F1210" s="78"/>
      <c r="G1210" s="80"/>
      <c r="H1210" s="80">
        <v>7488.633137180549</v>
      </c>
      <c r="I1210" s="80">
        <f>SUM(I1206:I1209)</f>
        <v>8016.2786275466315</v>
      </c>
      <c r="J1210" s="461"/>
    </row>
    <row r="1211" spans="1:10" ht="12.75">
      <c r="A1211" s="97"/>
      <c r="B1211" s="110" t="s">
        <v>42</v>
      </c>
      <c r="C1211" s="78"/>
      <c r="D1211" s="78"/>
      <c r="E1211" s="78"/>
      <c r="F1211" s="78"/>
      <c r="G1211" s="78"/>
      <c r="H1211" s="78"/>
      <c r="I1211" s="78"/>
      <c r="J1211" s="461"/>
    </row>
    <row r="1212" spans="1:10" ht="12.75">
      <c r="A1212" s="97"/>
      <c r="B1212" s="78"/>
      <c r="C1212" s="78"/>
      <c r="D1212" s="78"/>
      <c r="E1212" s="78"/>
      <c r="F1212" s="78"/>
      <c r="G1212" s="78"/>
      <c r="H1212" s="78"/>
      <c r="I1212" s="78"/>
      <c r="J1212" s="461"/>
    </row>
    <row r="1213" spans="1:10" ht="12.75">
      <c r="A1213" s="97"/>
      <c r="B1213" s="78">
        <v>2</v>
      </c>
      <c r="C1213" s="78" t="str">
        <f>'Unit tariffs'!B$86</f>
        <v>hour-artisan </v>
      </c>
      <c r="D1213" s="78"/>
      <c r="E1213" s="78"/>
      <c r="F1213" s="78"/>
      <c r="G1213" s="78"/>
      <c r="H1213" s="80">
        <v>360.1174651266923</v>
      </c>
      <c r="I1213" s="80">
        <f>VLOOKUP($C1213,'Unit tariffs'!$B$21:$F$122,5,FALSE)*$B1213</f>
        <v>645.7044634615385</v>
      </c>
      <c r="J1213" s="461"/>
    </row>
    <row r="1214" spans="1:10" ht="12.75">
      <c r="A1214" s="97"/>
      <c r="B1214" s="78">
        <v>2</v>
      </c>
      <c r="C1214" s="78" t="str">
        <f>'Unit tariffs'!B$84</f>
        <v>hour-artisan assistant</v>
      </c>
      <c r="D1214" s="78"/>
      <c r="E1214" s="78"/>
      <c r="F1214" s="78"/>
      <c r="G1214" s="78"/>
      <c r="H1214" s="87">
        <v>159.20611184686155</v>
      </c>
      <c r="I1214" s="87">
        <f>VLOOKUP($C1214,'Unit tariffs'!$B$21:$F$122,5,FALSE)*$B1214</f>
        <v>257.0716153846154</v>
      </c>
      <c r="J1214" s="111"/>
    </row>
    <row r="1215" spans="1:10" ht="12.75">
      <c r="A1215" s="97"/>
      <c r="B1215" s="78"/>
      <c r="C1215" s="78"/>
      <c r="D1215" s="78"/>
      <c r="E1215" s="78"/>
      <c r="F1215" s="78"/>
      <c r="G1215" s="78"/>
      <c r="H1215" s="80">
        <v>519.3235769735538</v>
      </c>
      <c r="I1215" s="80">
        <f>SUM(I1213:I1214)</f>
        <v>902.776078846154</v>
      </c>
      <c r="J1215" s="111"/>
    </row>
    <row r="1216" spans="1:10" ht="12.75">
      <c r="A1216" s="97"/>
      <c r="B1216" s="110" t="s">
        <v>43</v>
      </c>
      <c r="C1216" s="78"/>
      <c r="D1216" s="78"/>
      <c r="E1216" s="78"/>
      <c r="F1216" s="78"/>
      <c r="G1216" s="78"/>
      <c r="H1216" s="78"/>
      <c r="I1216" s="78"/>
      <c r="J1216" s="111"/>
    </row>
    <row r="1217" spans="1:10" ht="12.75">
      <c r="A1217" s="97"/>
      <c r="B1217" s="78"/>
      <c r="C1217" s="78"/>
      <c r="D1217" s="78"/>
      <c r="E1217" s="78"/>
      <c r="F1217" s="78"/>
      <c r="G1217" s="78"/>
      <c r="H1217" s="78"/>
      <c r="I1217" s="78"/>
      <c r="J1217" s="101"/>
    </row>
    <row r="1218" spans="1:10" ht="12.75">
      <c r="A1218" s="97"/>
      <c r="B1218" s="78">
        <v>35</v>
      </c>
      <c r="C1218" s="78" t="str">
        <f>'Unit tariffs'!B$110</f>
        <v>km-truck with platform</v>
      </c>
      <c r="D1218" s="78"/>
      <c r="E1218" s="78"/>
      <c r="F1218" s="78"/>
      <c r="G1218" s="78"/>
      <c r="H1218" s="80">
        <v>1136.2991822000004</v>
      </c>
      <c r="I1218" s="80">
        <f>VLOOKUP($C1218,'Unit tariffs'!$B$21:$F$122,5,FALSE)*$B1218</f>
        <v>1414.796182007271</v>
      </c>
      <c r="J1218" s="101"/>
    </row>
    <row r="1219" spans="1:10" ht="12.75">
      <c r="A1219" s="97"/>
      <c r="B1219" s="78">
        <v>1</v>
      </c>
      <c r="C1219" s="78" t="str">
        <f>'Unit tariffs'!B$111</f>
        <v>hour-truck with platform</v>
      </c>
      <c r="D1219" s="78"/>
      <c r="E1219" s="78"/>
      <c r="F1219" s="78"/>
      <c r="G1219" s="78"/>
      <c r="H1219" s="87">
        <v>167.61251000000001</v>
      </c>
      <c r="I1219" s="87">
        <f>VLOOKUP($C1219,'Unit tariffs'!$B$21:$F$122,5,FALSE)*$B1219</f>
        <v>196.72208955055</v>
      </c>
      <c r="J1219" s="111"/>
    </row>
    <row r="1220" spans="1:10" ht="12.75">
      <c r="A1220" s="97"/>
      <c r="B1220" s="78"/>
      <c r="C1220" s="78"/>
      <c r="D1220" s="78"/>
      <c r="E1220" s="78"/>
      <c r="F1220" s="78"/>
      <c r="G1220" s="78"/>
      <c r="H1220" s="80">
        <v>1303.9116922000003</v>
      </c>
      <c r="I1220" s="80">
        <f>SUM(I1218:I1219)</f>
        <v>1611.518271557821</v>
      </c>
      <c r="J1220" s="111"/>
    </row>
    <row r="1221" spans="1:10" ht="13.5" thickBot="1">
      <c r="A1221" s="97"/>
      <c r="B1221" s="78"/>
      <c r="C1221" s="78"/>
      <c r="D1221" s="78"/>
      <c r="E1221" s="78"/>
      <c r="F1221" s="78"/>
      <c r="G1221" s="78"/>
      <c r="H1221" s="114"/>
      <c r="I1221" s="114"/>
      <c r="J1221" s="111"/>
    </row>
    <row r="1222" spans="1:10" ht="13.5" thickTop="1">
      <c r="A1222" s="97"/>
      <c r="B1222" s="78"/>
      <c r="C1222" s="78"/>
      <c r="D1222" s="78"/>
      <c r="E1222" s="78"/>
      <c r="F1222" s="78"/>
      <c r="G1222" s="80"/>
      <c r="H1222" s="80">
        <v>12138.661326514106</v>
      </c>
      <c r="I1222" s="80">
        <f>I1220+I1215+I1210+I1203</f>
        <v>14051.590477950607</v>
      </c>
      <c r="J1222" s="101"/>
    </row>
    <row r="1223" spans="1:10" ht="13.5" thickBot="1">
      <c r="A1223" s="97"/>
      <c r="B1223" s="110" t="str">
        <f>'Unit tariffs'!$B$7</f>
        <v>Administration Levy (Indirect Cost)</v>
      </c>
      <c r="C1223" s="78"/>
      <c r="D1223" s="112">
        <f>'Unit tariffs'!$C$7</f>
        <v>0.1</v>
      </c>
      <c r="E1223" s="78" t="s">
        <v>312</v>
      </c>
      <c r="F1223" s="196">
        <f>+'Unit tariffs'!$F$7</f>
        <v>10000</v>
      </c>
      <c r="G1223" s="80"/>
      <c r="H1223" s="114">
        <v>3236.1671096486607</v>
      </c>
      <c r="I1223" s="114">
        <f>IF(I1222*$D1223&gt;='Unit tariffs'!$E$7,'Unit tariffs'!$E$7,I1222*$D1223)</f>
        <v>1405.1590477950608</v>
      </c>
      <c r="J1223" s="101"/>
    </row>
    <row r="1224" spans="1:10" ht="13.5" thickTop="1">
      <c r="A1224" s="97"/>
      <c r="B1224" s="110" t="s">
        <v>44</v>
      </c>
      <c r="C1224" s="78"/>
      <c r="D1224" s="78"/>
      <c r="E1224" s="78"/>
      <c r="F1224" s="78"/>
      <c r="G1224" s="80"/>
      <c r="H1224" s="115">
        <v>15374.828436162767</v>
      </c>
      <c r="I1224" s="115">
        <f>SUM(I1222:I1223)</f>
        <v>15456.749525745669</v>
      </c>
      <c r="J1224" s="111"/>
    </row>
    <row r="1225" spans="1:10" ht="12.75">
      <c r="A1225" s="97"/>
      <c r="B1225" s="110"/>
      <c r="C1225" s="78"/>
      <c r="D1225" s="78"/>
      <c r="E1225" s="78"/>
      <c r="F1225" s="78"/>
      <c r="G1225" s="80"/>
      <c r="H1225" s="80"/>
      <c r="I1225" s="80"/>
      <c r="J1225" s="111"/>
    </row>
    <row r="1226" spans="1:10" ht="12.75">
      <c r="A1226" s="97"/>
      <c r="B1226" s="110" t="s">
        <v>45</v>
      </c>
      <c r="C1226" s="78"/>
      <c r="D1226" s="78"/>
      <c r="E1226" s="78"/>
      <c r="F1226" s="78"/>
      <c r="G1226" s="78"/>
      <c r="H1226" s="90">
        <v>15370</v>
      </c>
      <c r="I1226" s="90">
        <f>ROUND(I1224,-1)</f>
        <v>15460</v>
      </c>
      <c r="J1226" s="111"/>
    </row>
    <row r="1227" spans="1:10" ht="12.75">
      <c r="A1227" s="97"/>
      <c r="B1227" s="121"/>
      <c r="C1227" s="121"/>
      <c r="D1227" s="121"/>
      <c r="E1227" s="121"/>
      <c r="F1227" s="121"/>
      <c r="G1227" s="121"/>
      <c r="H1227" s="78"/>
      <c r="I1227" s="80"/>
      <c r="J1227" s="111"/>
    </row>
    <row r="1228" spans="1:10" ht="12.75">
      <c r="A1228" s="97"/>
      <c r="B1228" s="78"/>
      <c r="C1228" s="78"/>
      <c r="D1228" s="78"/>
      <c r="E1228" s="78"/>
      <c r="F1228" s="78"/>
      <c r="G1228" s="78"/>
      <c r="H1228" s="118">
        <v>0.05273972602739726</v>
      </c>
      <c r="I1228" s="118">
        <f>(I1226-H1226)/H1226</f>
        <v>0.005855562784645413</v>
      </c>
      <c r="J1228" s="111"/>
    </row>
    <row r="1229" spans="1:10" ht="12.75">
      <c r="A1229" s="97"/>
      <c r="B1229" s="78"/>
      <c r="C1229" s="78"/>
      <c r="D1229" s="78"/>
      <c r="E1229" s="78"/>
      <c r="F1229" s="78"/>
      <c r="G1229" s="78"/>
      <c r="H1229" s="78"/>
      <c r="I1229" s="78"/>
      <c r="J1229" s="111"/>
    </row>
    <row r="1230" spans="1:10" ht="12.75">
      <c r="A1230" s="97"/>
      <c r="B1230" s="78" t="s">
        <v>1</v>
      </c>
      <c r="C1230" s="78"/>
      <c r="D1230" s="78"/>
      <c r="E1230" s="78"/>
      <c r="F1230" s="78"/>
      <c r="G1230" s="78"/>
      <c r="H1230" s="78"/>
      <c r="I1230" s="78"/>
      <c r="J1230" s="111"/>
    </row>
    <row r="1231" spans="1:10" ht="12.75">
      <c r="A1231" s="97"/>
      <c r="B1231" s="820" t="s">
        <v>594</v>
      </c>
      <c r="C1231" s="821"/>
      <c r="D1231" s="821"/>
      <c r="E1231" s="821"/>
      <c r="F1231" s="821"/>
      <c r="G1231" s="822"/>
      <c r="H1231" s="78"/>
      <c r="I1231" s="141" t="s">
        <v>232</v>
      </c>
      <c r="J1231" s="111"/>
    </row>
    <row r="1232" spans="1:10" ht="12.75">
      <c r="A1232" s="97"/>
      <c r="B1232" s="78"/>
      <c r="C1232" s="78"/>
      <c r="D1232" s="78"/>
      <c r="E1232" s="78"/>
      <c r="F1232" s="78"/>
      <c r="G1232" s="78"/>
      <c r="H1232" s="109" t="str">
        <f>+H$11</f>
        <v>2020/2021</v>
      </c>
      <c r="I1232" s="109" t="str">
        <f>+'Unit tariffs'!$F$11</f>
        <v>2021/2022</v>
      </c>
      <c r="J1232" s="116"/>
    </row>
    <row r="1233" spans="1:10" ht="13.5">
      <c r="A1233" s="97"/>
      <c r="B1233" s="78"/>
      <c r="C1233" s="78"/>
      <c r="D1233" s="78"/>
      <c r="E1233" s="78"/>
      <c r="F1233" s="78"/>
      <c r="G1233" s="78"/>
      <c r="H1233" s="144"/>
      <c r="I1233" s="134"/>
      <c r="J1233" s="111"/>
    </row>
    <row r="1234" spans="1:10" ht="13.5">
      <c r="A1234" s="97"/>
      <c r="B1234" s="110" t="s">
        <v>117</v>
      </c>
      <c r="C1234" s="78"/>
      <c r="D1234" s="78"/>
      <c r="E1234" s="78"/>
      <c r="F1234" s="78"/>
      <c r="G1234" s="78"/>
      <c r="H1234" s="144"/>
      <c r="I1234" s="134"/>
      <c r="J1234" s="119"/>
    </row>
    <row r="1235" spans="1:10" ht="12.75">
      <c r="A1235" s="97"/>
      <c r="B1235" s="78" t="s">
        <v>118</v>
      </c>
      <c r="C1235" s="78"/>
      <c r="D1235" s="78"/>
      <c r="E1235" s="78"/>
      <c r="F1235" s="78"/>
      <c r="G1235" s="78"/>
      <c r="H1235" s="145"/>
      <c r="I1235" s="134"/>
      <c r="J1235" s="101"/>
    </row>
    <row r="1236" spans="1:10" ht="12.75">
      <c r="A1236" s="97"/>
      <c r="B1236" s="78">
        <v>2.5</v>
      </c>
      <c r="C1236" s="78" t="str">
        <f>'Unit tariffs'!B136</f>
        <v>Primary Backbone - Peri Urban</v>
      </c>
      <c r="D1236" s="78"/>
      <c r="E1236" s="78"/>
      <c r="F1236" s="78" t="s">
        <v>95</v>
      </c>
      <c r="G1236" s="78"/>
      <c r="H1236" s="80">
        <v>2318.042474220001</v>
      </c>
      <c r="I1236" s="80">
        <f>VLOOKUP($C1236,'Unit tariffs'!$B$21:$F$157,5,FALSE)*$B1236</f>
        <v>2887.3350000000005</v>
      </c>
      <c r="J1236" s="101"/>
    </row>
    <row r="1237" spans="1:10" s="747" customFormat="1" ht="12.75">
      <c r="A1237" s="753"/>
      <c r="B1237" s="91">
        <v>2.5</v>
      </c>
      <c r="C1237" s="91" t="str">
        <f>'Unit tariffs'!B137</f>
        <v>Secondary Backbone - MV Peri Urban</v>
      </c>
      <c r="D1237" s="91"/>
      <c r="E1237" s="91"/>
      <c r="F1237" s="91" t="s">
        <v>95</v>
      </c>
      <c r="G1237" s="91"/>
      <c r="H1237" s="198">
        <v>0</v>
      </c>
      <c r="I1237" s="198">
        <f>VLOOKUP($C1237,'Unit tariffs'!$B$21:$F$157,5,FALSE)*$B1237</f>
        <v>2429.7625</v>
      </c>
      <c r="J1237" s="754"/>
    </row>
    <row r="1238" spans="1:10" ht="12.75">
      <c r="A1238" s="97"/>
      <c r="B1238" s="78">
        <v>2.5</v>
      </c>
      <c r="C1238" s="78" t="str">
        <f>'Unit tariffs'!B$138</f>
        <v>Secondary Backbone - LV Peri Urban</v>
      </c>
      <c r="D1238" s="78"/>
      <c r="E1238" s="78"/>
      <c r="F1238" s="78" t="str">
        <f>'Unit tariffs'!C$137</f>
        <v>per kVA</v>
      </c>
      <c r="G1238" s="78"/>
      <c r="H1238" s="87">
        <v>3200.0600176050016</v>
      </c>
      <c r="I1238" s="87">
        <f>VLOOKUP($C1238,'Unit tariffs'!$B$21:$F$157,5,FALSE)*$B1238</f>
        <v>3985.9600000000005</v>
      </c>
      <c r="J1238" s="101"/>
    </row>
    <row r="1239" spans="1:10" ht="12.75">
      <c r="A1239" s="97"/>
      <c r="B1239" s="78"/>
      <c r="C1239" s="78"/>
      <c r="D1239" s="78"/>
      <c r="E1239" s="78"/>
      <c r="F1239" s="78"/>
      <c r="G1239" s="78"/>
      <c r="H1239" s="80">
        <v>5518.102491825002</v>
      </c>
      <c r="I1239" s="80">
        <f>SUM(I1236:I1238)</f>
        <v>9303.0575</v>
      </c>
      <c r="J1239" s="458"/>
    </row>
    <row r="1240" spans="1:10" ht="12.75">
      <c r="A1240" s="97"/>
      <c r="B1240" s="110" t="s">
        <v>41</v>
      </c>
      <c r="C1240" s="78"/>
      <c r="D1240" s="78"/>
      <c r="E1240" s="78"/>
      <c r="F1240" s="78"/>
      <c r="G1240" s="78"/>
      <c r="H1240" s="78"/>
      <c r="I1240" s="78"/>
      <c r="J1240" s="464"/>
    </row>
    <row r="1241" spans="1:10" ht="12.75">
      <c r="A1241" s="97"/>
      <c r="B1241" s="78"/>
      <c r="C1241" s="78"/>
      <c r="D1241" s="78"/>
      <c r="E1241" s="78"/>
      <c r="F1241" s="78"/>
      <c r="G1241" s="78"/>
      <c r="H1241" s="78"/>
      <c r="I1241" s="78"/>
      <c r="J1241" s="458" t="s">
        <v>315</v>
      </c>
    </row>
    <row r="1242" spans="1:10" ht="12.75">
      <c r="A1242" s="97"/>
      <c r="B1242" s="78">
        <v>1</v>
      </c>
      <c r="C1242" s="78" t="s">
        <v>314</v>
      </c>
      <c r="D1242" s="78"/>
      <c r="E1242" s="78"/>
      <c r="F1242" s="78"/>
      <c r="G1242" s="78"/>
      <c r="H1242" s="80">
        <v>4588.4827</v>
      </c>
      <c r="I1242" s="80">
        <f>VLOOKUP($C1242,'Unit tariffs'!$B$21:$F$122,5,FALSE)*$B1242</f>
        <v>5314.91420764</v>
      </c>
      <c r="J1242" s="471" t="e">
        <f>IF(+I1242*'Unit tariffs'!#REF!&gt;'Unit tariffs'!#REF!,'Unit tariffs'!#REF!,+I1242*'Unit tariffs'!#REF!)</f>
        <v>#REF!</v>
      </c>
    </row>
    <row r="1243" spans="1:10" ht="12.75">
      <c r="A1243" s="97"/>
      <c r="B1243" s="78">
        <v>3</v>
      </c>
      <c r="C1243" s="78" t="str">
        <f>'Unit tariffs'!B42</f>
        <v>x 80 A circuit breaker (5kA) - Orange</v>
      </c>
      <c r="D1243" s="78"/>
      <c r="E1243" s="78"/>
      <c r="F1243" s="78"/>
      <c r="G1243" s="78"/>
      <c r="H1243" s="80">
        <v>541.0141229999999</v>
      </c>
      <c r="I1243" s="80">
        <f>VLOOKUP($C1243,'Unit tariffs'!$B$21:$F$122,5,FALSE)*$B1243</f>
        <v>563.736716166</v>
      </c>
      <c r="J1243" s="471" t="e">
        <f>IF(+I1243*'Unit tariffs'!#REF!&gt;'Unit tariffs'!#REF!,'Unit tariffs'!#REF!,+I1243*'Unit tariffs'!#REF!)</f>
        <v>#REF!</v>
      </c>
    </row>
    <row r="1244" spans="1:10" ht="12.75">
      <c r="A1244" s="97"/>
      <c r="B1244" s="78">
        <v>1</v>
      </c>
      <c r="C1244" s="78" t="str">
        <f>'Unit tariffs'!B71</f>
        <v>Cable clamp (Clampex) - K26</v>
      </c>
      <c r="D1244" s="78"/>
      <c r="E1244" s="78"/>
      <c r="F1244" s="78"/>
      <c r="G1244" s="78"/>
      <c r="H1244" s="80">
        <v>32.08197743055</v>
      </c>
      <c r="I1244" s="80">
        <f>VLOOKUP($C1244,'Unit tariffs'!$B$21:$F$122,5,FALSE)*$B1244</f>
        <v>33.4294204826331</v>
      </c>
      <c r="J1244" s="471" t="e">
        <f>IF(+I1244*'Unit tariffs'!#REF!&gt;'Unit tariffs'!#REF!,'Unit tariffs'!#REF!,+I1244*'Unit tariffs'!#REF!)</f>
        <v>#REF!</v>
      </c>
    </row>
    <row r="1245" spans="1:10" ht="12.75">
      <c r="A1245" s="97"/>
      <c r="B1245" s="91">
        <v>0</v>
      </c>
      <c r="C1245" s="78" t="str">
        <f>'Unit tariffs'!B55</f>
        <v>m 16 mm x 4 Cu cable</v>
      </c>
      <c r="D1245" s="78"/>
      <c r="E1245" s="78"/>
      <c r="F1245" s="78"/>
      <c r="G1245" s="78"/>
      <c r="H1245" s="80">
        <v>4072.2831981504996</v>
      </c>
      <c r="I1245" s="80">
        <f>VLOOKUP($C1245,'Unit tariffs'!$B$21:$F$122,5,FALSE)*$B1245</f>
        <v>0</v>
      </c>
      <c r="J1245" s="471" t="e">
        <f>IF(+I1245*'Unit tariffs'!#REF!&gt;'Unit tariffs'!#REF!,'Unit tariffs'!#REF!,+I1245*'Unit tariffs'!#REF!)</f>
        <v>#REF!</v>
      </c>
    </row>
    <row r="1246" spans="1:10" ht="12.75">
      <c r="A1246" s="97"/>
      <c r="B1246" s="78">
        <v>1</v>
      </c>
      <c r="C1246" s="78" t="str">
        <f>'Unit tariffs'!B21</f>
        <v>Installation material</v>
      </c>
      <c r="D1246" s="78"/>
      <c r="E1246" s="78"/>
      <c r="F1246" s="78"/>
      <c r="G1246" s="78"/>
      <c r="H1246" s="87">
        <v>113.6449785</v>
      </c>
      <c r="I1246" s="87">
        <f>VLOOKUP($C1246,'Unit tariffs'!$B$21:$F$122,5,FALSE)*$B1246</f>
        <v>260.5</v>
      </c>
      <c r="J1246" s="471" t="e">
        <f>IF(+I1246*'Unit tariffs'!#REF!&gt;'Unit tariffs'!#REF!,'Unit tariffs'!#REF!,+I1246*'Unit tariffs'!#REF!)</f>
        <v>#REF!</v>
      </c>
    </row>
    <row r="1247" spans="1:10" ht="12.75">
      <c r="A1247" s="97"/>
      <c r="B1247" s="78"/>
      <c r="C1247" s="78"/>
      <c r="D1247" s="78"/>
      <c r="E1247" s="78"/>
      <c r="F1247" s="78"/>
      <c r="G1247" s="80"/>
      <c r="H1247" s="80">
        <v>9347.50697708105</v>
      </c>
      <c r="I1247" s="80">
        <f>SUM(I1242:I1246)</f>
        <v>6172.580344288634</v>
      </c>
      <c r="J1247" s="461"/>
    </row>
    <row r="1248" spans="1:10" ht="12.75">
      <c r="A1248" s="97"/>
      <c r="B1248" s="110" t="s">
        <v>42</v>
      </c>
      <c r="C1248" s="78"/>
      <c r="D1248" s="78"/>
      <c r="E1248" s="78"/>
      <c r="F1248" s="78"/>
      <c r="G1248" s="78"/>
      <c r="H1248" s="78"/>
      <c r="I1248" s="78"/>
      <c r="J1248" s="461"/>
    </row>
    <row r="1249" spans="1:10" ht="12.75">
      <c r="A1249" s="97"/>
      <c r="B1249" s="78"/>
      <c r="C1249" s="78"/>
      <c r="D1249" s="78"/>
      <c r="E1249" s="78"/>
      <c r="F1249" s="78"/>
      <c r="G1249" s="78"/>
      <c r="H1249" s="78"/>
      <c r="I1249" s="78"/>
      <c r="J1249" s="461"/>
    </row>
    <row r="1250" spans="1:10" ht="12.75">
      <c r="A1250" s="97"/>
      <c r="B1250" s="78">
        <v>4</v>
      </c>
      <c r="C1250" s="78" t="str">
        <f>'Unit tariffs'!B$86</f>
        <v>hour-artisan </v>
      </c>
      <c r="D1250" s="78"/>
      <c r="E1250" s="78"/>
      <c r="F1250" s="78"/>
      <c r="G1250" s="78"/>
      <c r="H1250" s="80">
        <v>720.2349302533846</v>
      </c>
      <c r="I1250" s="80">
        <f>VLOOKUP($C1250,'Unit tariffs'!$B$21:$F$122,5,FALSE)*$B1250</f>
        <v>1291.408926923077</v>
      </c>
      <c r="J1250" s="111"/>
    </row>
    <row r="1251" spans="1:10" ht="12.75">
      <c r="A1251" s="97"/>
      <c r="B1251" s="78">
        <v>8</v>
      </c>
      <c r="C1251" s="78" t="str">
        <f>'Unit tariffs'!B$84</f>
        <v>hour-artisan assistant</v>
      </c>
      <c r="D1251" s="78"/>
      <c r="E1251" s="78"/>
      <c r="F1251" s="78"/>
      <c r="G1251" s="78"/>
      <c r="H1251" s="87">
        <v>636.8244473874462</v>
      </c>
      <c r="I1251" s="87">
        <f>VLOOKUP($C1251,'Unit tariffs'!$B$21:$F$122,5,FALSE)*$B1251</f>
        <v>1028.2864615384617</v>
      </c>
      <c r="J1251" s="111"/>
    </row>
    <row r="1252" spans="1:10" ht="12.75">
      <c r="A1252" s="97"/>
      <c r="B1252" s="78"/>
      <c r="C1252" s="78"/>
      <c r="D1252" s="78"/>
      <c r="E1252" s="78"/>
      <c r="F1252" s="78"/>
      <c r="G1252" s="78"/>
      <c r="H1252" s="80">
        <v>1357.059377640831</v>
      </c>
      <c r="I1252" s="80">
        <f>SUM(I1250:I1251)</f>
        <v>2319.6953884615386</v>
      </c>
      <c r="J1252" s="111"/>
    </row>
    <row r="1253" spans="1:10" ht="12.75">
      <c r="A1253" s="97"/>
      <c r="B1253" s="110" t="s">
        <v>43</v>
      </c>
      <c r="C1253" s="78"/>
      <c r="D1253" s="78"/>
      <c r="E1253" s="78"/>
      <c r="F1253" s="78"/>
      <c r="G1253" s="78"/>
      <c r="H1253" s="78"/>
      <c r="I1253" s="78"/>
      <c r="J1253" s="101"/>
    </row>
    <row r="1254" spans="1:10" ht="12.75">
      <c r="A1254" s="97"/>
      <c r="B1254" s="78"/>
      <c r="C1254" s="78"/>
      <c r="D1254" s="78"/>
      <c r="E1254" s="78"/>
      <c r="F1254" s="78"/>
      <c r="G1254" s="78"/>
      <c r="H1254" s="78"/>
      <c r="I1254" s="78"/>
      <c r="J1254" s="101"/>
    </row>
    <row r="1255" spans="1:10" ht="12.75">
      <c r="A1255" s="97"/>
      <c r="B1255" s="78">
        <v>24</v>
      </c>
      <c r="C1255" s="78" t="str">
        <f>'Unit tariffs'!B$110</f>
        <v>km-truck with platform</v>
      </c>
      <c r="D1255" s="78"/>
      <c r="E1255" s="78"/>
      <c r="F1255" s="78"/>
      <c r="G1255" s="78"/>
      <c r="H1255" s="80">
        <v>779.1765820800001</v>
      </c>
      <c r="I1255" s="80">
        <f>VLOOKUP($C1255,'Unit tariffs'!$B$21:$F$122,5,FALSE)*$B1255</f>
        <v>970.1459533764145</v>
      </c>
      <c r="J1255" s="111"/>
    </row>
    <row r="1256" spans="1:10" ht="12.75">
      <c r="A1256" s="97"/>
      <c r="B1256" s="78">
        <v>4</v>
      </c>
      <c r="C1256" s="78" t="str">
        <f>'Unit tariffs'!B$111</f>
        <v>hour-truck with platform</v>
      </c>
      <c r="D1256" s="78"/>
      <c r="E1256" s="78"/>
      <c r="F1256" s="78"/>
      <c r="G1256" s="78"/>
      <c r="H1256" s="87">
        <v>670.4500400000001</v>
      </c>
      <c r="I1256" s="87">
        <f>VLOOKUP($C1256,'Unit tariffs'!$B$21:$F$122,5,FALSE)*$B1256</f>
        <v>786.8883582022</v>
      </c>
      <c r="J1256" s="111"/>
    </row>
    <row r="1257" spans="1:10" ht="12.75">
      <c r="A1257" s="97"/>
      <c r="B1257" s="78"/>
      <c r="C1257" s="78"/>
      <c r="D1257" s="78"/>
      <c r="E1257" s="78"/>
      <c r="F1257" s="78"/>
      <c r="G1257" s="78"/>
      <c r="H1257" s="80">
        <v>1449.6266220800003</v>
      </c>
      <c r="I1257" s="80">
        <f>SUM(I1255:I1256)</f>
        <v>1757.0343115786145</v>
      </c>
      <c r="J1257" s="111"/>
    </row>
    <row r="1258" spans="1:10" ht="13.5" thickBot="1">
      <c r="A1258" s="97"/>
      <c r="B1258" s="78"/>
      <c r="C1258" s="78"/>
      <c r="D1258" s="78"/>
      <c r="E1258" s="78"/>
      <c r="F1258" s="78"/>
      <c r="G1258" s="78"/>
      <c r="H1258" s="114"/>
      <c r="I1258" s="114"/>
      <c r="J1258" s="101"/>
    </row>
    <row r="1259" spans="1:10" ht="13.5" thickTop="1">
      <c r="A1259" s="97"/>
      <c r="B1259" s="78"/>
      <c r="C1259" s="78"/>
      <c r="D1259" s="78"/>
      <c r="E1259" s="78"/>
      <c r="F1259" s="78"/>
      <c r="G1259" s="80"/>
      <c r="H1259" s="80">
        <v>17672.295468626886</v>
      </c>
      <c r="I1259" s="80">
        <f>I1257+I1252+I1247+I1239</f>
        <v>19552.367544328787</v>
      </c>
      <c r="J1259" s="101"/>
    </row>
    <row r="1260" spans="1:10" ht="13.5" thickBot="1">
      <c r="A1260" s="97"/>
      <c r="B1260" s="110" t="str">
        <f>'Unit tariffs'!$B$7</f>
        <v>Administration Levy (Indirect Cost)</v>
      </c>
      <c r="C1260" s="78"/>
      <c r="D1260" s="112">
        <f>'Unit tariffs'!$C$7</f>
        <v>0.1</v>
      </c>
      <c r="E1260" s="78" t="s">
        <v>312</v>
      </c>
      <c r="F1260" s="196">
        <f>+'Unit tariffs'!$F$7</f>
        <v>10000</v>
      </c>
      <c r="G1260" s="80"/>
      <c r="H1260" s="114">
        <v>4711.433971935928</v>
      </c>
      <c r="I1260" s="114">
        <f>IF(I1259*$D1260&gt;='Unit tariffs'!$E$7,'Unit tariffs'!$E$7,I1259*$D1260)</f>
        <v>1955.2367544328788</v>
      </c>
      <c r="J1260" s="111"/>
    </row>
    <row r="1261" spans="1:10" ht="13.5" thickTop="1">
      <c r="A1261" s="97"/>
      <c r="B1261" s="110" t="s">
        <v>44</v>
      </c>
      <c r="C1261" s="78"/>
      <c r="D1261" s="78"/>
      <c r="E1261" s="78"/>
      <c r="F1261" s="78"/>
      <c r="G1261" s="80"/>
      <c r="H1261" s="115">
        <v>22383.729440562813</v>
      </c>
      <c r="I1261" s="115">
        <f>SUM(I1259:I1260)</f>
        <v>21507.604298761664</v>
      </c>
      <c r="J1261" s="111"/>
    </row>
    <row r="1262" spans="1:10" ht="12.75">
      <c r="A1262" s="97"/>
      <c r="B1262" s="110"/>
      <c r="C1262" s="78"/>
      <c r="D1262" s="78"/>
      <c r="E1262" s="78"/>
      <c r="F1262" s="78"/>
      <c r="G1262" s="80"/>
      <c r="H1262" s="80"/>
      <c r="I1262" s="80"/>
      <c r="J1262" s="111"/>
    </row>
    <row r="1263" spans="1:10" ht="12.75">
      <c r="A1263" s="97"/>
      <c r="B1263" s="110" t="s">
        <v>45</v>
      </c>
      <c r="C1263" s="78"/>
      <c r="D1263" s="78"/>
      <c r="E1263" s="78"/>
      <c r="F1263" s="78"/>
      <c r="G1263" s="78"/>
      <c r="H1263" s="90">
        <v>22380</v>
      </c>
      <c r="I1263" s="90">
        <f>ROUND(I1261,-1)</f>
        <v>21510</v>
      </c>
      <c r="J1263" s="111"/>
    </row>
    <row r="1264" spans="1:10" ht="12.75">
      <c r="A1264" s="97"/>
      <c r="B1264" s="121"/>
      <c r="C1264" s="121"/>
      <c r="D1264" s="121"/>
      <c r="E1264" s="121"/>
      <c r="F1264" s="121"/>
      <c r="G1264" s="121"/>
      <c r="H1264" s="80"/>
      <c r="I1264" s="80"/>
      <c r="J1264" s="111"/>
    </row>
    <row r="1265" spans="1:10" ht="12.75">
      <c r="A1265" s="97"/>
      <c r="B1265" s="78"/>
      <c r="C1265" s="78"/>
      <c r="D1265" s="78"/>
      <c r="E1265" s="78"/>
      <c r="F1265" s="78"/>
      <c r="G1265" s="78"/>
      <c r="H1265" s="118">
        <v>0.05815602836879433</v>
      </c>
      <c r="I1265" s="118">
        <f>(I1263-H1263)/H1263</f>
        <v>-0.0388739946380697</v>
      </c>
      <c r="J1265" s="111"/>
    </row>
    <row r="1266" spans="1:17" ht="13.5" thickBot="1">
      <c r="A1266" s="462"/>
      <c r="B1266" s="130"/>
      <c r="C1266" s="130"/>
      <c r="D1266" s="130"/>
      <c r="E1266" s="130"/>
      <c r="F1266" s="130"/>
      <c r="G1266" s="130"/>
      <c r="H1266" s="139"/>
      <c r="I1266" s="139"/>
      <c r="J1266" s="755"/>
      <c r="K1266" s="756"/>
      <c r="L1266" s="756"/>
      <c r="M1266" s="756"/>
      <c r="N1266" s="756"/>
      <c r="O1266" s="756"/>
      <c r="P1266" s="756"/>
      <c r="Q1266" s="756"/>
    </row>
    <row r="1267" spans="1:10" ht="13.5" thickTop="1">
      <c r="A1267" s="97"/>
      <c r="B1267" s="78"/>
      <c r="C1267" s="78"/>
      <c r="D1267" s="78"/>
      <c r="E1267" s="78"/>
      <c r="F1267" s="78"/>
      <c r="G1267" s="78"/>
      <c r="H1267" s="78"/>
      <c r="I1267" s="78"/>
      <c r="J1267" s="111"/>
    </row>
    <row r="1268" spans="1:10" ht="12.75">
      <c r="A1268" s="97"/>
      <c r="B1268" s="820" t="s">
        <v>595</v>
      </c>
      <c r="C1268" s="821"/>
      <c r="D1268" s="821"/>
      <c r="E1268" s="821"/>
      <c r="F1268" s="821"/>
      <c r="G1268" s="822"/>
      <c r="H1268" s="78"/>
      <c r="I1268" s="141" t="s">
        <v>232</v>
      </c>
      <c r="J1268" s="116"/>
    </row>
    <row r="1269" spans="1:10" ht="12.75">
      <c r="A1269" s="97"/>
      <c r="B1269" s="78"/>
      <c r="C1269" s="78"/>
      <c r="D1269" s="78"/>
      <c r="E1269" s="78"/>
      <c r="F1269" s="78"/>
      <c r="G1269" s="78"/>
      <c r="H1269" s="109" t="str">
        <f>+H$11</f>
        <v>2020/2021</v>
      </c>
      <c r="I1269" s="109" t="str">
        <f>+'Unit tariffs'!$F$11</f>
        <v>2021/2022</v>
      </c>
      <c r="J1269" s="111"/>
    </row>
    <row r="1270" spans="1:10" ht="13.5">
      <c r="A1270" s="97"/>
      <c r="B1270" s="78"/>
      <c r="C1270" s="78"/>
      <c r="D1270" s="78"/>
      <c r="E1270" s="78"/>
      <c r="F1270" s="78"/>
      <c r="G1270" s="78"/>
      <c r="H1270" s="144"/>
      <c r="I1270" s="134"/>
      <c r="J1270" s="119"/>
    </row>
    <row r="1271" spans="1:10" ht="13.5">
      <c r="A1271" s="97"/>
      <c r="B1271" s="110" t="s">
        <v>117</v>
      </c>
      <c r="C1271" s="78"/>
      <c r="D1271" s="78"/>
      <c r="E1271" s="78"/>
      <c r="F1271" s="78"/>
      <c r="G1271" s="78"/>
      <c r="H1271" s="144"/>
      <c r="I1271" s="134"/>
      <c r="J1271" s="119"/>
    </row>
    <row r="1272" spans="1:10" ht="12.75">
      <c r="A1272" s="97"/>
      <c r="B1272" s="78" t="s">
        <v>118</v>
      </c>
      <c r="C1272" s="78"/>
      <c r="D1272" s="78"/>
      <c r="E1272" s="78"/>
      <c r="F1272" s="78"/>
      <c r="G1272" s="78"/>
      <c r="H1272" s="145"/>
      <c r="I1272" s="134"/>
      <c r="J1272" s="101"/>
    </row>
    <row r="1273" spans="1:10" ht="23.25" customHeight="1">
      <c r="A1273" s="97"/>
      <c r="B1273" s="78">
        <v>2.5</v>
      </c>
      <c r="C1273" s="78" t="str">
        <f>'Unit tariffs'!B136</f>
        <v>Primary Backbone - Peri Urban</v>
      </c>
      <c r="D1273" s="78"/>
      <c r="E1273" s="78"/>
      <c r="F1273" s="78" t="s">
        <v>95</v>
      </c>
      <c r="G1273" s="78"/>
      <c r="H1273" s="88">
        <v>2318.042474220001</v>
      </c>
      <c r="I1273" s="80">
        <f>VLOOKUP($C1273,'Unit tariffs'!$B$21:$F$157,5,FALSE)*$B1273</f>
        <v>2887.3350000000005</v>
      </c>
      <c r="J1273" s="101"/>
    </row>
    <row r="1274" spans="1:10" s="747" customFormat="1" ht="12.75">
      <c r="A1274" s="753"/>
      <c r="B1274" s="91">
        <v>2.5</v>
      </c>
      <c r="C1274" s="91" t="str">
        <f>'Unit tariffs'!B137</f>
        <v>Secondary Backbone - MV Peri Urban</v>
      </c>
      <c r="D1274" s="91"/>
      <c r="E1274" s="91"/>
      <c r="F1274" s="91"/>
      <c r="G1274" s="91"/>
      <c r="H1274" s="748">
        <v>0</v>
      </c>
      <c r="I1274" s="198">
        <f>VLOOKUP($C1274,'Unit tariffs'!$B$21:$F$157,5,FALSE)*$B1274</f>
        <v>2429.7625</v>
      </c>
      <c r="J1274" s="754"/>
    </row>
    <row r="1275" spans="1:10" ht="12.75">
      <c r="A1275" s="97"/>
      <c r="B1275" s="78">
        <v>2.5</v>
      </c>
      <c r="C1275" s="78" t="str">
        <f>'Unit tariffs'!B$138</f>
        <v>Secondary Backbone - LV Peri Urban</v>
      </c>
      <c r="D1275" s="78"/>
      <c r="E1275" s="78"/>
      <c r="F1275" s="78" t="str">
        <f>'Unit tariffs'!C$137</f>
        <v>per kVA</v>
      </c>
      <c r="G1275" s="78"/>
      <c r="H1275" s="89">
        <v>3200.0600176050016</v>
      </c>
      <c r="I1275" s="87">
        <f>VLOOKUP($C1275,'Unit tariffs'!$B$21:$F$157,5,FALSE)*$B1275</f>
        <v>3985.9600000000005</v>
      </c>
      <c r="J1275" s="458"/>
    </row>
    <row r="1276" spans="1:10" ht="12.75">
      <c r="A1276" s="97"/>
      <c r="B1276" s="78"/>
      <c r="C1276" s="78"/>
      <c r="D1276" s="78"/>
      <c r="E1276" s="78"/>
      <c r="F1276" s="78"/>
      <c r="G1276" s="78"/>
      <c r="H1276" s="88">
        <v>5518.102491825002</v>
      </c>
      <c r="I1276" s="80">
        <f>SUM(I1273:I1275)</f>
        <v>9303.0575</v>
      </c>
      <c r="J1276" s="464"/>
    </row>
    <row r="1277" spans="1:10" ht="12.75">
      <c r="A1277" s="97"/>
      <c r="B1277" s="110" t="s">
        <v>41</v>
      </c>
      <c r="C1277" s="78"/>
      <c r="D1277" s="78"/>
      <c r="E1277" s="78"/>
      <c r="F1277" s="78"/>
      <c r="G1277" s="78"/>
      <c r="H1277" s="145"/>
      <c r="I1277" s="78"/>
      <c r="J1277" s="464"/>
    </row>
    <row r="1278" spans="1:10" ht="12.75">
      <c r="A1278" s="97"/>
      <c r="B1278" s="78"/>
      <c r="C1278" s="78"/>
      <c r="D1278" s="78"/>
      <c r="E1278" s="78"/>
      <c r="F1278" s="78"/>
      <c r="G1278" s="78"/>
      <c r="H1278" s="145"/>
      <c r="I1278" s="78"/>
      <c r="J1278" s="458" t="s">
        <v>315</v>
      </c>
    </row>
    <row r="1279" spans="1:10" ht="12.75">
      <c r="A1279" s="97"/>
      <c r="B1279" s="78">
        <v>1</v>
      </c>
      <c r="C1279" s="78" t="str">
        <f>'Unit tariffs'!B35</f>
        <v>Prepaid meter (Split) 3 phase - </v>
      </c>
      <c r="D1279" s="78"/>
      <c r="E1279" s="78"/>
      <c r="F1279" s="78"/>
      <c r="G1279" s="78"/>
      <c r="H1279" s="88">
        <v>6745.069568999999</v>
      </c>
      <c r="I1279" s="80">
        <f>VLOOKUP($C1279,'Unit tariffs'!$B$21:$F$122,5,FALSE)*$B1279</f>
        <v>7028.362490897999</v>
      </c>
      <c r="J1279" s="471" t="e">
        <f>IF(+I1279*'Unit tariffs'!#REF!&gt;'Unit tariffs'!#REF!,'Unit tariffs'!#REF!,+I1279*'Unit tariffs'!#REF!)</f>
        <v>#REF!</v>
      </c>
    </row>
    <row r="1280" spans="1:10" ht="12.75">
      <c r="A1280" s="97"/>
      <c r="B1280" s="78">
        <v>3</v>
      </c>
      <c r="C1280" s="78" t="str">
        <f>'Unit tariffs'!B42</f>
        <v>x 80 A circuit breaker (5kA) - Orange</v>
      </c>
      <c r="D1280" s="78"/>
      <c r="E1280" s="78"/>
      <c r="F1280" s="78"/>
      <c r="G1280" s="78"/>
      <c r="H1280" s="88">
        <v>541.0141229999999</v>
      </c>
      <c r="I1280" s="80">
        <f>VLOOKUP($C1280,'Unit tariffs'!$B$21:$F$122,5,FALSE)*$B1280</f>
        <v>563.736716166</v>
      </c>
      <c r="J1280" s="471" t="e">
        <f>IF(+I1280*'Unit tariffs'!#REF!&gt;'Unit tariffs'!#REF!,'Unit tariffs'!#REF!,+I1280*'Unit tariffs'!#REF!)</f>
        <v>#REF!</v>
      </c>
    </row>
    <row r="1281" spans="1:10" ht="12.75">
      <c r="A1281" s="97"/>
      <c r="B1281" s="78">
        <v>1</v>
      </c>
      <c r="C1281" s="78" t="str">
        <f>'Unit tariffs'!B71</f>
        <v>Cable clamp (Clampex) - K26</v>
      </c>
      <c r="D1281" s="78"/>
      <c r="E1281" s="78"/>
      <c r="F1281" s="78"/>
      <c r="G1281" s="78"/>
      <c r="H1281" s="88">
        <v>32.08197743055</v>
      </c>
      <c r="I1281" s="80">
        <f>VLOOKUP($C1281,'Unit tariffs'!$B$21:$F$122,5,FALSE)*$B1281</f>
        <v>33.4294204826331</v>
      </c>
      <c r="J1281" s="471" t="e">
        <f>IF(+I1281*'Unit tariffs'!#REF!&gt;'Unit tariffs'!#REF!,'Unit tariffs'!#REF!,+I1281*'Unit tariffs'!#REF!)</f>
        <v>#REF!</v>
      </c>
    </row>
    <row r="1282" spans="1:10" ht="12.75">
      <c r="A1282" s="97"/>
      <c r="B1282" s="91">
        <v>0</v>
      </c>
      <c r="C1282" s="78" t="str">
        <f>'Unit tariffs'!B55</f>
        <v>m 16 mm x 4 Cu cable</v>
      </c>
      <c r="D1282" s="78"/>
      <c r="E1282" s="78"/>
      <c r="F1282" s="78"/>
      <c r="G1282" s="78"/>
      <c r="H1282" s="88">
        <v>4072.2831981504996</v>
      </c>
      <c r="I1282" s="80">
        <f>VLOOKUP($C1282,'Unit tariffs'!$B$21:$F$122,5,FALSE)*$B1282</f>
        <v>0</v>
      </c>
      <c r="J1282" s="471" t="e">
        <f>IF(+I1282*'Unit tariffs'!#REF!&gt;'Unit tariffs'!#REF!,'Unit tariffs'!#REF!,+I1282*'Unit tariffs'!#REF!)</f>
        <v>#REF!</v>
      </c>
    </row>
    <row r="1283" spans="1:10" ht="12.75">
      <c r="A1283" s="97"/>
      <c r="B1283" s="78">
        <v>1</v>
      </c>
      <c r="C1283" s="78" t="str">
        <f>'Unit tariffs'!B21</f>
        <v>Installation material</v>
      </c>
      <c r="D1283" s="78"/>
      <c r="E1283" s="78"/>
      <c r="F1283" s="78"/>
      <c r="G1283" s="78"/>
      <c r="H1283" s="89">
        <v>113.6449785</v>
      </c>
      <c r="I1283" s="87">
        <f>VLOOKUP($C1283,'Unit tariffs'!$B$21:$F$122,5,FALSE)*$B1283</f>
        <v>260.5</v>
      </c>
      <c r="J1283" s="471" t="e">
        <f>IF(+I1283*'Unit tariffs'!#REF!&gt;'Unit tariffs'!#REF!,'Unit tariffs'!#REF!,+I1283*'Unit tariffs'!#REF!)</f>
        <v>#REF!</v>
      </c>
    </row>
    <row r="1284" spans="1:10" ht="12.75">
      <c r="A1284" s="97"/>
      <c r="B1284" s="78"/>
      <c r="C1284" s="78"/>
      <c r="D1284" s="78"/>
      <c r="E1284" s="78"/>
      <c r="F1284" s="78"/>
      <c r="G1284" s="80"/>
      <c r="H1284" s="88">
        <v>11504.09384608105</v>
      </c>
      <c r="I1284" s="80">
        <f>SUM(I1279:I1283)</f>
        <v>7886.0286275466315</v>
      </c>
      <c r="J1284" s="461"/>
    </row>
    <row r="1285" spans="1:10" ht="12.75">
      <c r="A1285" s="97"/>
      <c r="B1285" s="110" t="s">
        <v>42</v>
      </c>
      <c r="C1285" s="78"/>
      <c r="D1285" s="78"/>
      <c r="E1285" s="78"/>
      <c r="F1285" s="78"/>
      <c r="G1285" s="78"/>
      <c r="H1285" s="78"/>
      <c r="I1285" s="78"/>
      <c r="J1285" s="461"/>
    </row>
    <row r="1286" spans="1:10" ht="12.75">
      <c r="A1286" s="97"/>
      <c r="B1286" s="78"/>
      <c r="C1286" s="78"/>
      <c r="D1286" s="78"/>
      <c r="E1286" s="78"/>
      <c r="F1286" s="78"/>
      <c r="G1286" s="78"/>
      <c r="H1286" s="78"/>
      <c r="I1286" s="78"/>
      <c r="J1286" s="111"/>
    </row>
    <row r="1287" spans="1:10" ht="12.75">
      <c r="A1287" s="97"/>
      <c r="B1287" s="78">
        <v>4</v>
      </c>
      <c r="C1287" s="78" t="str">
        <f>'Unit tariffs'!B$86</f>
        <v>hour-artisan </v>
      </c>
      <c r="D1287" s="78"/>
      <c r="E1287" s="78"/>
      <c r="F1287" s="78"/>
      <c r="G1287" s="78"/>
      <c r="H1287" s="88">
        <v>720.2349302533846</v>
      </c>
      <c r="I1287" s="80">
        <f>VLOOKUP($C1287,'Unit tariffs'!$B$21:$F$122,5,FALSE)*$B1287</f>
        <v>1291.408926923077</v>
      </c>
      <c r="J1287" s="111"/>
    </row>
    <row r="1288" spans="1:10" ht="12.75">
      <c r="A1288" s="97"/>
      <c r="B1288" s="78">
        <v>8</v>
      </c>
      <c r="C1288" s="78" t="str">
        <f>'Unit tariffs'!B$84</f>
        <v>hour-artisan assistant</v>
      </c>
      <c r="D1288" s="78"/>
      <c r="E1288" s="78"/>
      <c r="F1288" s="78"/>
      <c r="G1288" s="78"/>
      <c r="H1288" s="89">
        <v>636.8244473874462</v>
      </c>
      <c r="I1288" s="87">
        <f>VLOOKUP($C1288,'Unit tariffs'!$B$21:$F$122,5,FALSE)*$B1288</f>
        <v>1028.2864615384617</v>
      </c>
      <c r="J1288" s="111"/>
    </row>
    <row r="1289" spans="1:10" ht="12.75">
      <c r="A1289" s="97"/>
      <c r="B1289" s="78"/>
      <c r="C1289" s="78"/>
      <c r="D1289" s="78"/>
      <c r="E1289" s="78"/>
      <c r="F1289" s="78"/>
      <c r="G1289" s="78"/>
      <c r="H1289" s="88">
        <v>1357.059377640831</v>
      </c>
      <c r="I1289" s="80">
        <f>SUM(I1287:I1288)</f>
        <v>2319.6953884615386</v>
      </c>
      <c r="J1289" s="101"/>
    </row>
    <row r="1290" spans="1:10" ht="12.75">
      <c r="A1290" s="97"/>
      <c r="B1290" s="110" t="s">
        <v>43</v>
      </c>
      <c r="C1290" s="78"/>
      <c r="D1290" s="78"/>
      <c r="E1290" s="78"/>
      <c r="F1290" s="78"/>
      <c r="G1290" s="78"/>
      <c r="H1290" s="145"/>
      <c r="I1290" s="78"/>
      <c r="J1290" s="101"/>
    </row>
    <row r="1291" spans="1:10" ht="12.75">
      <c r="A1291" s="97"/>
      <c r="B1291" s="78"/>
      <c r="C1291" s="78"/>
      <c r="D1291" s="78"/>
      <c r="E1291" s="78"/>
      <c r="F1291" s="78"/>
      <c r="G1291" s="78"/>
      <c r="H1291" s="145"/>
      <c r="I1291" s="78"/>
      <c r="J1291" s="111"/>
    </row>
    <row r="1292" spans="1:10" ht="12.75">
      <c r="A1292" s="97"/>
      <c r="B1292" s="78">
        <v>24</v>
      </c>
      <c r="C1292" s="78" t="str">
        <f>'Unit tariffs'!B$110</f>
        <v>km-truck with platform</v>
      </c>
      <c r="D1292" s="78"/>
      <c r="E1292" s="78"/>
      <c r="F1292" s="78"/>
      <c r="G1292" s="78"/>
      <c r="H1292" s="88">
        <v>779.1765820800001</v>
      </c>
      <c r="I1292" s="80">
        <f>VLOOKUP($C1292,'Unit tariffs'!$B$21:$F$122,5,FALSE)*$B1292</f>
        <v>970.1459533764145</v>
      </c>
      <c r="J1292" s="111"/>
    </row>
    <row r="1293" spans="1:10" ht="12.75">
      <c r="A1293" s="97"/>
      <c r="B1293" s="78">
        <v>4</v>
      </c>
      <c r="C1293" s="78" t="str">
        <f>'Unit tariffs'!B$111</f>
        <v>hour-truck with platform</v>
      </c>
      <c r="D1293" s="78"/>
      <c r="E1293" s="78"/>
      <c r="F1293" s="78"/>
      <c r="G1293" s="78"/>
      <c r="H1293" s="89">
        <v>670.4500400000001</v>
      </c>
      <c r="I1293" s="87">
        <f>VLOOKUP($C1293,'Unit tariffs'!$B$21:$F$122,5,FALSE)*$B1293</f>
        <v>786.8883582022</v>
      </c>
      <c r="J1293" s="111"/>
    </row>
    <row r="1294" spans="1:10" ht="12.75">
      <c r="A1294" s="97"/>
      <c r="B1294" s="78"/>
      <c r="C1294" s="78"/>
      <c r="D1294" s="78"/>
      <c r="E1294" s="78"/>
      <c r="F1294" s="78"/>
      <c r="G1294" s="78"/>
      <c r="H1294" s="88">
        <v>1449.6266220800003</v>
      </c>
      <c r="I1294" s="80">
        <f>SUM(I1292:I1293)</f>
        <v>1757.0343115786145</v>
      </c>
      <c r="J1294" s="101"/>
    </row>
    <row r="1295" spans="1:10" ht="13.5" thickBot="1">
      <c r="A1295" s="97"/>
      <c r="B1295" s="78"/>
      <c r="C1295" s="78"/>
      <c r="D1295" s="78"/>
      <c r="E1295" s="78"/>
      <c r="F1295" s="78"/>
      <c r="G1295" s="78"/>
      <c r="H1295" s="136"/>
      <c r="I1295" s="114"/>
      <c r="J1295" s="101"/>
    </row>
    <row r="1296" spans="1:10" ht="13.5" thickTop="1">
      <c r="A1296" s="97"/>
      <c r="B1296" s="78"/>
      <c r="C1296" s="78"/>
      <c r="D1296" s="78"/>
      <c r="E1296" s="78"/>
      <c r="F1296" s="78"/>
      <c r="G1296" s="80"/>
      <c r="H1296" s="80">
        <v>19828.882337626885</v>
      </c>
      <c r="I1296" s="80">
        <f>I1294+I1289+I1284+I1276</f>
        <v>21265.815827586783</v>
      </c>
      <c r="J1296" s="111"/>
    </row>
    <row r="1297" spans="1:10" ht="13.5" thickBot="1">
      <c r="A1297" s="97"/>
      <c r="B1297" s="110" t="str">
        <f>'Unit tariffs'!$B$7</f>
        <v>Administration Levy (Indirect Cost)</v>
      </c>
      <c r="C1297" s="78"/>
      <c r="D1297" s="112">
        <f>'Unit tariffs'!$C$7</f>
        <v>0.1</v>
      </c>
      <c r="E1297" s="78" t="s">
        <v>312</v>
      </c>
      <c r="F1297" s="196">
        <f>+'Unit tariffs'!$F$7</f>
        <v>10000</v>
      </c>
      <c r="G1297" s="80"/>
      <c r="H1297" s="114">
        <v>5286.380031211327</v>
      </c>
      <c r="I1297" s="114">
        <f>IF(I1296*$D1297&gt;='Unit tariffs'!$E$7,'Unit tariffs'!$E$7,I1296*$D1297)</f>
        <v>2126.5815827586785</v>
      </c>
      <c r="J1297" s="111"/>
    </row>
    <row r="1298" spans="1:10" ht="13.5" thickTop="1">
      <c r="A1298" s="97"/>
      <c r="B1298" s="110" t="s">
        <v>44</v>
      </c>
      <c r="C1298" s="78"/>
      <c r="D1298" s="78"/>
      <c r="E1298" s="78"/>
      <c r="F1298" s="78"/>
      <c r="G1298" s="80"/>
      <c r="H1298" s="115">
        <v>25115.262368838212</v>
      </c>
      <c r="I1298" s="115">
        <f>SUM(I1296:I1297)</f>
        <v>23392.39741034546</v>
      </c>
      <c r="J1298" s="111"/>
    </row>
    <row r="1299" spans="1:10" ht="12.75">
      <c r="A1299" s="97"/>
      <c r="B1299" s="110"/>
      <c r="C1299" s="78"/>
      <c r="D1299" s="78"/>
      <c r="E1299" s="78"/>
      <c r="F1299" s="78"/>
      <c r="G1299" s="80"/>
      <c r="H1299" s="80"/>
      <c r="I1299" s="80"/>
      <c r="J1299" s="111"/>
    </row>
    <row r="1300" spans="1:10" ht="12.75">
      <c r="A1300" s="97"/>
      <c r="B1300" s="110" t="s">
        <v>45</v>
      </c>
      <c r="C1300" s="78"/>
      <c r="D1300" s="78"/>
      <c r="E1300" s="78"/>
      <c r="F1300" s="78"/>
      <c r="G1300" s="78"/>
      <c r="H1300" s="90">
        <v>25120</v>
      </c>
      <c r="I1300" s="90">
        <f>ROUND(I1298,-1)</f>
        <v>23390</v>
      </c>
      <c r="J1300" s="111"/>
    </row>
    <row r="1301" spans="1:10" ht="12.75">
      <c r="A1301" s="97"/>
      <c r="B1301" s="121"/>
      <c r="C1301" s="121"/>
      <c r="D1301" s="121"/>
      <c r="E1301" s="121"/>
      <c r="F1301" s="121"/>
      <c r="G1301" s="121"/>
      <c r="H1301" s="80"/>
      <c r="I1301" s="80"/>
      <c r="J1301" s="111"/>
    </row>
    <row r="1302" spans="1:10" ht="12.75">
      <c r="A1302" s="97"/>
      <c r="B1302" s="78"/>
      <c r="C1302" s="78"/>
      <c r="D1302" s="78"/>
      <c r="E1302" s="78"/>
      <c r="F1302" s="78"/>
      <c r="G1302" s="78"/>
      <c r="H1302" s="118">
        <v>0.05546218487394958</v>
      </c>
      <c r="I1302" s="118">
        <f>(I1300-H1300)/H1300</f>
        <v>-0.06886942675159236</v>
      </c>
      <c r="J1302" s="111"/>
    </row>
    <row r="1303" spans="1:10" ht="13.5" thickBot="1">
      <c r="A1303" s="462"/>
      <c r="B1303" s="78"/>
      <c r="C1303" s="78"/>
      <c r="D1303" s="78"/>
      <c r="E1303" s="78"/>
      <c r="F1303" s="78"/>
      <c r="G1303" s="78"/>
      <c r="H1303" s="130"/>
      <c r="I1303" s="130"/>
      <c r="J1303" s="111"/>
    </row>
    <row r="1304" spans="1:10" ht="13.5" thickTop="1">
      <c r="A1304" s="97"/>
      <c r="B1304" s="127" t="s">
        <v>1</v>
      </c>
      <c r="C1304" s="127"/>
      <c r="D1304" s="127"/>
      <c r="E1304" s="127"/>
      <c r="F1304" s="127"/>
      <c r="G1304" s="127"/>
      <c r="H1304" s="127"/>
      <c r="I1304" s="127"/>
      <c r="J1304" s="116"/>
    </row>
    <row r="1305" spans="1:10" ht="12.75">
      <c r="A1305" s="97"/>
      <c r="B1305" s="98" t="s">
        <v>596</v>
      </c>
      <c r="C1305" s="99"/>
      <c r="D1305" s="99"/>
      <c r="E1305" s="99"/>
      <c r="F1305" s="99"/>
      <c r="G1305" s="100"/>
      <c r="H1305" s="78"/>
      <c r="I1305" s="141" t="s">
        <v>233</v>
      </c>
      <c r="J1305" s="111"/>
    </row>
    <row r="1306" spans="1:10" ht="12.75">
      <c r="A1306" s="97"/>
      <c r="B1306" s="78"/>
      <c r="C1306" s="78"/>
      <c r="D1306" s="78"/>
      <c r="E1306" s="78"/>
      <c r="F1306" s="78"/>
      <c r="G1306" s="78"/>
      <c r="H1306" s="109" t="str">
        <f>+H$11</f>
        <v>2020/2021</v>
      </c>
      <c r="I1306" s="109" t="str">
        <f>+'Unit tariffs'!$F$11</f>
        <v>2021/2022</v>
      </c>
      <c r="J1306" s="119"/>
    </row>
    <row r="1307" spans="1:10" ht="13.5">
      <c r="A1307" s="97"/>
      <c r="B1307" s="78"/>
      <c r="C1307" s="78"/>
      <c r="D1307" s="78"/>
      <c r="E1307" s="78"/>
      <c r="F1307" s="78"/>
      <c r="G1307" s="78"/>
      <c r="H1307" s="144"/>
      <c r="I1307" s="134"/>
      <c r="J1307" s="101"/>
    </row>
    <row r="1308" spans="1:10" ht="13.5">
      <c r="A1308" s="97"/>
      <c r="B1308" s="110" t="s">
        <v>117</v>
      </c>
      <c r="C1308" s="78"/>
      <c r="D1308" s="78"/>
      <c r="E1308" s="78"/>
      <c r="F1308" s="78"/>
      <c r="G1308" s="78"/>
      <c r="H1308" s="144"/>
      <c r="I1308" s="134"/>
      <c r="J1308" s="101"/>
    </row>
    <row r="1309" spans="1:10" ht="12.75" customHeight="1">
      <c r="A1309" s="97"/>
      <c r="B1309" s="78" t="s">
        <v>118</v>
      </c>
      <c r="C1309" s="78"/>
      <c r="D1309" s="78"/>
      <c r="E1309" s="78"/>
      <c r="F1309" s="78"/>
      <c r="G1309" s="78"/>
      <c r="H1309" s="145"/>
      <c r="I1309" s="134"/>
      <c r="J1309" s="101"/>
    </row>
    <row r="1310" spans="1:10" s="747" customFormat="1" ht="12.75" customHeight="1">
      <c r="A1310" s="753"/>
      <c r="B1310" s="91">
        <v>2.5</v>
      </c>
      <c r="C1310" s="91" t="str">
        <f>'Unit tariffs'!B131</f>
        <v>Secondary Backbone - MV Urban</v>
      </c>
      <c r="D1310" s="91"/>
      <c r="E1310" s="91"/>
      <c r="F1310" s="91"/>
      <c r="G1310" s="91"/>
      <c r="H1310" s="744">
        <v>0</v>
      </c>
      <c r="I1310" s="198">
        <f>VLOOKUP($C1310,'Unit tariffs'!$B$21:$F$157,5,FALSE)*$B1310</f>
        <v>2211.6875</v>
      </c>
      <c r="J1310" s="754"/>
    </row>
    <row r="1311" spans="1:10" ht="12.75">
      <c r="A1311" s="97"/>
      <c r="B1311" s="78">
        <v>2.5</v>
      </c>
      <c r="C1311" s="78" t="str">
        <f>'Unit tariffs'!B$138</f>
        <v>Secondary Backbone - LV Peri Urban</v>
      </c>
      <c r="D1311" s="78"/>
      <c r="E1311" s="78"/>
      <c r="F1311" s="78" t="str">
        <f>'Unit tariffs'!C$137</f>
        <v>per kVA</v>
      </c>
      <c r="G1311" s="78"/>
      <c r="H1311" s="87">
        <v>3200.0600176050016</v>
      </c>
      <c r="I1311" s="87">
        <f>VLOOKUP($C1311,'Unit tariffs'!$B$21:$F$157,5,FALSE)*$B1311</f>
        <v>3985.9600000000005</v>
      </c>
      <c r="J1311" s="101"/>
    </row>
    <row r="1312" spans="1:10" ht="12.75">
      <c r="A1312" s="97"/>
      <c r="B1312" s="78"/>
      <c r="C1312" s="78"/>
      <c r="D1312" s="78"/>
      <c r="E1312" s="78"/>
      <c r="F1312" s="78"/>
      <c r="G1312" s="78"/>
      <c r="H1312" s="80">
        <v>3200.0600176050016</v>
      </c>
      <c r="I1312" s="80">
        <f>SUM(I1310:I1311)</f>
        <v>6197.647500000001</v>
      </c>
      <c r="J1312" s="464"/>
    </row>
    <row r="1313" spans="1:10" ht="12.75">
      <c r="A1313" s="97"/>
      <c r="B1313" s="110" t="s">
        <v>41</v>
      </c>
      <c r="C1313" s="78"/>
      <c r="D1313" s="78"/>
      <c r="E1313" s="78"/>
      <c r="F1313" s="78"/>
      <c r="G1313" s="78"/>
      <c r="H1313" s="78"/>
      <c r="I1313" s="78"/>
      <c r="J1313" s="101"/>
    </row>
    <row r="1314" spans="1:10" ht="12.75">
      <c r="A1314" s="97"/>
      <c r="B1314" s="78"/>
      <c r="C1314" s="78"/>
      <c r="D1314" s="78"/>
      <c r="E1314" s="78"/>
      <c r="F1314" s="78"/>
      <c r="G1314" s="78"/>
      <c r="H1314" s="78"/>
      <c r="I1314" s="78"/>
      <c r="J1314" s="458" t="s">
        <v>315</v>
      </c>
    </row>
    <row r="1315" spans="1:10" ht="12.75">
      <c r="A1315" s="97"/>
      <c r="B1315" s="78">
        <v>1</v>
      </c>
      <c r="C1315" s="45" t="s">
        <v>314</v>
      </c>
      <c r="D1315" s="78"/>
      <c r="E1315" s="78"/>
      <c r="F1315" s="78"/>
      <c r="G1315" s="78"/>
      <c r="H1315" s="80">
        <v>5100.68542</v>
      </c>
      <c r="I1315" s="80">
        <f>VLOOKUP($C1315,'Unit tariffs'!$B$21:$F$122,5,FALSE)*$B1315</f>
        <v>5314.91420764</v>
      </c>
      <c r="J1315" s="471" t="e">
        <f>IF(+I1315*'Unit tariffs'!#REF!&gt;'Unit tariffs'!#REF!,'Unit tariffs'!#REF!,+I1315*'Unit tariffs'!#REF!)</f>
        <v>#REF!</v>
      </c>
    </row>
    <row r="1316" spans="1:10" ht="12.75">
      <c r="A1316" s="97"/>
      <c r="B1316" s="91">
        <v>1</v>
      </c>
      <c r="C1316" s="210" t="str">
        <f>'Unit tariffs'!B46</f>
        <v>Modum for TOU meter</v>
      </c>
      <c r="D1316" s="91"/>
      <c r="E1316" s="91"/>
      <c r="F1316" s="91"/>
      <c r="G1316" s="91"/>
      <c r="H1316" s="198">
        <v>0</v>
      </c>
      <c r="I1316" s="198">
        <f>VLOOKUP($C1316,'Unit tariffs'!$B$21:$F$122,5,FALSE)*$B1316</f>
        <v>3558.1015615999995</v>
      </c>
      <c r="J1316" s="471"/>
    </row>
    <row r="1317" spans="1:10" ht="12.75">
      <c r="A1317" s="97"/>
      <c r="B1317" s="78">
        <v>3</v>
      </c>
      <c r="C1317" s="78" t="str">
        <f>'Unit tariffs'!B42</f>
        <v>x 80 A circuit breaker (5kA) - Orange</v>
      </c>
      <c r="D1317" s="78"/>
      <c r="E1317" s="78"/>
      <c r="F1317" s="78"/>
      <c r="G1317" s="78"/>
      <c r="H1317" s="80">
        <v>541.0141229999999</v>
      </c>
      <c r="I1317" s="80">
        <f>VLOOKUP($C1317,'Unit tariffs'!$B$21:$F$122,5,FALSE)*$B1317</f>
        <v>563.736716166</v>
      </c>
      <c r="J1317" s="471" t="e">
        <f>IF(+I1317*'Unit tariffs'!#REF!&gt;'Unit tariffs'!#REF!,'Unit tariffs'!#REF!,+I1317*'Unit tariffs'!#REF!)</f>
        <v>#REF!</v>
      </c>
    </row>
    <row r="1318" spans="1:10" ht="12.75">
      <c r="A1318" s="97"/>
      <c r="B1318" s="78">
        <v>1</v>
      </c>
      <c r="C1318" s="78" t="str">
        <f>'Unit tariffs'!B71</f>
        <v>Cable clamp (Clampex) - K26</v>
      </c>
      <c r="D1318" s="78"/>
      <c r="E1318" s="78"/>
      <c r="F1318" s="78"/>
      <c r="G1318" s="78"/>
      <c r="H1318" s="80">
        <v>32.08197743055</v>
      </c>
      <c r="I1318" s="80">
        <f>VLOOKUP($C1318,'Unit tariffs'!$B$21:$F$122,5,FALSE)*$B1318</f>
        <v>33.4294204826331</v>
      </c>
      <c r="J1318" s="471" t="e">
        <f>IF(+I1318*'Unit tariffs'!#REF!&gt;'Unit tariffs'!#REF!,'Unit tariffs'!#REF!,+I1318*'Unit tariffs'!#REF!)</f>
        <v>#REF!</v>
      </c>
    </row>
    <row r="1319" spans="1:10" ht="12.75">
      <c r="A1319" s="97"/>
      <c r="B1319" s="91">
        <v>0</v>
      </c>
      <c r="C1319" s="78" t="str">
        <f>'Unit tariffs'!B55</f>
        <v>m 16 mm x 4 Cu cable</v>
      </c>
      <c r="D1319" s="78"/>
      <c r="E1319" s="78"/>
      <c r="F1319" s="78"/>
      <c r="G1319" s="78"/>
      <c r="H1319" s="80">
        <v>4072.2831981504996</v>
      </c>
      <c r="I1319" s="80">
        <f>VLOOKUP($C1319,'Unit tariffs'!$B$21:$F$122,5,FALSE)*$B1319</f>
        <v>0</v>
      </c>
      <c r="J1319" s="471" t="e">
        <f>IF(+I1319*'Unit tariffs'!#REF!&gt;'Unit tariffs'!#REF!,'Unit tariffs'!#REF!,+I1319*'Unit tariffs'!#REF!)</f>
        <v>#REF!</v>
      </c>
    </row>
    <row r="1320" spans="1:10" ht="12.75">
      <c r="A1320" s="97"/>
      <c r="B1320" s="78">
        <v>1</v>
      </c>
      <c r="C1320" s="78" t="str">
        <f>'Unit tariffs'!B21</f>
        <v>Installation material</v>
      </c>
      <c r="D1320" s="78"/>
      <c r="E1320" s="78"/>
      <c r="F1320" s="78"/>
      <c r="G1320" s="78"/>
      <c r="H1320" s="87">
        <v>113.6449785</v>
      </c>
      <c r="I1320" s="87">
        <f>VLOOKUP($C1320,'Unit tariffs'!$B$21:$F$122,5,FALSE)*$B1320</f>
        <v>260.5</v>
      </c>
      <c r="J1320" s="471" t="e">
        <f>IF(+I1320*'Unit tariffs'!#REF!&gt;'Unit tariffs'!#REF!,'Unit tariffs'!#REF!,+I1320*'Unit tariffs'!#REF!)</f>
        <v>#REF!</v>
      </c>
    </row>
    <row r="1321" spans="1:10" ht="21.75" customHeight="1">
      <c r="A1321" s="97"/>
      <c r="B1321" s="78"/>
      <c r="C1321" s="78"/>
      <c r="D1321" s="78"/>
      <c r="E1321" s="78"/>
      <c r="F1321" s="78"/>
      <c r="G1321" s="80"/>
      <c r="H1321" s="80">
        <v>9859.709697081049</v>
      </c>
      <c r="I1321" s="80">
        <f>SUM(I1315:I1320)</f>
        <v>9730.681905888632</v>
      </c>
      <c r="J1321" s="101"/>
    </row>
    <row r="1322" spans="1:10" ht="12.75">
      <c r="A1322" s="97"/>
      <c r="B1322" s="110" t="s">
        <v>42</v>
      </c>
      <c r="C1322" s="78"/>
      <c r="D1322" s="78"/>
      <c r="E1322" s="78"/>
      <c r="F1322" s="78"/>
      <c r="G1322" s="78"/>
      <c r="H1322" s="78"/>
      <c r="I1322" s="78"/>
      <c r="J1322" s="458"/>
    </row>
    <row r="1323" spans="1:10" ht="12.75">
      <c r="A1323" s="97"/>
      <c r="B1323" s="78"/>
      <c r="C1323" s="78"/>
      <c r="D1323" s="78"/>
      <c r="E1323" s="78"/>
      <c r="F1323" s="78"/>
      <c r="G1323" s="78"/>
      <c r="H1323" s="78"/>
      <c r="I1323" s="78"/>
      <c r="J1323" s="101"/>
    </row>
    <row r="1324" spans="1:10" ht="12.75">
      <c r="A1324" s="97"/>
      <c r="B1324" s="78">
        <v>5</v>
      </c>
      <c r="C1324" s="78" t="str">
        <f>'Unit tariffs'!B$86</f>
        <v>hour-artisan </v>
      </c>
      <c r="D1324" s="78"/>
      <c r="E1324" s="78"/>
      <c r="F1324" s="78"/>
      <c r="G1324" s="78"/>
      <c r="H1324" s="80">
        <v>900.2936628167308</v>
      </c>
      <c r="I1324" s="80">
        <f>VLOOKUP($C1324,'Unit tariffs'!$B$21:$F$122,5,FALSE)*$B1324</f>
        <v>1614.2611586538462</v>
      </c>
      <c r="J1324" s="101"/>
    </row>
    <row r="1325" spans="1:10" ht="12.75">
      <c r="A1325" s="97"/>
      <c r="B1325" s="78">
        <v>10</v>
      </c>
      <c r="C1325" s="78" t="str">
        <f>'Unit tariffs'!B$84</f>
        <v>hour-artisan assistant</v>
      </c>
      <c r="D1325" s="78"/>
      <c r="E1325" s="78"/>
      <c r="F1325" s="78"/>
      <c r="G1325" s="78"/>
      <c r="H1325" s="87">
        <v>796.0305592343077</v>
      </c>
      <c r="I1325" s="87">
        <f>VLOOKUP($C1325,'Unit tariffs'!$B$21:$F$122,5,FALSE)*$B1325</f>
        <v>1285.358076923077</v>
      </c>
      <c r="J1325" s="461"/>
    </row>
    <row r="1326" spans="1:10" ht="12.75">
      <c r="A1326" s="97"/>
      <c r="B1326" s="78"/>
      <c r="C1326" s="78"/>
      <c r="D1326" s="78"/>
      <c r="E1326" s="78"/>
      <c r="F1326" s="78"/>
      <c r="G1326" s="78"/>
      <c r="H1326" s="80">
        <v>1696.3242220510385</v>
      </c>
      <c r="I1326" s="80">
        <f>SUM(I1324:I1325)</f>
        <v>2899.6192355769235</v>
      </c>
      <c r="J1326" s="461"/>
    </row>
    <row r="1327" spans="1:10" ht="12.75">
      <c r="A1327" s="97"/>
      <c r="B1327" s="110" t="s">
        <v>43</v>
      </c>
      <c r="C1327" s="78"/>
      <c r="D1327" s="78"/>
      <c r="E1327" s="78"/>
      <c r="F1327" s="78"/>
      <c r="G1327" s="78"/>
      <c r="H1327" s="78"/>
      <c r="I1327" s="78"/>
      <c r="J1327" s="461"/>
    </row>
    <row r="1328" spans="1:10" ht="12.75">
      <c r="A1328" s="97"/>
      <c r="B1328" s="78"/>
      <c r="C1328" s="78"/>
      <c r="D1328" s="78"/>
      <c r="E1328" s="78"/>
      <c r="F1328" s="78"/>
      <c r="G1328" s="78"/>
      <c r="H1328" s="78"/>
      <c r="I1328" s="78"/>
      <c r="J1328" s="461"/>
    </row>
    <row r="1329" spans="1:10" ht="12.75">
      <c r="A1329" s="97"/>
      <c r="B1329" s="78">
        <v>24</v>
      </c>
      <c r="C1329" s="78" t="str">
        <f>'Unit tariffs'!B$110</f>
        <v>km-truck with platform</v>
      </c>
      <c r="D1329" s="78"/>
      <c r="E1329" s="78"/>
      <c r="F1329" s="78"/>
      <c r="G1329" s="78"/>
      <c r="H1329" s="80">
        <v>779.1765820800001</v>
      </c>
      <c r="I1329" s="80">
        <f>VLOOKUP($C1329,'Unit tariffs'!$B$21:$F$122,5,FALSE)*$B1329</f>
        <v>970.1459533764145</v>
      </c>
      <c r="J1329" s="111"/>
    </row>
    <row r="1330" spans="1:10" ht="12.75">
      <c r="A1330" s="97"/>
      <c r="B1330" s="78">
        <v>4</v>
      </c>
      <c r="C1330" s="78" t="str">
        <f>'Unit tariffs'!B$111</f>
        <v>hour-truck with platform</v>
      </c>
      <c r="D1330" s="78"/>
      <c r="E1330" s="78"/>
      <c r="F1330" s="78"/>
      <c r="G1330" s="78"/>
      <c r="H1330" s="87">
        <v>670.4500400000001</v>
      </c>
      <c r="I1330" s="87">
        <f>VLOOKUP($C1330,'Unit tariffs'!$B$21:$F$122,5,FALSE)*$B1330</f>
        <v>786.8883582022</v>
      </c>
      <c r="J1330" s="111"/>
    </row>
    <row r="1331" spans="1:10" ht="12.75">
      <c r="A1331" s="97"/>
      <c r="B1331" s="78"/>
      <c r="C1331" s="78"/>
      <c r="D1331" s="78"/>
      <c r="E1331" s="78"/>
      <c r="F1331" s="78"/>
      <c r="G1331" s="78"/>
      <c r="H1331" s="80">
        <v>1449.6266220800003</v>
      </c>
      <c r="I1331" s="80">
        <f>SUM(I1329:I1330)</f>
        <v>1757.0343115786145</v>
      </c>
      <c r="J1331" s="111"/>
    </row>
    <row r="1332" spans="1:10" ht="13.5" thickBot="1">
      <c r="A1332" s="97"/>
      <c r="B1332" s="78"/>
      <c r="C1332" s="78"/>
      <c r="D1332" s="78"/>
      <c r="E1332" s="78"/>
      <c r="F1332" s="78"/>
      <c r="G1332" s="78"/>
      <c r="H1332" s="114"/>
      <c r="I1332" s="114"/>
      <c r="J1332" s="101"/>
    </row>
    <row r="1333" spans="1:10" ht="13.5" thickTop="1">
      <c r="A1333" s="97"/>
      <c r="B1333" s="78"/>
      <c r="C1333" s="78"/>
      <c r="D1333" s="78"/>
      <c r="E1333" s="78"/>
      <c r="F1333" s="78"/>
      <c r="G1333" s="80"/>
      <c r="H1333" s="80">
        <v>16205.72055881709</v>
      </c>
      <c r="I1333" s="80">
        <f>I1331+I1326+I1321+I1312</f>
        <v>20584.98295304417</v>
      </c>
      <c r="J1333" s="101"/>
    </row>
    <row r="1334" spans="1:10" ht="13.5" thickBot="1">
      <c r="A1334" s="97"/>
      <c r="B1334" s="110" t="str">
        <f>'Unit tariffs'!$B$7</f>
        <v>Administration Levy (Indirect Cost)</v>
      </c>
      <c r="C1334" s="78"/>
      <c r="D1334" s="112">
        <f>'Unit tariffs'!$C$7</f>
        <v>0.1</v>
      </c>
      <c r="E1334" s="78" t="s">
        <v>312</v>
      </c>
      <c r="F1334" s="196">
        <f>+'Unit tariffs'!$F$7</f>
        <v>10000</v>
      </c>
      <c r="G1334" s="80"/>
      <c r="H1334" s="114">
        <v>4320.445100980636</v>
      </c>
      <c r="I1334" s="114">
        <f>IF(I1333*$D1334&gt;='Unit tariffs'!$E$7,'Unit tariffs'!$E$7,I1333*$D1334)</f>
        <v>2058.4982953044173</v>
      </c>
      <c r="J1334" s="111"/>
    </row>
    <row r="1335" spans="1:10" ht="13.5" thickTop="1">
      <c r="A1335" s="97"/>
      <c r="B1335" s="110" t="s">
        <v>44</v>
      </c>
      <c r="C1335" s="78"/>
      <c r="D1335" s="78"/>
      <c r="E1335" s="78"/>
      <c r="F1335" s="78"/>
      <c r="G1335" s="80"/>
      <c r="H1335" s="115">
        <v>20526.165659797727</v>
      </c>
      <c r="I1335" s="115">
        <f>SUM(I1333:I1334)</f>
        <v>22643.481248348588</v>
      </c>
      <c r="J1335" s="111"/>
    </row>
    <row r="1336" spans="1:10" ht="12.75">
      <c r="A1336" s="97"/>
      <c r="B1336" s="110"/>
      <c r="C1336" s="78"/>
      <c r="D1336" s="78"/>
      <c r="E1336" s="78"/>
      <c r="F1336" s="78"/>
      <c r="G1336" s="80"/>
      <c r="H1336" s="80"/>
      <c r="I1336" s="80"/>
      <c r="J1336" s="111"/>
    </row>
    <row r="1337" spans="1:10" ht="12.75">
      <c r="A1337" s="97"/>
      <c r="B1337" s="110" t="s">
        <v>45</v>
      </c>
      <c r="C1337" s="121"/>
      <c r="D1337" s="121"/>
      <c r="E1337" s="121"/>
      <c r="F1337" s="121"/>
      <c r="G1337" s="121"/>
      <c r="H1337" s="90">
        <v>20530</v>
      </c>
      <c r="I1337" s="90">
        <f>ROUND(I1335,-1)</f>
        <v>22640</v>
      </c>
      <c r="J1337" s="101"/>
    </row>
    <row r="1338" spans="1:10" ht="12.75">
      <c r="A1338" s="97"/>
      <c r="B1338" s="121"/>
      <c r="C1338" s="78"/>
      <c r="D1338" s="78"/>
      <c r="E1338" s="78"/>
      <c r="F1338" s="78"/>
      <c r="G1338" s="78"/>
      <c r="H1338" s="80"/>
      <c r="I1338" s="80"/>
      <c r="J1338" s="101"/>
    </row>
    <row r="1339" spans="1:10" ht="12.75">
      <c r="A1339" s="97"/>
      <c r="B1339" s="78"/>
      <c r="C1339" s="78"/>
      <c r="D1339" s="78"/>
      <c r="E1339" s="78"/>
      <c r="F1339" s="78"/>
      <c r="G1339" s="78"/>
      <c r="H1339" s="118">
        <v>0.05228088159917991</v>
      </c>
      <c r="I1339" s="118">
        <f>(I1337-H1337)/H1337</f>
        <v>0.10277642474427667</v>
      </c>
      <c r="J1339" s="111"/>
    </row>
    <row r="1340" spans="1:10" ht="12.75">
      <c r="A1340" s="97"/>
      <c r="B1340" s="78"/>
      <c r="C1340" s="78"/>
      <c r="D1340" s="78"/>
      <c r="E1340" s="78"/>
      <c r="F1340" s="78"/>
      <c r="G1340" s="78"/>
      <c r="H1340" s="78"/>
      <c r="I1340" s="118"/>
      <c r="J1340" s="111"/>
    </row>
    <row r="1341" spans="1:10" ht="12.75">
      <c r="A1341" s="97"/>
      <c r="B1341" s="78"/>
      <c r="C1341" s="78"/>
      <c r="D1341" s="78"/>
      <c r="E1341" s="78"/>
      <c r="F1341" s="78"/>
      <c r="G1341" s="78"/>
      <c r="H1341" s="78"/>
      <c r="I1341" s="78"/>
      <c r="J1341" s="111"/>
    </row>
    <row r="1342" spans="1:10" ht="12.75">
      <c r="A1342" s="97"/>
      <c r="B1342" s="820" t="s">
        <v>597</v>
      </c>
      <c r="C1342" s="821"/>
      <c r="D1342" s="821"/>
      <c r="E1342" s="821"/>
      <c r="F1342" s="821"/>
      <c r="G1342" s="822"/>
      <c r="H1342" s="78"/>
      <c r="I1342" s="141" t="s">
        <v>233</v>
      </c>
      <c r="J1342" s="111"/>
    </row>
    <row r="1343" spans="1:10" ht="12.75">
      <c r="A1343" s="97"/>
      <c r="B1343" s="78"/>
      <c r="C1343" s="78"/>
      <c r="D1343" s="78"/>
      <c r="E1343" s="78"/>
      <c r="F1343" s="78"/>
      <c r="G1343" s="78"/>
      <c r="H1343" s="109" t="str">
        <f>+H$11</f>
        <v>2020/2021</v>
      </c>
      <c r="I1343" s="109" t="str">
        <f>+'Unit tariffs'!$F$11</f>
        <v>2021/2022</v>
      </c>
      <c r="J1343" s="111"/>
    </row>
    <row r="1344" spans="1:10" ht="13.5">
      <c r="A1344" s="97"/>
      <c r="B1344" s="78"/>
      <c r="C1344" s="78"/>
      <c r="D1344" s="78"/>
      <c r="E1344" s="78"/>
      <c r="F1344" s="78"/>
      <c r="G1344" s="78"/>
      <c r="H1344" s="144"/>
      <c r="I1344" s="134"/>
      <c r="J1344" s="111"/>
    </row>
    <row r="1345" spans="1:10" ht="13.5">
      <c r="A1345" s="97"/>
      <c r="B1345" s="110" t="s">
        <v>117</v>
      </c>
      <c r="C1345" s="78"/>
      <c r="D1345" s="78"/>
      <c r="E1345" s="78"/>
      <c r="F1345" s="78"/>
      <c r="G1345" s="78"/>
      <c r="H1345" s="144"/>
      <c r="I1345" s="134"/>
      <c r="J1345" s="111"/>
    </row>
    <row r="1346" spans="1:10" ht="12.75">
      <c r="A1346" s="97"/>
      <c r="B1346" s="78" t="s">
        <v>118</v>
      </c>
      <c r="C1346" s="78"/>
      <c r="D1346" s="78"/>
      <c r="E1346" s="78"/>
      <c r="F1346" s="78"/>
      <c r="G1346" s="78"/>
      <c r="H1346" s="145"/>
      <c r="I1346" s="134"/>
      <c r="J1346" s="101"/>
    </row>
    <row r="1347" spans="1:10" s="747" customFormat="1" ht="12.75">
      <c r="A1347" s="753"/>
      <c r="B1347" s="91">
        <v>2.5</v>
      </c>
      <c r="C1347" s="91" t="str">
        <f>'Unit tariffs'!B137</f>
        <v>Secondary Backbone - MV Peri Urban</v>
      </c>
      <c r="D1347" s="91"/>
      <c r="E1347" s="91"/>
      <c r="F1347" s="91"/>
      <c r="G1347" s="91"/>
      <c r="H1347" s="744">
        <v>0</v>
      </c>
      <c r="I1347" s="198">
        <f>VLOOKUP($C1347,'Unit tariffs'!$B$21:$F$157,5,FALSE)*$B1347</f>
        <v>2429.7625</v>
      </c>
      <c r="J1347" s="754"/>
    </row>
    <row r="1348" spans="1:10" ht="12.75">
      <c r="A1348" s="97"/>
      <c r="B1348" s="78">
        <v>2.5</v>
      </c>
      <c r="C1348" s="78" t="str">
        <f>'Unit tariffs'!B$138</f>
        <v>Secondary Backbone - LV Peri Urban</v>
      </c>
      <c r="D1348" s="78"/>
      <c r="E1348" s="78"/>
      <c r="F1348" s="78" t="str">
        <f>'Unit tariffs'!C$137</f>
        <v>per kVA</v>
      </c>
      <c r="G1348" s="78"/>
      <c r="H1348" s="87">
        <v>3200.0600176050016</v>
      </c>
      <c r="I1348" s="87">
        <f>VLOOKUP($C1348,'Unit tariffs'!$B$21:$F$157,5,FALSE)*$B1348</f>
        <v>3985.9600000000005</v>
      </c>
      <c r="J1348" s="116"/>
    </row>
    <row r="1349" spans="1:10" ht="12.75">
      <c r="A1349" s="97"/>
      <c r="B1349" s="78"/>
      <c r="C1349" s="78"/>
      <c r="D1349" s="78"/>
      <c r="E1349" s="78"/>
      <c r="F1349" s="78"/>
      <c r="G1349" s="78"/>
      <c r="H1349" s="80">
        <v>3200.0600176050016</v>
      </c>
      <c r="I1349" s="80">
        <f>SUM(I1347:I1348)</f>
        <v>6415.7225</v>
      </c>
      <c r="J1349" s="111"/>
    </row>
    <row r="1350" spans="1:10" ht="12.75">
      <c r="A1350" s="97"/>
      <c r="B1350" s="110" t="s">
        <v>41</v>
      </c>
      <c r="C1350" s="78"/>
      <c r="D1350" s="78"/>
      <c r="E1350" s="78"/>
      <c r="F1350" s="78"/>
      <c r="G1350" s="78"/>
      <c r="H1350" s="78"/>
      <c r="I1350" s="78"/>
      <c r="J1350" s="119"/>
    </row>
    <row r="1351" spans="1:10" ht="12.75">
      <c r="A1351" s="97"/>
      <c r="B1351" s="78"/>
      <c r="C1351" s="78"/>
      <c r="D1351" s="78"/>
      <c r="E1351" s="78"/>
      <c r="F1351" s="78"/>
      <c r="G1351" s="78"/>
      <c r="H1351" s="78"/>
      <c r="I1351" s="78"/>
      <c r="J1351" s="458" t="s">
        <v>315</v>
      </c>
    </row>
    <row r="1352" spans="1:10" ht="12.75">
      <c r="A1352" s="97"/>
      <c r="B1352" s="78">
        <v>1</v>
      </c>
      <c r="C1352" s="78" t="str">
        <f>'Unit tariffs'!B35</f>
        <v>Prepaid meter (Split) 3 phase - </v>
      </c>
      <c r="D1352" s="78"/>
      <c r="E1352" s="78"/>
      <c r="F1352" s="78"/>
      <c r="G1352" s="78"/>
      <c r="H1352" s="80">
        <v>6745.069568999999</v>
      </c>
      <c r="I1352" s="199">
        <f>VLOOKUP($C1352,'Unit tariffs'!$B$21:$F$122,5,FALSE)*$B1352</f>
        <v>7028.362490897999</v>
      </c>
      <c r="J1352" s="461" t="e">
        <f>IF(+I1352*'Unit tariffs'!#REF!&gt;'Unit tariffs'!#REF!,'Unit tariffs'!#REF!,+I1352*'Unit tariffs'!#REF!)</f>
        <v>#REF!</v>
      </c>
    </row>
    <row r="1353" spans="1:10" ht="12.75" customHeight="1">
      <c r="A1353" s="97"/>
      <c r="B1353" s="78">
        <v>3</v>
      </c>
      <c r="C1353" s="78" t="str">
        <f>'Unit tariffs'!B42</f>
        <v>x 80 A circuit breaker (5kA) - Orange</v>
      </c>
      <c r="D1353" s="78"/>
      <c r="E1353" s="78"/>
      <c r="F1353" s="78"/>
      <c r="G1353" s="78"/>
      <c r="H1353" s="80">
        <v>541.0141229999999</v>
      </c>
      <c r="I1353" s="80">
        <f>VLOOKUP($C1353,'Unit tariffs'!$B$21:$F$122,5,FALSE)*$B1353</f>
        <v>563.736716166</v>
      </c>
      <c r="J1353" s="461" t="e">
        <f>IF(+I1353*'Unit tariffs'!#REF!&gt;'Unit tariffs'!#REF!,'Unit tariffs'!#REF!,+I1353*'Unit tariffs'!#REF!)</f>
        <v>#REF!</v>
      </c>
    </row>
    <row r="1354" spans="1:10" ht="12.75">
      <c r="A1354" s="97"/>
      <c r="B1354" s="78">
        <v>1</v>
      </c>
      <c r="C1354" s="78" t="str">
        <f>'Unit tariffs'!B71</f>
        <v>Cable clamp (Clampex) - K26</v>
      </c>
      <c r="D1354" s="78"/>
      <c r="E1354" s="78"/>
      <c r="F1354" s="78"/>
      <c r="G1354" s="78"/>
      <c r="H1354" s="80">
        <v>32.08197743055</v>
      </c>
      <c r="I1354" s="80">
        <f>VLOOKUP($C1354,'Unit tariffs'!$B$21:$F$122,5,FALSE)*$B1354</f>
        <v>33.4294204826331</v>
      </c>
      <c r="J1354" s="461" t="e">
        <f>IF(+I1354*'Unit tariffs'!#REF!&gt;'Unit tariffs'!#REF!,'Unit tariffs'!#REF!,+I1354*'Unit tariffs'!#REF!)</f>
        <v>#REF!</v>
      </c>
    </row>
    <row r="1355" spans="1:10" ht="15" customHeight="1">
      <c r="A1355" s="97"/>
      <c r="B1355" s="91">
        <v>0</v>
      </c>
      <c r="C1355" s="78" t="str">
        <f>'Unit tariffs'!B55</f>
        <v>m 16 mm x 4 Cu cable</v>
      </c>
      <c r="D1355" s="78"/>
      <c r="E1355" s="78"/>
      <c r="F1355" s="78"/>
      <c r="G1355" s="78"/>
      <c r="H1355" s="80">
        <v>4072.2831981504996</v>
      </c>
      <c r="I1355" s="80">
        <f>VLOOKUP($C1355,'Unit tariffs'!$B$21:$F$122,5,FALSE)*$B1355</f>
        <v>0</v>
      </c>
      <c r="J1355" s="461" t="e">
        <f>IF(+I1355*'Unit tariffs'!#REF!&gt;'Unit tariffs'!#REF!,'Unit tariffs'!#REF!,+I1355*'Unit tariffs'!#REF!)</f>
        <v>#REF!</v>
      </c>
    </row>
    <row r="1356" spans="1:10" ht="12.75">
      <c r="A1356" s="97"/>
      <c r="B1356" s="78">
        <v>1</v>
      </c>
      <c r="C1356" s="78" t="str">
        <f>'Unit tariffs'!B21</f>
        <v>Installation material</v>
      </c>
      <c r="D1356" s="78"/>
      <c r="E1356" s="78"/>
      <c r="F1356" s="78"/>
      <c r="G1356" s="78"/>
      <c r="H1356" s="87">
        <v>113.6449785</v>
      </c>
      <c r="I1356" s="87">
        <f>VLOOKUP($C1356,'Unit tariffs'!$B$21:$F$122,5,FALSE)*$B1356</f>
        <v>260.5</v>
      </c>
      <c r="J1356" s="461" t="e">
        <f>IF(+I1356*'Unit tariffs'!#REF!&gt;'Unit tariffs'!#REF!,'Unit tariffs'!#REF!,+I1356*'Unit tariffs'!#REF!)</f>
        <v>#REF!</v>
      </c>
    </row>
    <row r="1357" spans="1:10" ht="12.75">
      <c r="A1357" s="97"/>
      <c r="B1357" s="78"/>
      <c r="C1357" s="78"/>
      <c r="D1357" s="78"/>
      <c r="E1357" s="78"/>
      <c r="F1357" s="78"/>
      <c r="G1357" s="80"/>
      <c r="H1357" s="80">
        <v>11504.09384608105</v>
      </c>
      <c r="I1357" s="80">
        <f>SUM(I1352:I1356)</f>
        <v>7886.0286275466315</v>
      </c>
      <c r="J1357" s="101"/>
    </row>
    <row r="1358" spans="1:10" ht="12.75">
      <c r="A1358" s="97"/>
      <c r="B1358" s="110" t="s">
        <v>42</v>
      </c>
      <c r="C1358" s="78"/>
      <c r="D1358" s="78"/>
      <c r="E1358" s="78"/>
      <c r="F1358" s="78"/>
      <c r="G1358" s="78"/>
      <c r="H1358" s="78"/>
      <c r="I1358" s="78"/>
      <c r="J1358" s="101"/>
    </row>
    <row r="1359" spans="1:10" ht="12.75">
      <c r="A1359" s="97"/>
      <c r="B1359" s="78"/>
      <c r="C1359" s="78"/>
      <c r="D1359" s="78"/>
      <c r="E1359" s="78"/>
      <c r="F1359" s="78"/>
      <c r="G1359" s="78"/>
      <c r="H1359" s="78"/>
      <c r="I1359" s="78"/>
      <c r="J1359" s="101"/>
    </row>
    <row r="1360" spans="1:10" ht="12.75">
      <c r="A1360" s="97"/>
      <c r="B1360" s="78">
        <v>4</v>
      </c>
      <c r="C1360" s="78" t="str">
        <f>'Unit tariffs'!B$86</f>
        <v>hour-artisan </v>
      </c>
      <c r="D1360" s="78"/>
      <c r="E1360" s="78"/>
      <c r="F1360" s="78"/>
      <c r="G1360" s="78"/>
      <c r="H1360" s="80">
        <v>720.2349302533846</v>
      </c>
      <c r="I1360" s="80">
        <f>VLOOKUP($C1360,'Unit tariffs'!$B$21:$F$122,5,FALSE)*$B1360</f>
        <v>1291.408926923077</v>
      </c>
      <c r="J1360" s="101"/>
    </row>
    <row r="1361" spans="1:10" ht="12.75">
      <c r="A1361" s="97"/>
      <c r="B1361" s="78">
        <v>8</v>
      </c>
      <c r="C1361" s="78" t="str">
        <f>'Unit tariffs'!B$84</f>
        <v>hour-artisan assistant</v>
      </c>
      <c r="D1361" s="78"/>
      <c r="E1361" s="78"/>
      <c r="F1361" s="78"/>
      <c r="G1361" s="78"/>
      <c r="H1361" s="87">
        <v>636.8244473874462</v>
      </c>
      <c r="I1361" s="87">
        <f>VLOOKUP($C1361,'Unit tariffs'!$B$21:$F$122,5,FALSE)*$B1361</f>
        <v>1028.2864615384617</v>
      </c>
      <c r="J1361" s="111"/>
    </row>
    <row r="1362" spans="1:10" ht="12.75">
      <c r="A1362" s="97"/>
      <c r="B1362" s="78"/>
      <c r="C1362" s="78"/>
      <c r="D1362" s="78"/>
      <c r="E1362" s="78"/>
      <c r="F1362" s="78"/>
      <c r="G1362" s="78"/>
      <c r="H1362" s="80">
        <v>1357.059377640831</v>
      </c>
      <c r="I1362" s="80">
        <f>SUM(I1360:I1361)</f>
        <v>2319.6953884615386</v>
      </c>
      <c r="J1362" s="111"/>
    </row>
    <row r="1363" spans="1:10" ht="12.75">
      <c r="A1363" s="97"/>
      <c r="B1363" s="110" t="s">
        <v>43</v>
      </c>
      <c r="C1363" s="78"/>
      <c r="D1363" s="78"/>
      <c r="E1363" s="78"/>
      <c r="F1363" s="78"/>
      <c r="G1363" s="78"/>
      <c r="H1363" s="78"/>
      <c r="I1363" s="78"/>
      <c r="J1363" s="111"/>
    </row>
    <row r="1364" spans="1:10" ht="12.75">
      <c r="A1364" s="97"/>
      <c r="B1364" s="78"/>
      <c r="C1364" s="78"/>
      <c r="D1364" s="78"/>
      <c r="E1364" s="78"/>
      <c r="F1364" s="78"/>
      <c r="G1364" s="78"/>
      <c r="H1364" s="78"/>
      <c r="I1364" s="78"/>
      <c r="J1364" s="111"/>
    </row>
    <row r="1365" spans="1:10" ht="12.75">
      <c r="A1365" s="97"/>
      <c r="B1365" s="78">
        <v>24</v>
      </c>
      <c r="C1365" s="78" t="str">
        <f>'Unit tariffs'!B$110</f>
        <v>km-truck with platform</v>
      </c>
      <c r="D1365" s="78"/>
      <c r="E1365" s="78"/>
      <c r="F1365" s="78"/>
      <c r="G1365" s="78"/>
      <c r="H1365" s="80">
        <v>779.1765820800001</v>
      </c>
      <c r="I1365" s="80">
        <f>VLOOKUP($C1365,'Unit tariffs'!$B$21:$F$122,5,FALSE)*$B1365</f>
        <v>970.1459533764145</v>
      </c>
      <c r="J1365" s="101"/>
    </row>
    <row r="1366" spans="1:10" ht="12.75">
      <c r="A1366" s="97"/>
      <c r="B1366" s="78">
        <v>4</v>
      </c>
      <c r="C1366" s="78" t="str">
        <f>'Unit tariffs'!B$111</f>
        <v>hour-truck with platform</v>
      </c>
      <c r="D1366" s="78"/>
      <c r="E1366" s="78"/>
      <c r="F1366" s="78"/>
      <c r="G1366" s="78"/>
      <c r="H1366" s="87">
        <v>670.4500400000001</v>
      </c>
      <c r="I1366" s="87">
        <f>VLOOKUP($C1366,'Unit tariffs'!$B$21:$F$122,5,FALSE)*$B1366</f>
        <v>786.8883582022</v>
      </c>
      <c r="J1366" s="101"/>
    </row>
    <row r="1367" spans="1:10" ht="12.75">
      <c r="A1367" s="97"/>
      <c r="B1367" s="78"/>
      <c r="C1367" s="78"/>
      <c r="D1367" s="78"/>
      <c r="E1367" s="78"/>
      <c r="F1367" s="78"/>
      <c r="G1367" s="78"/>
      <c r="H1367" s="80">
        <v>1449.6266220800003</v>
      </c>
      <c r="I1367" s="80">
        <f>SUM(I1365:I1366)</f>
        <v>1757.0343115786145</v>
      </c>
      <c r="J1367" s="111"/>
    </row>
    <row r="1368" spans="1:10" ht="13.5" thickBot="1">
      <c r="A1368" s="97"/>
      <c r="B1368" s="78"/>
      <c r="C1368" s="78"/>
      <c r="D1368" s="78"/>
      <c r="E1368" s="78"/>
      <c r="F1368" s="78"/>
      <c r="G1368" s="78"/>
      <c r="H1368" s="114"/>
      <c r="I1368" s="114"/>
      <c r="J1368" s="111"/>
    </row>
    <row r="1369" spans="1:10" ht="13.5" thickTop="1">
      <c r="A1369" s="97"/>
      <c r="B1369" s="78"/>
      <c r="C1369" s="78"/>
      <c r="D1369" s="78"/>
      <c r="E1369" s="78"/>
      <c r="F1369" s="78"/>
      <c r="G1369" s="80"/>
      <c r="H1369" s="80">
        <v>17510.839863406884</v>
      </c>
      <c r="I1369" s="80">
        <f>I1367+I1362+I1357+I1349</f>
        <v>18378.480827586784</v>
      </c>
      <c r="J1369" s="111"/>
    </row>
    <row r="1370" spans="1:10" ht="13.5" thickBot="1">
      <c r="A1370" s="97"/>
      <c r="B1370" s="110" t="str">
        <f>'Unit tariffs'!$B$7</f>
        <v>Administration Levy (Indirect Cost)</v>
      </c>
      <c r="C1370" s="78"/>
      <c r="D1370" s="112">
        <f>'Unit tariffs'!$C$7</f>
        <v>0.1</v>
      </c>
      <c r="E1370" s="78" t="s">
        <v>312</v>
      </c>
      <c r="F1370" s="196">
        <f>+'Unit tariffs'!$F$7</f>
        <v>10000</v>
      </c>
      <c r="G1370" s="80"/>
      <c r="H1370" s="114">
        <v>4668.3899075842755</v>
      </c>
      <c r="I1370" s="114">
        <f>IF(I1369*$D1370&gt;='Unit tariffs'!$E$7,'Unit tariffs'!$E$7,I1369*$D1370)</f>
        <v>1837.8480827586784</v>
      </c>
      <c r="J1370" s="111"/>
    </row>
    <row r="1371" spans="1:10" ht="13.5" thickTop="1">
      <c r="A1371" s="97"/>
      <c r="B1371" s="110" t="s">
        <v>44</v>
      </c>
      <c r="C1371" s="78"/>
      <c r="D1371" s="78"/>
      <c r="E1371" s="78"/>
      <c r="F1371" s="78"/>
      <c r="G1371" s="80"/>
      <c r="H1371" s="115">
        <v>22179.229770991158</v>
      </c>
      <c r="I1371" s="115">
        <f>SUM(I1369:I1370)</f>
        <v>20216.328910345463</v>
      </c>
      <c r="J1371" s="111"/>
    </row>
    <row r="1372" spans="1:10" ht="12.75">
      <c r="A1372" s="97"/>
      <c r="B1372" s="110"/>
      <c r="C1372" s="78"/>
      <c r="D1372" s="78"/>
      <c r="E1372" s="78"/>
      <c r="F1372" s="78"/>
      <c r="G1372" s="80"/>
      <c r="H1372" s="80"/>
      <c r="I1372" s="80"/>
      <c r="J1372" s="111"/>
    </row>
    <row r="1373" spans="1:10" ht="12.75">
      <c r="A1373" s="97"/>
      <c r="B1373" s="110" t="s">
        <v>45</v>
      </c>
      <c r="C1373" s="78"/>
      <c r="D1373" s="78"/>
      <c r="E1373" s="78"/>
      <c r="F1373" s="78"/>
      <c r="G1373" s="78"/>
      <c r="H1373" s="90">
        <v>22180</v>
      </c>
      <c r="I1373" s="90">
        <f>ROUND(I1371,-1)</f>
        <v>20220</v>
      </c>
      <c r="J1373" s="111"/>
    </row>
    <row r="1374" spans="1:10" ht="12.75">
      <c r="A1374" s="97"/>
      <c r="B1374" s="121"/>
      <c r="C1374" s="121"/>
      <c r="D1374" s="121"/>
      <c r="E1374" s="121"/>
      <c r="F1374" s="121"/>
      <c r="G1374" s="121"/>
      <c r="H1374" s="78"/>
      <c r="I1374" s="80"/>
      <c r="J1374" s="101"/>
    </row>
    <row r="1375" spans="1:10" ht="12.75">
      <c r="A1375" s="97"/>
      <c r="B1375" s="78"/>
      <c r="C1375" s="78"/>
      <c r="D1375" s="78"/>
      <c r="E1375" s="78"/>
      <c r="F1375" s="78"/>
      <c r="G1375" s="78"/>
      <c r="H1375" s="118">
        <v>0.24440518256772673</v>
      </c>
      <c r="I1375" s="118">
        <f>(I1373-H1373)/H1373</f>
        <v>-0.08836789900811542</v>
      </c>
      <c r="J1375" s="116"/>
    </row>
    <row r="1376" spans="1:10" ht="12.75">
      <c r="A1376" s="97"/>
      <c r="B1376" s="78"/>
      <c r="C1376" s="78"/>
      <c r="D1376" s="78"/>
      <c r="E1376" s="78"/>
      <c r="F1376" s="78"/>
      <c r="G1376" s="78"/>
      <c r="H1376" s="78"/>
      <c r="I1376" s="78"/>
      <c r="J1376" s="111"/>
    </row>
    <row r="1377" spans="1:10" ht="12.75">
      <c r="A1377" s="97"/>
      <c r="B1377" s="78"/>
      <c r="C1377" s="78"/>
      <c r="D1377" s="78"/>
      <c r="E1377" s="78"/>
      <c r="F1377" s="78"/>
      <c r="G1377" s="78"/>
      <c r="H1377" s="78"/>
      <c r="I1377" s="78"/>
      <c r="J1377" s="111"/>
    </row>
    <row r="1378" spans="1:10" ht="12.75">
      <c r="A1378" s="97"/>
      <c r="B1378" s="820" t="s">
        <v>198</v>
      </c>
      <c r="C1378" s="821"/>
      <c r="D1378" s="821"/>
      <c r="E1378" s="821"/>
      <c r="F1378" s="821"/>
      <c r="G1378" s="822"/>
      <c r="H1378" s="78"/>
      <c r="I1378" s="141" t="s">
        <v>245</v>
      </c>
      <c r="J1378" s="119"/>
    </row>
    <row r="1379" spans="1:10" ht="12.75">
      <c r="A1379" s="97"/>
      <c r="B1379" s="110"/>
      <c r="C1379" s="78"/>
      <c r="D1379" s="78"/>
      <c r="E1379" s="78"/>
      <c r="F1379" s="78"/>
      <c r="G1379" s="78"/>
      <c r="H1379" s="78"/>
      <c r="I1379" s="78"/>
      <c r="J1379" s="101"/>
    </row>
    <row r="1380" spans="1:10" ht="12.75">
      <c r="A1380" s="97"/>
      <c r="B1380" s="78"/>
      <c r="C1380" s="78"/>
      <c r="D1380" s="78"/>
      <c r="E1380" s="78"/>
      <c r="F1380" s="78"/>
      <c r="G1380" s="78"/>
      <c r="H1380" s="109" t="str">
        <f>+H$11</f>
        <v>2020/2021</v>
      </c>
      <c r="I1380" s="109" t="str">
        <f>+'Unit tariffs'!$F$11</f>
        <v>2021/2022</v>
      </c>
      <c r="J1380" s="101"/>
    </row>
    <row r="1381" spans="1:10" ht="12.75">
      <c r="A1381" s="97"/>
      <c r="B1381" s="158"/>
      <c r="C1381" s="78"/>
      <c r="D1381" s="78"/>
      <c r="E1381" s="78"/>
      <c r="F1381" s="78"/>
      <c r="G1381" s="78"/>
      <c r="H1381" s="78"/>
      <c r="I1381" s="78"/>
      <c r="J1381" s="101"/>
    </row>
    <row r="1382" spans="1:10" ht="13.5" thickBot="1">
      <c r="A1382" s="97"/>
      <c r="B1382" s="110" t="s">
        <v>202</v>
      </c>
      <c r="C1382" s="78"/>
      <c r="D1382" s="112"/>
      <c r="E1382" s="78"/>
      <c r="F1382" s="78"/>
      <c r="G1382" s="78"/>
      <c r="H1382" s="136">
        <v>4680</v>
      </c>
      <c r="I1382" s="114">
        <f>+I215</f>
        <v>4800</v>
      </c>
      <c r="J1382" s="101"/>
    </row>
    <row r="1383" spans="1:10" ht="13.5" thickTop="1">
      <c r="A1383" s="97"/>
      <c r="B1383" s="110"/>
      <c r="C1383" s="78"/>
      <c r="D1383" s="112"/>
      <c r="E1383" s="78"/>
      <c r="F1383" s="78"/>
      <c r="G1383" s="78"/>
      <c r="H1383" s="88">
        <v>4680</v>
      </c>
      <c r="I1383" s="80">
        <f>I1382</f>
        <v>4800</v>
      </c>
      <c r="J1383" s="101"/>
    </row>
    <row r="1384" spans="1:10" ht="12.75">
      <c r="A1384" s="97"/>
      <c r="B1384" s="110"/>
      <c r="C1384" s="78"/>
      <c r="D1384" s="78"/>
      <c r="E1384" s="78"/>
      <c r="F1384" s="78"/>
      <c r="G1384" s="78"/>
      <c r="H1384" s="88"/>
      <c r="I1384" s="80"/>
      <c r="J1384" s="464"/>
    </row>
    <row r="1385" spans="1:10" ht="13.5">
      <c r="A1385" s="97"/>
      <c r="B1385" s="110" t="s">
        <v>45</v>
      </c>
      <c r="C1385" s="78"/>
      <c r="D1385" s="78"/>
      <c r="E1385" s="78"/>
      <c r="F1385" s="78"/>
      <c r="G1385" s="78"/>
      <c r="H1385" s="81">
        <v>4680</v>
      </c>
      <c r="I1385" s="90">
        <f>ROUND(I1383,-1)</f>
        <v>4800</v>
      </c>
      <c r="J1385" s="101"/>
    </row>
    <row r="1386" spans="1:10" ht="12.75">
      <c r="A1386" s="97"/>
      <c r="B1386" s="121"/>
      <c r="C1386" s="121"/>
      <c r="D1386" s="121"/>
      <c r="E1386" s="121"/>
      <c r="F1386" s="121"/>
      <c r="G1386" s="121"/>
      <c r="H1386" s="88"/>
      <c r="I1386" s="90"/>
      <c r="J1386" s="101"/>
    </row>
    <row r="1387" spans="1:10" ht="12.75">
      <c r="A1387" s="97"/>
      <c r="B1387" s="110"/>
      <c r="C1387" s="78"/>
      <c r="D1387" s="78"/>
      <c r="E1387" s="78"/>
      <c r="F1387" s="78"/>
      <c r="G1387" s="78"/>
      <c r="H1387" s="118">
        <v>0.044642857142857144</v>
      </c>
      <c r="I1387" s="118">
        <f>(I1385-H1385)/H1385</f>
        <v>0.02564102564102564</v>
      </c>
      <c r="J1387" s="101"/>
    </row>
    <row r="1388" spans="1:10" ht="12.75">
      <c r="A1388" s="97"/>
      <c r="B1388" s="110"/>
      <c r="C1388" s="78"/>
      <c r="D1388" s="78"/>
      <c r="E1388" s="78"/>
      <c r="F1388" s="78"/>
      <c r="G1388" s="78"/>
      <c r="H1388" s="78"/>
      <c r="I1388" s="78"/>
      <c r="J1388" s="101"/>
    </row>
    <row r="1389" spans="1:10" ht="12.75">
      <c r="A1389" s="97"/>
      <c r="B1389" s="78" t="s">
        <v>1</v>
      </c>
      <c r="C1389" s="78"/>
      <c r="D1389" s="78"/>
      <c r="E1389" s="78"/>
      <c r="F1389" s="78"/>
      <c r="G1389" s="78"/>
      <c r="H1389" s="78"/>
      <c r="I1389" s="78"/>
      <c r="J1389" s="111"/>
    </row>
    <row r="1390" spans="1:10" ht="12.75">
      <c r="A1390" s="97"/>
      <c r="B1390" s="820" t="s">
        <v>199</v>
      </c>
      <c r="C1390" s="821"/>
      <c r="D1390" s="821"/>
      <c r="E1390" s="821"/>
      <c r="F1390" s="821"/>
      <c r="G1390" s="822"/>
      <c r="H1390" s="78"/>
      <c r="I1390" s="78"/>
      <c r="J1390" s="111"/>
    </row>
    <row r="1391" spans="1:10" ht="12.75">
      <c r="A1391" s="97"/>
      <c r="B1391" s="78" t="s">
        <v>1</v>
      </c>
      <c r="C1391" s="78"/>
      <c r="D1391" s="78"/>
      <c r="E1391" s="78"/>
      <c r="F1391" s="78"/>
      <c r="G1391" s="78"/>
      <c r="H1391" s="109" t="str">
        <f>+H$11</f>
        <v>2020/2021</v>
      </c>
      <c r="I1391" s="109" t="str">
        <f>+'Unit tariffs'!$F$11</f>
        <v>2021/2022</v>
      </c>
      <c r="J1391" s="101"/>
    </row>
    <row r="1392" spans="1:10" ht="12.75">
      <c r="A1392" s="97"/>
      <c r="B1392" s="110" t="s">
        <v>41</v>
      </c>
      <c r="C1392" s="78"/>
      <c r="D1392" s="78"/>
      <c r="E1392" s="78"/>
      <c r="F1392" s="78"/>
      <c r="G1392" s="78"/>
      <c r="H1392" s="145"/>
      <c r="I1392" s="78"/>
      <c r="J1392" s="101"/>
    </row>
    <row r="1393" spans="1:10" ht="12.75">
      <c r="A1393" s="97"/>
      <c r="B1393" s="78"/>
      <c r="C1393" s="78"/>
      <c r="D1393" s="78"/>
      <c r="E1393" s="78"/>
      <c r="F1393" s="78"/>
      <c r="G1393" s="78"/>
      <c r="H1393" s="145"/>
      <c r="I1393" s="78"/>
      <c r="J1393" s="458" t="s">
        <v>315</v>
      </c>
    </row>
    <row r="1394" spans="1:10" ht="12.75">
      <c r="A1394" s="97"/>
      <c r="B1394" s="78">
        <v>5</v>
      </c>
      <c r="C1394" s="78" t="str">
        <f>'Unit tariffs'!B67</f>
        <v>10 mm Copper Airdac cable</v>
      </c>
      <c r="D1394" s="78"/>
      <c r="E1394" s="78"/>
      <c r="F1394" s="78"/>
      <c r="G1394" s="78"/>
      <c r="H1394" s="80">
        <v>162</v>
      </c>
      <c r="I1394" s="80">
        <f>VLOOKUP($C1394,'Unit tariffs'!$B$21:$F$122,5,FALSE)*$B1394</f>
        <v>215.95450000000002</v>
      </c>
      <c r="J1394" s="461" t="e">
        <f>IF(+I1394*'Unit tariffs'!#REF!&gt;'Unit tariffs'!#REF!,'Unit tariffs'!#REF!,+I1394*'Unit tariffs'!#REF!)</f>
        <v>#REF!</v>
      </c>
    </row>
    <row r="1395" spans="1:10" ht="12.75">
      <c r="A1395" s="97"/>
      <c r="B1395" s="78">
        <v>1</v>
      </c>
      <c r="C1395" s="78" t="str">
        <f>'Unit tariffs'!B68</f>
        <v>Strain clamp - Airdac</v>
      </c>
      <c r="D1395" s="78"/>
      <c r="E1395" s="78"/>
      <c r="F1395" s="78"/>
      <c r="G1395" s="78"/>
      <c r="H1395" s="80">
        <v>18.284334794971095</v>
      </c>
      <c r="I1395" s="80">
        <f>VLOOKUP($C1395,'Unit tariffs'!$B$21:$F$122,5,FALSE)*$B1395</f>
        <v>19.05227685635988</v>
      </c>
      <c r="J1395" s="461" t="e">
        <f>IF(+I1395*'Unit tariffs'!#REF!&gt;'Unit tariffs'!#REF!,'Unit tariffs'!#REF!,+I1395*'Unit tariffs'!#REF!)</f>
        <v>#REF!</v>
      </c>
    </row>
    <row r="1396" spans="1:10" ht="12.75">
      <c r="A1396" s="97"/>
      <c r="B1396" s="78">
        <v>1</v>
      </c>
      <c r="C1396" s="78" t="str">
        <f>'Unit tariffs'!B24</f>
        <v>L-Bracket</v>
      </c>
      <c r="D1396" s="78"/>
      <c r="E1396" s="78"/>
      <c r="F1396" s="78"/>
      <c r="G1396" s="78"/>
      <c r="H1396" s="80">
        <v>26.463807199999994</v>
      </c>
      <c r="I1396" s="80">
        <f>VLOOKUP($C1396,'Unit tariffs'!$B$21:$F$122,5,FALSE)*$B1396</f>
        <v>85.444</v>
      </c>
      <c r="J1396" s="461" t="e">
        <f>IF(+I1396*'Unit tariffs'!#REF!&gt;'Unit tariffs'!#REF!,'Unit tariffs'!#REF!,+I1396*'Unit tariffs'!#REF!)</f>
        <v>#REF!</v>
      </c>
    </row>
    <row r="1397" spans="1:10" ht="12.75">
      <c r="A1397" s="97"/>
      <c r="B1397" s="78">
        <v>2</v>
      </c>
      <c r="C1397" s="78" t="str">
        <f>'Unit tariffs'!B21</f>
        <v>Installation material</v>
      </c>
      <c r="D1397" s="78"/>
      <c r="E1397" s="78"/>
      <c r="F1397" s="78"/>
      <c r="G1397" s="78"/>
      <c r="H1397" s="87">
        <v>227.289957</v>
      </c>
      <c r="I1397" s="87">
        <f>VLOOKUP($C1397,'Unit tariffs'!$B$21:$F$122,5,FALSE)*$B1397</f>
        <v>521</v>
      </c>
      <c r="J1397" s="461" t="e">
        <f>IF(+I1397*'Unit tariffs'!#REF!&gt;'Unit tariffs'!#REF!,'Unit tariffs'!#REF!,+I1397*'Unit tariffs'!#REF!)</f>
        <v>#REF!</v>
      </c>
    </row>
    <row r="1398" spans="1:10" ht="12.75">
      <c r="A1398" s="97"/>
      <c r="B1398" s="78"/>
      <c r="C1398" s="78"/>
      <c r="D1398" s="78"/>
      <c r="E1398" s="78"/>
      <c r="F1398" s="78"/>
      <c r="G1398" s="78"/>
      <c r="H1398" s="80">
        <v>434.03809899497105</v>
      </c>
      <c r="I1398" s="80">
        <f>SUM(I1394:I1397)</f>
        <v>841.4507768563599</v>
      </c>
      <c r="J1398" s="101"/>
    </row>
    <row r="1399" spans="1:10" ht="12.75">
      <c r="A1399" s="97"/>
      <c r="B1399" s="110" t="s">
        <v>42</v>
      </c>
      <c r="C1399" s="78"/>
      <c r="D1399" s="78"/>
      <c r="E1399" s="78"/>
      <c r="F1399" s="78"/>
      <c r="G1399" s="80"/>
      <c r="H1399" s="78"/>
      <c r="I1399" s="78"/>
      <c r="J1399" s="101"/>
    </row>
    <row r="1400" spans="1:10" ht="12.75">
      <c r="A1400" s="97"/>
      <c r="B1400" s="78"/>
      <c r="C1400" s="78"/>
      <c r="D1400" s="78"/>
      <c r="E1400" s="78"/>
      <c r="F1400" s="78"/>
      <c r="G1400" s="78"/>
      <c r="H1400" s="78"/>
      <c r="I1400" s="78"/>
      <c r="J1400" s="101"/>
    </row>
    <row r="1401" spans="1:10" ht="12.75">
      <c r="A1401" s="97"/>
      <c r="B1401" s="78">
        <v>0.5</v>
      </c>
      <c r="C1401" s="78" t="str">
        <f>'Unit tariffs'!B86</f>
        <v>hour-artisan </v>
      </c>
      <c r="D1401" s="78"/>
      <c r="E1401" s="78"/>
      <c r="F1401" s="78"/>
      <c r="G1401" s="78"/>
      <c r="H1401" s="80">
        <v>90.02936628167308</v>
      </c>
      <c r="I1401" s="80">
        <f>VLOOKUP($C1401,'Unit tariffs'!$B$21:$F$122,5,FALSE)*$B1401</f>
        <v>161.42611586538462</v>
      </c>
      <c r="J1401" s="101"/>
    </row>
    <row r="1402" spans="1:10" ht="12.75">
      <c r="A1402" s="97"/>
      <c r="B1402" s="78">
        <v>2</v>
      </c>
      <c r="C1402" s="78" t="str">
        <f>'Unit tariffs'!B84</f>
        <v>hour-artisan assistant</v>
      </c>
      <c r="D1402" s="78"/>
      <c r="E1402" s="78"/>
      <c r="F1402" s="78"/>
      <c r="G1402" s="78"/>
      <c r="H1402" s="87">
        <v>159.20611184686155</v>
      </c>
      <c r="I1402" s="87">
        <f>VLOOKUP($C1402,'Unit tariffs'!$B$21:$F$122,5,FALSE)*$B1402</f>
        <v>257.0716153846154</v>
      </c>
      <c r="J1402" s="101"/>
    </row>
    <row r="1403" spans="1:10" ht="12.75">
      <c r="A1403" s="97"/>
      <c r="B1403" s="78"/>
      <c r="C1403" s="78"/>
      <c r="D1403" s="78"/>
      <c r="E1403" s="78"/>
      <c r="F1403" s="78"/>
      <c r="G1403" s="78"/>
      <c r="H1403" s="80">
        <v>249.23547812853462</v>
      </c>
      <c r="I1403" s="80">
        <f>SUM(I1401:I1402)</f>
        <v>418.49773125</v>
      </c>
      <c r="J1403" s="101"/>
    </row>
    <row r="1404" spans="1:10" ht="12.75">
      <c r="A1404" s="97"/>
      <c r="B1404" s="110" t="s">
        <v>43</v>
      </c>
      <c r="C1404" s="78"/>
      <c r="D1404" s="78"/>
      <c r="E1404" s="78"/>
      <c r="F1404" s="78"/>
      <c r="G1404" s="78"/>
      <c r="H1404" s="78"/>
      <c r="I1404" s="78"/>
      <c r="J1404" s="101"/>
    </row>
    <row r="1405" spans="1:10" ht="12.75">
      <c r="A1405" s="97"/>
      <c r="B1405" s="78"/>
      <c r="C1405" s="78"/>
      <c r="D1405" s="78"/>
      <c r="E1405" s="78"/>
      <c r="F1405" s="78"/>
      <c r="G1405" s="78"/>
      <c r="H1405" s="78"/>
      <c r="I1405" s="78"/>
      <c r="J1405" s="101"/>
    </row>
    <row r="1406" spans="1:10" ht="12.75">
      <c r="A1406" s="97"/>
      <c r="B1406" s="78">
        <v>24</v>
      </c>
      <c r="C1406" s="78" t="str">
        <f>'Unit tariffs'!B110</f>
        <v>km-truck with platform</v>
      </c>
      <c r="D1406" s="78"/>
      <c r="E1406" s="78"/>
      <c r="F1406" s="78"/>
      <c r="G1406" s="78"/>
      <c r="H1406" s="80">
        <v>779.1765820800001</v>
      </c>
      <c r="I1406" s="80">
        <f>VLOOKUP($C1406,'Unit tariffs'!$B$21:$F$122,5,FALSE)*$B1406</f>
        <v>970.1459533764145</v>
      </c>
      <c r="J1406" s="464"/>
    </row>
    <row r="1407" spans="1:10" ht="12.75">
      <c r="A1407" s="97"/>
      <c r="B1407" s="78">
        <v>1</v>
      </c>
      <c r="C1407" s="78" t="str">
        <f>'Unit tariffs'!B111</f>
        <v>hour-truck with platform</v>
      </c>
      <c r="D1407" s="78"/>
      <c r="E1407" s="78"/>
      <c r="F1407" s="78"/>
      <c r="G1407" s="78"/>
      <c r="H1407" s="80">
        <v>167.61251000000001</v>
      </c>
      <c r="I1407" s="80">
        <f>VLOOKUP($C1407,'Unit tariffs'!$B$21:$F$122,5,FALSE)*$B1407</f>
        <v>196.72208955055</v>
      </c>
      <c r="J1407" s="101"/>
    </row>
    <row r="1408" spans="1:10" ht="12.75">
      <c r="A1408" s="97"/>
      <c r="B1408" s="78"/>
      <c r="C1408" s="78"/>
      <c r="D1408" s="78"/>
      <c r="E1408" s="78"/>
      <c r="F1408" s="78"/>
      <c r="G1408" s="78"/>
      <c r="H1408" s="146">
        <v>946.7890920800002</v>
      </c>
      <c r="I1408" s="146">
        <f>SUM(I1406:I1407)</f>
        <v>1166.8680429269646</v>
      </c>
      <c r="J1408" s="101"/>
    </row>
    <row r="1409" spans="1:10" ht="13.5" thickBot="1">
      <c r="A1409" s="97"/>
      <c r="B1409" s="110"/>
      <c r="C1409" s="78"/>
      <c r="D1409" s="112"/>
      <c r="E1409" s="78"/>
      <c r="F1409" s="78"/>
      <c r="G1409" s="78"/>
      <c r="H1409" s="114"/>
      <c r="I1409" s="114"/>
      <c r="J1409" s="101"/>
    </row>
    <row r="1410" spans="1:10" ht="13.5" thickTop="1">
      <c r="A1410" s="97"/>
      <c r="B1410" s="78"/>
      <c r="C1410" s="78"/>
      <c r="D1410" s="78"/>
      <c r="E1410" s="78"/>
      <c r="F1410" s="78"/>
      <c r="G1410" s="78"/>
      <c r="H1410" s="80">
        <v>1630.062669203506</v>
      </c>
      <c r="I1410" s="80">
        <f>I1408+I1403+I1398</f>
        <v>2426.8165510333247</v>
      </c>
      <c r="J1410" s="101"/>
    </row>
    <row r="1411" spans="1:10" ht="13.5" thickBot="1">
      <c r="A1411" s="97"/>
      <c r="B1411" s="110" t="str">
        <f>'Unit tariffs'!$B$7</f>
        <v>Administration Levy (Indirect Cost)</v>
      </c>
      <c r="C1411" s="78"/>
      <c r="D1411" s="112">
        <f>'Unit tariffs'!$C$7</f>
        <v>0.1</v>
      </c>
      <c r="E1411" s="78" t="s">
        <v>312</v>
      </c>
      <c r="F1411" s="196">
        <f>+'Unit tariffs'!$F$7</f>
        <v>10000</v>
      </c>
      <c r="G1411" s="80"/>
      <c r="H1411" s="114">
        <v>434.5747076096547</v>
      </c>
      <c r="I1411" s="114">
        <f>IF(I1410*$D1411&gt;='Unit tariffs'!$E$7,'Unit tariffs'!$E$7,I1410*$D1411)</f>
        <v>242.68165510333247</v>
      </c>
      <c r="J1411" s="111"/>
    </row>
    <row r="1412" spans="1:10" ht="13.5" thickTop="1">
      <c r="A1412" s="97"/>
      <c r="B1412" s="110" t="s">
        <v>44</v>
      </c>
      <c r="C1412" s="78"/>
      <c r="D1412" s="78"/>
      <c r="E1412" s="78"/>
      <c r="F1412" s="78"/>
      <c r="G1412" s="80"/>
      <c r="H1412" s="115">
        <v>2064.6373768131607</v>
      </c>
      <c r="I1412" s="115">
        <f>SUM(I1410:I1411)</f>
        <v>2669.4982061366572</v>
      </c>
      <c r="J1412" s="111"/>
    </row>
    <row r="1413" spans="1:10" ht="12.75">
      <c r="A1413" s="97"/>
      <c r="B1413" s="78"/>
      <c r="C1413" s="78"/>
      <c r="D1413" s="78"/>
      <c r="E1413" s="78"/>
      <c r="F1413" s="78"/>
      <c r="G1413" s="80"/>
      <c r="H1413" s="78"/>
      <c r="I1413" s="78"/>
      <c r="J1413" s="101"/>
    </row>
    <row r="1414" spans="1:10" ht="12.75">
      <c r="A1414" s="97"/>
      <c r="B1414" s="110" t="s">
        <v>45</v>
      </c>
      <c r="C1414" s="78"/>
      <c r="D1414" s="78"/>
      <c r="E1414" s="78"/>
      <c r="F1414" s="78"/>
      <c r="G1414" s="78"/>
      <c r="H1414" s="90">
        <v>2060</v>
      </c>
      <c r="I1414" s="90">
        <f>ROUND(I1412,-1)</f>
        <v>2670</v>
      </c>
      <c r="J1414" s="101"/>
    </row>
    <row r="1415" spans="1:10" ht="12.75">
      <c r="A1415" s="97"/>
      <c r="B1415" s="121"/>
      <c r="C1415" s="121"/>
      <c r="D1415" s="121"/>
      <c r="E1415" s="78"/>
      <c r="F1415" s="78"/>
      <c r="G1415" s="78"/>
      <c r="H1415" s="78"/>
      <c r="I1415" s="80"/>
      <c r="J1415" s="111"/>
    </row>
    <row r="1416" spans="1:10" ht="12.75">
      <c r="A1416" s="97"/>
      <c r="B1416" s="78"/>
      <c r="C1416" s="78"/>
      <c r="D1416" s="78"/>
      <c r="E1416" s="78"/>
      <c r="F1416" s="78"/>
      <c r="G1416" s="78"/>
      <c r="H1416" s="118">
        <v>0.05102040816326531</v>
      </c>
      <c r="I1416" s="118">
        <f>(I1414-H1414)/H1414</f>
        <v>0.2961165048543689</v>
      </c>
      <c r="J1416" s="111"/>
    </row>
    <row r="1417" spans="1:10" ht="13.5" thickBot="1">
      <c r="A1417" s="462"/>
      <c r="B1417" s="130"/>
      <c r="C1417" s="130"/>
      <c r="D1417" s="130"/>
      <c r="E1417" s="130"/>
      <c r="F1417" s="130"/>
      <c r="G1417" s="130"/>
      <c r="H1417" s="130"/>
      <c r="I1417" s="130"/>
      <c r="J1417" s="111"/>
    </row>
    <row r="1418" spans="1:10" ht="13.5" thickTop="1">
      <c r="A1418" s="97"/>
      <c r="B1418" s="78"/>
      <c r="C1418" s="78"/>
      <c r="D1418" s="78"/>
      <c r="E1418" s="78"/>
      <c r="F1418" s="78"/>
      <c r="G1418" s="78"/>
      <c r="H1418" s="78"/>
      <c r="I1418" s="78"/>
      <c r="J1418" s="101"/>
    </row>
    <row r="1419" spans="1:10" ht="12.75" customHeight="1">
      <c r="A1419" s="97"/>
      <c r="B1419" s="829" t="s">
        <v>131</v>
      </c>
      <c r="C1419" s="830"/>
      <c r="D1419" s="830"/>
      <c r="E1419" s="830"/>
      <c r="F1419" s="830"/>
      <c r="G1419" s="831"/>
      <c r="H1419" s="78"/>
      <c r="I1419" s="78"/>
      <c r="J1419" s="116"/>
    </row>
    <row r="1420" spans="1:10" ht="12.75">
      <c r="A1420" s="97"/>
      <c r="B1420" s="78"/>
      <c r="C1420" s="78"/>
      <c r="D1420" s="78"/>
      <c r="E1420" s="78"/>
      <c r="F1420" s="78"/>
      <c r="G1420" s="78"/>
      <c r="H1420" s="78"/>
      <c r="I1420" s="78"/>
      <c r="J1420" s="111"/>
    </row>
    <row r="1421" spans="1:10" ht="12.75" customHeight="1">
      <c r="A1421" s="97"/>
      <c r="B1421" s="829" t="s">
        <v>132</v>
      </c>
      <c r="C1421" s="830"/>
      <c r="D1421" s="830"/>
      <c r="E1421" s="830"/>
      <c r="F1421" s="830"/>
      <c r="G1421" s="831"/>
      <c r="H1421" s="78"/>
      <c r="I1421" s="78"/>
      <c r="J1421" s="119"/>
    </row>
    <row r="1422" spans="1:10" ht="12.75">
      <c r="A1422" s="97"/>
      <c r="B1422" s="110"/>
      <c r="C1422" s="78"/>
      <c r="D1422" s="78"/>
      <c r="E1422" s="78"/>
      <c r="F1422" s="78"/>
      <c r="G1422" s="78"/>
      <c r="H1422" s="78"/>
      <c r="I1422" s="78"/>
      <c r="J1422" s="101"/>
    </row>
    <row r="1423" spans="1:10" ht="12.75">
      <c r="A1423" s="97"/>
      <c r="B1423" s="110" t="s">
        <v>141</v>
      </c>
      <c r="C1423" s="78"/>
      <c r="D1423" s="78"/>
      <c r="E1423" s="78"/>
      <c r="F1423" s="78"/>
      <c r="G1423" s="78"/>
      <c r="H1423" s="78"/>
      <c r="I1423" s="78"/>
      <c r="J1423" s="101"/>
    </row>
    <row r="1424" spans="1:10" ht="12.75">
      <c r="A1424" s="97"/>
      <c r="B1424" s="78" t="s">
        <v>1</v>
      </c>
      <c r="C1424" s="78"/>
      <c r="D1424" s="78"/>
      <c r="E1424" s="78"/>
      <c r="F1424" s="78"/>
      <c r="G1424" s="78"/>
      <c r="H1424" s="109" t="str">
        <f>+H$11</f>
        <v>2020/2021</v>
      </c>
      <c r="I1424" s="109" t="str">
        <f>+'Unit tariffs'!$F$11</f>
        <v>2021/2022</v>
      </c>
      <c r="J1424" s="101"/>
    </row>
    <row r="1425" spans="1:10" ht="12.75">
      <c r="A1425" s="97"/>
      <c r="B1425" s="110" t="s">
        <v>62</v>
      </c>
      <c r="C1425" s="78"/>
      <c r="D1425" s="78"/>
      <c r="E1425" s="78"/>
      <c r="F1425" s="78"/>
      <c r="G1425" s="78"/>
      <c r="H1425" s="145"/>
      <c r="I1425" s="78"/>
      <c r="J1425" s="101"/>
    </row>
    <row r="1426" spans="1:10" ht="45.75" customHeight="1">
      <c r="A1426" s="97"/>
      <c r="B1426" s="78"/>
      <c r="C1426" s="78"/>
      <c r="D1426" s="78"/>
      <c r="E1426" s="78"/>
      <c r="F1426" s="78"/>
      <c r="G1426" s="78"/>
      <c r="H1426" s="145"/>
      <c r="I1426" s="78"/>
      <c r="J1426" s="101"/>
    </row>
    <row r="1427" spans="1:10" ht="12.75">
      <c r="A1427" s="97"/>
      <c r="B1427" s="110" t="s">
        <v>42</v>
      </c>
      <c r="C1427" s="78"/>
      <c r="D1427" s="78"/>
      <c r="E1427" s="78"/>
      <c r="F1427" s="78"/>
      <c r="G1427" s="78"/>
      <c r="H1427" s="78"/>
      <c r="I1427" s="78"/>
      <c r="J1427" s="101"/>
    </row>
    <row r="1428" spans="1:10" ht="12.75">
      <c r="A1428" s="97"/>
      <c r="B1428" s="78"/>
      <c r="C1428" s="78"/>
      <c r="D1428" s="78"/>
      <c r="E1428" s="78"/>
      <c r="F1428" s="78"/>
      <c r="G1428" s="78"/>
      <c r="H1428" s="78"/>
      <c r="I1428" s="78"/>
      <c r="J1428" s="458"/>
    </row>
    <row r="1429" spans="1:12" ht="12.75">
      <c r="A1429" s="97"/>
      <c r="B1429" s="78">
        <v>0.75</v>
      </c>
      <c r="C1429" s="78" t="str">
        <f>'Unit tariffs'!B85</f>
        <v>hour-meter assistant</v>
      </c>
      <c r="D1429" s="78"/>
      <c r="E1429" s="78"/>
      <c r="F1429" s="78"/>
      <c r="G1429" s="78"/>
      <c r="H1429" s="214">
        <v>59.70229194257308</v>
      </c>
      <c r="I1429" s="80">
        <f>VLOOKUP($C1429,'Unit tariffs'!$B$21:$F$122,5,FALSE)*$B1429</f>
        <v>96.40185576923079</v>
      </c>
      <c r="J1429" s="461"/>
      <c r="K1429" s="80"/>
      <c r="L1429" s="524"/>
    </row>
    <row r="1430" spans="1:12" ht="12.75">
      <c r="A1430" s="97"/>
      <c r="B1430" s="78">
        <v>1</v>
      </c>
      <c r="C1430" s="78" t="str">
        <f>'Unit tariffs'!B$86</f>
        <v>hour-artisan </v>
      </c>
      <c r="D1430" s="78"/>
      <c r="E1430" s="78"/>
      <c r="F1430" s="78"/>
      <c r="G1430" s="78"/>
      <c r="H1430" s="80">
        <v>180.05873256334615</v>
      </c>
      <c r="I1430" s="80">
        <f>VLOOKUP($C1430,'Unit tariffs'!$B$21:$F$122,5,FALSE)*$B1430</f>
        <v>322.85223173076923</v>
      </c>
      <c r="J1430" s="461"/>
      <c r="K1430" s="117"/>
      <c r="L1430" s="524"/>
    </row>
    <row r="1431" spans="1:12" ht="12.75">
      <c r="A1431" s="97"/>
      <c r="B1431" s="78">
        <v>1</v>
      </c>
      <c r="C1431" s="78" t="str">
        <f>'Unit tariffs'!B$84</f>
        <v>hour-artisan assistant</v>
      </c>
      <c r="D1431" s="78"/>
      <c r="E1431" s="78"/>
      <c r="F1431" s="78"/>
      <c r="G1431" s="78"/>
      <c r="H1431" s="87">
        <v>79.60305592343077</v>
      </c>
      <c r="I1431" s="87">
        <f>VLOOKUP($C1431,'Unit tariffs'!$B$21:$F$122,5,FALSE)*$B1431</f>
        <v>128.5358076923077</v>
      </c>
      <c r="J1431" s="461"/>
      <c r="K1431" s="117"/>
      <c r="L1431" s="524"/>
    </row>
    <row r="1432" spans="1:12" ht="12.75">
      <c r="A1432" s="97"/>
      <c r="B1432" s="78"/>
      <c r="C1432" s="78"/>
      <c r="D1432" s="78"/>
      <c r="E1432" s="78"/>
      <c r="F1432" s="78"/>
      <c r="G1432" s="78"/>
      <c r="H1432" s="80">
        <v>319.36408042935</v>
      </c>
      <c r="I1432" s="80">
        <f>SUM(I1429:I1431)</f>
        <v>547.7898951923078</v>
      </c>
      <c r="J1432" s="461"/>
      <c r="K1432" s="117"/>
      <c r="L1432" s="524"/>
    </row>
    <row r="1433" spans="1:10" ht="12.75">
      <c r="A1433" s="97"/>
      <c r="B1433" s="110" t="s">
        <v>43</v>
      </c>
      <c r="C1433" s="78"/>
      <c r="D1433" s="78"/>
      <c r="E1433" s="78"/>
      <c r="F1433" s="78"/>
      <c r="G1433" s="78"/>
      <c r="H1433" s="78"/>
      <c r="I1433" s="78"/>
      <c r="J1433" s="461"/>
    </row>
    <row r="1434" spans="1:10" ht="12.75">
      <c r="A1434" s="97"/>
      <c r="B1434" s="78"/>
      <c r="C1434" s="78"/>
      <c r="D1434" s="78"/>
      <c r="E1434" s="78"/>
      <c r="F1434" s="78"/>
      <c r="G1434" s="78"/>
      <c r="H1434" s="78"/>
      <c r="I1434" s="78"/>
      <c r="J1434" s="111"/>
    </row>
    <row r="1435" spans="1:10" ht="12.75">
      <c r="A1435" s="97"/>
      <c r="B1435" s="78">
        <v>20</v>
      </c>
      <c r="C1435" s="78" t="str">
        <f>'Unit tariffs'!B$114</f>
        <v>km-panel van</v>
      </c>
      <c r="D1435" s="78"/>
      <c r="E1435" s="78"/>
      <c r="F1435" s="78"/>
      <c r="G1435" s="78"/>
      <c r="H1435" s="80">
        <v>354.77034320000007</v>
      </c>
      <c r="I1435" s="80">
        <f>VLOOKUP($C1435,'Unit tariffs'!$B$21:$F$122,5,FALSE)*$B1435</f>
        <v>449.241944119876</v>
      </c>
      <c r="J1435" s="111"/>
    </row>
    <row r="1436" spans="1:10" ht="12.75">
      <c r="A1436" s="97"/>
      <c r="B1436" s="78">
        <v>1.25</v>
      </c>
      <c r="C1436" s="78" t="str">
        <f>'Unit tariffs'!B$115</f>
        <v>hour-panel van</v>
      </c>
      <c r="D1436" s="78"/>
      <c r="E1436" s="78"/>
      <c r="F1436" s="78"/>
      <c r="G1436" s="78"/>
      <c r="H1436" s="87">
        <v>202.27136800000005</v>
      </c>
      <c r="I1436" s="80">
        <f>VLOOKUP($C1436,'Unit tariffs'!$B$21:$F$122,5,FALSE)*$B1436</f>
        <v>245.39535891524</v>
      </c>
      <c r="J1436" s="111"/>
    </row>
    <row r="1437" spans="1:12" ht="12.75">
      <c r="A1437" s="97"/>
      <c r="B1437" s="78"/>
      <c r="C1437" s="78"/>
      <c r="D1437" s="78"/>
      <c r="E1437" s="78"/>
      <c r="F1437" s="78"/>
      <c r="G1437" s="78"/>
      <c r="H1437" s="146">
        <v>557.0417112000001</v>
      </c>
      <c r="I1437" s="146">
        <f>SUM(I1435:I1436)</f>
        <v>694.637303035116</v>
      </c>
      <c r="J1437" s="101"/>
      <c r="K1437" s="117"/>
      <c r="L1437" s="524"/>
    </row>
    <row r="1438" spans="1:10" ht="13.5" thickBot="1">
      <c r="A1438" s="97"/>
      <c r="B1438" s="110"/>
      <c r="C1438" s="78"/>
      <c r="D1438" s="112"/>
      <c r="E1438" s="78"/>
      <c r="F1438" s="78"/>
      <c r="G1438" s="78"/>
      <c r="H1438" s="114"/>
      <c r="I1438" s="114"/>
      <c r="J1438" s="101"/>
    </row>
    <row r="1439" spans="1:12" ht="13.5" thickTop="1">
      <c r="A1439" s="97"/>
      <c r="B1439" s="78"/>
      <c r="C1439" s="78"/>
      <c r="D1439" s="78"/>
      <c r="E1439" s="78"/>
      <c r="F1439" s="78"/>
      <c r="G1439" s="78"/>
      <c r="H1439" s="80">
        <v>876.4057916293501</v>
      </c>
      <c r="I1439" s="80">
        <f>I1437+I1432</f>
        <v>1242.4271982274238</v>
      </c>
      <c r="J1439" s="111"/>
      <c r="K1439" s="117"/>
      <c r="L1439" s="524"/>
    </row>
    <row r="1440" spans="1:10" ht="13.5" thickBot="1">
      <c r="A1440" s="97"/>
      <c r="B1440" s="110" t="str">
        <f>'Unit tariffs'!$B$7</f>
        <v>Administration Levy (Indirect Cost)</v>
      </c>
      <c r="C1440" s="78"/>
      <c r="D1440" s="112">
        <f>'Unit tariffs'!$C$7</f>
        <v>0.1</v>
      </c>
      <c r="E1440" s="78" t="s">
        <v>312</v>
      </c>
      <c r="F1440" s="196">
        <f>+'Unit tariffs'!$F$7</f>
        <v>10000</v>
      </c>
      <c r="G1440" s="80"/>
      <c r="H1440" s="114">
        <v>233.64978404838473</v>
      </c>
      <c r="I1440" s="114">
        <f>IF(I1439*$D1440&gt;='Unit tariffs'!$E$7,'Unit tariffs'!$E$7,I1439*$D1440)</f>
        <v>124.24271982274239</v>
      </c>
      <c r="J1440" s="111"/>
    </row>
    <row r="1441" spans="1:10" ht="13.5" thickTop="1">
      <c r="A1441" s="97"/>
      <c r="B1441" s="110" t="s">
        <v>44</v>
      </c>
      <c r="C1441" s="78"/>
      <c r="D1441" s="78"/>
      <c r="E1441" s="78"/>
      <c r="F1441" s="78"/>
      <c r="G1441" s="80"/>
      <c r="H1441" s="115">
        <v>1110.0555756777349</v>
      </c>
      <c r="I1441" s="115">
        <f>SUM(I1439:I1440)</f>
        <v>1366.6699180501662</v>
      </c>
      <c r="J1441" s="111"/>
    </row>
    <row r="1442" spans="1:10" ht="12.75">
      <c r="A1442" s="97"/>
      <c r="B1442" s="78"/>
      <c r="C1442" s="78"/>
      <c r="D1442" s="78"/>
      <c r="E1442" s="78"/>
      <c r="F1442" s="78"/>
      <c r="G1442" s="80"/>
      <c r="H1442" s="78"/>
      <c r="I1442" s="78"/>
      <c r="J1442" s="101"/>
    </row>
    <row r="1443" spans="1:10" ht="12.75">
      <c r="A1443" s="97"/>
      <c r="B1443" s="110" t="s">
        <v>45</v>
      </c>
      <c r="C1443" s="78"/>
      <c r="D1443" s="78"/>
      <c r="E1443" s="78"/>
      <c r="F1443" s="78"/>
      <c r="G1443" s="78"/>
      <c r="H1443" s="90">
        <v>1110</v>
      </c>
      <c r="I1443" s="90">
        <f>ROUND(I1441,-1)</f>
        <v>1370</v>
      </c>
      <c r="J1443" s="101"/>
    </row>
    <row r="1444" spans="1:10" ht="12.75">
      <c r="A1444" s="97"/>
      <c r="B1444" s="121"/>
      <c r="C1444" s="121"/>
      <c r="D1444" s="121"/>
      <c r="E1444" s="78"/>
      <c r="F1444" s="78"/>
      <c r="G1444" s="78"/>
      <c r="H1444" s="78"/>
      <c r="I1444" s="80"/>
      <c r="J1444" s="111"/>
    </row>
    <row r="1445" spans="1:10" ht="12.75">
      <c r="A1445" s="97"/>
      <c r="B1445" s="121"/>
      <c r="C1445" s="121"/>
      <c r="D1445" s="121"/>
      <c r="E1445" s="78"/>
      <c r="F1445" s="78"/>
      <c r="G1445" s="78"/>
      <c r="H1445" s="118">
        <v>0.0673076923076923</v>
      </c>
      <c r="I1445" s="118">
        <f>(I1443-H1443)/H1443</f>
        <v>0.23423423423423423</v>
      </c>
      <c r="J1445" s="111"/>
    </row>
    <row r="1446" spans="1:10" ht="13.5" thickBot="1">
      <c r="A1446" s="97"/>
      <c r="B1446" s="78"/>
      <c r="C1446" s="78"/>
      <c r="D1446" s="78"/>
      <c r="E1446" s="78"/>
      <c r="F1446" s="78"/>
      <c r="G1446" s="78"/>
      <c r="H1446" s="78"/>
      <c r="I1446" s="121"/>
      <c r="J1446" s="111"/>
    </row>
    <row r="1447" spans="1:10" ht="13.5" thickTop="1">
      <c r="A1447" s="459"/>
      <c r="B1447" s="127" t="s">
        <v>1</v>
      </c>
      <c r="C1447" s="127"/>
      <c r="D1447" s="127"/>
      <c r="E1447" s="127"/>
      <c r="F1447" s="127"/>
      <c r="G1447" s="127"/>
      <c r="H1447" s="127"/>
      <c r="I1447" s="127"/>
      <c r="J1447" s="111"/>
    </row>
    <row r="1448" spans="1:10" ht="12.75">
      <c r="A1448" s="97"/>
      <c r="B1448" s="98" t="s">
        <v>133</v>
      </c>
      <c r="C1448" s="99"/>
      <c r="D1448" s="99"/>
      <c r="E1448" s="99"/>
      <c r="F1448" s="99"/>
      <c r="G1448" s="99"/>
      <c r="H1448" s="100"/>
      <c r="I1448" s="78"/>
      <c r="J1448" s="111"/>
    </row>
    <row r="1449" spans="1:10" ht="12.75">
      <c r="A1449" s="97"/>
      <c r="B1449" s="110"/>
      <c r="C1449" s="78"/>
      <c r="D1449" s="78"/>
      <c r="E1449" s="78"/>
      <c r="F1449" s="78"/>
      <c r="G1449" s="78"/>
      <c r="H1449" s="78"/>
      <c r="I1449" s="78"/>
      <c r="J1449" s="111"/>
    </row>
    <row r="1450" spans="1:10" ht="12.75">
      <c r="A1450" s="97"/>
      <c r="B1450" s="110" t="s">
        <v>142</v>
      </c>
      <c r="C1450" s="78"/>
      <c r="D1450" s="78"/>
      <c r="E1450" s="78"/>
      <c r="F1450" s="78"/>
      <c r="G1450" s="78"/>
      <c r="H1450" s="78"/>
      <c r="I1450" s="78"/>
      <c r="J1450" s="111"/>
    </row>
    <row r="1451" spans="1:10" ht="12.75">
      <c r="A1451" s="97"/>
      <c r="B1451" s="78" t="s">
        <v>1</v>
      </c>
      <c r="C1451" s="78"/>
      <c r="D1451" s="78"/>
      <c r="E1451" s="78"/>
      <c r="F1451" s="78"/>
      <c r="G1451" s="78"/>
      <c r="H1451" s="78"/>
      <c r="I1451" s="78"/>
      <c r="J1451" s="101"/>
    </row>
    <row r="1452" spans="1:10" ht="12.75">
      <c r="A1452" s="97"/>
      <c r="B1452" s="78"/>
      <c r="C1452" s="78"/>
      <c r="D1452" s="78"/>
      <c r="E1452" s="78"/>
      <c r="F1452" s="78"/>
      <c r="G1452" s="78"/>
      <c r="H1452" s="109" t="str">
        <f>+H$11</f>
        <v>2020/2021</v>
      </c>
      <c r="I1452" s="109" t="str">
        <f>+'Unit tariffs'!$F$11</f>
        <v>2021/2022</v>
      </c>
      <c r="J1452" s="116"/>
    </row>
    <row r="1453" spans="1:10" ht="12.75">
      <c r="A1453" s="97"/>
      <c r="B1453" s="110" t="s">
        <v>62</v>
      </c>
      <c r="C1453" s="78"/>
      <c r="D1453" s="78"/>
      <c r="E1453" s="78"/>
      <c r="F1453" s="78"/>
      <c r="G1453" s="78"/>
      <c r="H1453" s="145"/>
      <c r="I1453" s="78"/>
      <c r="J1453" s="111"/>
    </row>
    <row r="1454" spans="1:10" ht="12.75">
      <c r="A1454" s="97"/>
      <c r="B1454" s="78"/>
      <c r="C1454" s="78"/>
      <c r="D1454" s="78"/>
      <c r="E1454" s="78"/>
      <c r="F1454" s="78"/>
      <c r="G1454" s="78"/>
      <c r="H1454" s="145"/>
      <c r="I1454" s="78"/>
      <c r="J1454" s="119"/>
    </row>
    <row r="1455" spans="1:11" ht="12.75">
      <c r="A1455" s="97"/>
      <c r="B1455" s="110" t="s">
        <v>42</v>
      </c>
      <c r="C1455" s="78"/>
      <c r="D1455" s="78"/>
      <c r="E1455" s="78"/>
      <c r="F1455" s="78"/>
      <c r="G1455" s="78"/>
      <c r="H1455" s="78"/>
      <c r="I1455" s="78"/>
      <c r="J1455" s="101"/>
      <c r="K1455" s="121"/>
    </row>
    <row r="1456" spans="1:11" ht="12.75">
      <c r="A1456" s="97"/>
      <c r="B1456" s="78"/>
      <c r="C1456" s="78"/>
      <c r="D1456" s="78"/>
      <c r="E1456" s="78"/>
      <c r="F1456" s="78"/>
      <c r="G1456" s="78"/>
      <c r="H1456" s="78"/>
      <c r="I1456" s="78"/>
      <c r="J1456" s="101"/>
      <c r="K1456" s="121"/>
    </row>
    <row r="1457" spans="1:11" ht="12.75">
      <c r="A1457" s="97"/>
      <c r="B1457" s="78">
        <v>2.2</v>
      </c>
      <c r="C1457" s="78" t="str">
        <f>'Unit tariffs'!B85</f>
        <v>hour-meter assistant</v>
      </c>
      <c r="D1457" s="78"/>
      <c r="E1457" s="78"/>
      <c r="F1457" s="78"/>
      <c r="G1457" s="78"/>
      <c r="H1457" s="87">
        <v>223.55151923076923</v>
      </c>
      <c r="I1457" s="87">
        <f>VLOOKUP($C1457,'Unit tariffs'!$B$21:$F$122,5,FALSE)*$B1457</f>
        <v>282.778776923077</v>
      </c>
      <c r="J1457" s="101"/>
      <c r="K1457" s="121"/>
    </row>
    <row r="1458" spans="1:11" ht="12.75">
      <c r="A1458" s="97"/>
      <c r="B1458" s="78"/>
      <c r="C1458" s="78"/>
      <c r="D1458" s="78"/>
      <c r="E1458" s="78"/>
      <c r="F1458" s="78"/>
      <c r="G1458" s="78"/>
      <c r="H1458" s="80">
        <v>223.55151923076923</v>
      </c>
      <c r="I1458" s="80">
        <f>SUM(I1457:I1457)</f>
        <v>282.778776923077</v>
      </c>
      <c r="J1458" s="101"/>
      <c r="K1458" s="121"/>
    </row>
    <row r="1459" spans="1:11" ht="39" customHeight="1">
      <c r="A1459" s="97"/>
      <c r="B1459" s="110" t="s">
        <v>63</v>
      </c>
      <c r="C1459" s="78"/>
      <c r="D1459" s="78"/>
      <c r="E1459" s="78"/>
      <c r="F1459" s="78"/>
      <c r="G1459" s="78"/>
      <c r="H1459" s="78"/>
      <c r="I1459" s="78"/>
      <c r="J1459" s="101"/>
      <c r="K1459" s="121"/>
    </row>
    <row r="1460" spans="1:11" ht="13.5" thickBot="1">
      <c r="A1460" s="97"/>
      <c r="B1460" s="110"/>
      <c r="C1460" s="78"/>
      <c r="D1460" s="78"/>
      <c r="E1460" s="78"/>
      <c r="F1460" s="78"/>
      <c r="G1460" s="78"/>
      <c r="H1460" s="130"/>
      <c r="I1460" s="130"/>
      <c r="J1460" s="101"/>
      <c r="K1460" s="121"/>
    </row>
    <row r="1461" spans="1:11" ht="13.5" thickTop="1">
      <c r="A1461" s="97"/>
      <c r="B1461" s="78"/>
      <c r="C1461" s="78"/>
      <c r="D1461" s="78"/>
      <c r="E1461" s="78"/>
      <c r="F1461" s="78"/>
      <c r="G1461" s="80"/>
      <c r="H1461" s="80">
        <v>223.55151923076923</v>
      </c>
      <c r="I1461" s="80">
        <f>I1458</f>
        <v>282.778776923077</v>
      </c>
      <c r="J1461" s="458"/>
      <c r="K1461" s="121"/>
    </row>
    <row r="1462" spans="1:11" ht="13.5" thickBot="1">
      <c r="A1462" s="97"/>
      <c r="B1462" s="110" t="str">
        <f>'Unit tariffs'!$B$7</f>
        <v>Administration Levy (Indirect Cost)</v>
      </c>
      <c r="C1462" s="78"/>
      <c r="D1462" s="112">
        <f>'Unit tariffs'!$C$7</f>
        <v>0.1</v>
      </c>
      <c r="E1462" s="78" t="s">
        <v>312</v>
      </c>
      <c r="F1462" s="196">
        <f>+'Unit tariffs'!$F$7</f>
        <v>10000</v>
      </c>
      <c r="G1462" s="80"/>
      <c r="H1462" s="114">
        <f>+H1461*0.27</f>
        <v>60.3589101923077</v>
      </c>
      <c r="I1462" s="114">
        <f>IF(I1461*$D1462&gt;='Unit tariffs'!$E$7,'Unit tariffs'!$E$7,I1461*$D1462)</f>
        <v>28.277877692307698</v>
      </c>
      <c r="J1462" s="101"/>
      <c r="K1462" s="121"/>
    </row>
    <row r="1463" spans="1:11" ht="13.5" thickTop="1">
      <c r="A1463" s="97"/>
      <c r="B1463" s="110" t="s">
        <v>44</v>
      </c>
      <c r="C1463" s="78"/>
      <c r="D1463" s="78"/>
      <c r="E1463" s="78"/>
      <c r="F1463" s="78"/>
      <c r="G1463" s="80"/>
      <c r="H1463" s="115">
        <f>+H1462+H1461</f>
        <v>283.91042942307695</v>
      </c>
      <c r="I1463" s="115">
        <f>SUM(I1461:I1462)</f>
        <v>311.0566546153847</v>
      </c>
      <c r="J1463" s="101"/>
      <c r="K1463" s="121"/>
    </row>
    <row r="1464" spans="1:11" ht="12.75">
      <c r="A1464" s="97"/>
      <c r="B1464" s="78"/>
      <c r="C1464" s="78"/>
      <c r="D1464" s="78"/>
      <c r="E1464" s="78"/>
      <c r="F1464" s="78"/>
      <c r="G1464" s="78"/>
      <c r="H1464" s="78"/>
      <c r="I1464" s="78"/>
      <c r="J1464" s="111"/>
      <c r="K1464" s="121"/>
    </row>
    <row r="1465" spans="1:11" ht="12.75">
      <c r="A1465" s="97"/>
      <c r="B1465" s="110" t="s">
        <v>45</v>
      </c>
      <c r="C1465" s="78"/>
      <c r="D1465" s="78"/>
      <c r="E1465" s="78"/>
      <c r="F1465" s="78"/>
      <c r="G1465" s="78"/>
      <c r="H1465" s="90">
        <v>284</v>
      </c>
      <c r="I1465" s="90">
        <f>ROUND(I1463,0)</f>
        <v>311</v>
      </c>
      <c r="J1465" s="461"/>
      <c r="K1465" s="121"/>
    </row>
    <row r="1466" spans="1:11" ht="12.75">
      <c r="A1466" s="97"/>
      <c r="B1466" s="78"/>
      <c r="C1466" s="78"/>
      <c r="D1466" s="78"/>
      <c r="E1466" s="78"/>
      <c r="F1466" s="78"/>
      <c r="G1466" s="78"/>
      <c r="H1466" s="80"/>
      <c r="I1466" s="80"/>
      <c r="J1466" s="461"/>
      <c r="K1466" s="121"/>
    </row>
    <row r="1467" spans="1:10" ht="12.75">
      <c r="A1467" s="97"/>
      <c r="B1467" s="78"/>
      <c r="C1467" s="78"/>
      <c r="D1467" s="78"/>
      <c r="E1467" s="78"/>
      <c r="F1467" s="78"/>
      <c r="G1467" s="78"/>
      <c r="H1467" s="118"/>
      <c r="I1467" s="118">
        <f>(I1465-H1465)/H1465</f>
        <v>0.09507042253521127</v>
      </c>
      <c r="J1467" s="111"/>
    </row>
    <row r="1468" spans="1:10" ht="13.5" thickBot="1">
      <c r="A1468" s="462"/>
      <c r="B1468" s="130"/>
      <c r="C1468" s="130"/>
      <c r="D1468" s="130"/>
      <c r="E1468" s="130"/>
      <c r="F1468" s="130"/>
      <c r="G1468" s="130"/>
      <c r="H1468" s="130"/>
      <c r="I1468" s="130"/>
      <c r="J1468" s="111"/>
    </row>
    <row r="1469" spans="1:10" ht="13.5" thickTop="1">
      <c r="A1469" s="97"/>
      <c r="B1469" s="121"/>
      <c r="C1469" s="121"/>
      <c r="D1469" s="121"/>
      <c r="E1469" s="121"/>
      <c r="F1469" s="121"/>
      <c r="G1469" s="121"/>
      <c r="H1469" s="78"/>
      <c r="I1469" s="78"/>
      <c r="J1469" s="111"/>
    </row>
    <row r="1470" spans="1:10" ht="13.5" thickBot="1">
      <c r="A1470" s="97"/>
      <c r="B1470" s="78"/>
      <c r="C1470" s="78"/>
      <c r="D1470" s="78"/>
      <c r="E1470" s="78"/>
      <c r="F1470" s="78"/>
      <c r="G1470" s="78"/>
      <c r="H1470" s="78"/>
      <c r="I1470" s="78"/>
      <c r="J1470" s="101"/>
    </row>
    <row r="1471" spans="1:10" ht="13.5" thickTop="1">
      <c r="A1471" s="459"/>
      <c r="B1471" s="127" t="s">
        <v>1</v>
      </c>
      <c r="C1471" s="127"/>
      <c r="D1471" s="127"/>
      <c r="E1471" s="127"/>
      <c r="F1471" s="127"/>
      <c r="G1471" s="127"/>
      <c r="H1471" s="127"/>
      <c r="I1471" s="127"/>
      <c r="J1471" s="101"/>
    </row>
    <row r="1472" spans="1:10" ht="12.75">
      <c r="A1472" s="97"/>
      <c r="B1472" s="98" t="s">
        <v>134</v>
      </c>
      <c r="C1472" s="99"/>
      <c r="D1472" s="99"/>
      <c r="E1472" s="99"/>
      <c r="F1472" s="99"/>
      <c r="G1472" s="99"/>
      <c r="H1472" s="100"/>
      <c r="I1472" s="78"/>
      <c r="J1472" s="111"/>
    </row>
    <row r="1473" spans="1:10" ht="12.75">
      <c r="A1473" s="97"/>
      <c r="B1473" s="110"/>
      <c r="C1473" s="78"/>
      <c r="D1473" s="78"/>
      <c r="E1473" s="78"/>
      <c r="F1473" s="78"/>
      <c r="G1473" s="78"/>
      <c r="H1473" s="78"/>
      <c r="I1473" s="78"/>
      <c r="J1473" s="111"/>
    </row>
    <row r="1474" spans="1:10" ht="12.75">
      <c r="A1474" s="97"/>
      <c r="B1474" s="110" t="s">
        <v>142</v>
      </c>
      <c r="C1474" s="78"/>
      <c r="D1474" s="78"/>
      <c r="E1474" s="78"/>
      <c r="F1474" s="78"/>
      <c r="G1474" s="78"/>
      <c r="H1474" s="78"/>
      <c r="I1474" s="78"/>
      <c r="J1474" s="111"/>
    </row>
    <row r="1475" spans="1:10" ht="12.75">
      <c r="A1475" s="97"/>
      <c r="B1475" s="78" t="s">
        <v>1</v>
      </c>
      <c r="C1475" s="78"/>
      <c r="D1475" s="78"/>
      <c r="E1475" s="78"/>
      <c r="F1475" s="78"/>
      <c r="G1475" s="78"/>
      <c r="H1475" s="78"/>
      <c r="I1475" s="78"/>
      <c r="J1475" s="101"/>
    </row>
    <row r="1476" spans="1:10" ht="12.75">
      <c r="A1476" s="97"/>
      <c r="B1476" s="78"/>
      <c r="C1476" s="78"/>
      <c r="D1476" s="78"/>
      <c r="E1476" s="78"/>
      <c r="F1476" s="78"/>
      <c r="G1476" s="78"/>
      <c r="H1476" s="109" t="str">
        <f>+H$11</f>
        <v>2020/2021</v>
      </c>
      <c r="I1476" s="109" t="str">
        <f>+'Unit tariffs'!$F$11</f>
        <v>2021/2022</v>
      </c>
      <c r="J1476" s="101"/>
    </row>
    <row r="1477" spans="1:10" ht="12.75">
      <c r="A1477" s="97"/>
      <c r="B1477" s="110" t="s">
        <v>62</v>
      </c>
      <c r="C1477" s="78"/>
      <c r="D1477" s="78"/>
      <c r="E1477" s="78"/>
      <c r="F1477" s="78"/>
      <c r="G1477" s="78"/>
      <c r="H1477" s="145"/>
      <c r="I1477" s="78"/>
      <c r="J1477" s="111"/>
    </row>
    <row r="1478" spans="1:10" ht="12.75">
      <c r="A1478" s="97"/>
      <c r="B1478" s="78"/>
      <c r="C1478" s="78"/>
      <c r="D1478" s="78"/>
      <c r="E1478" s="78"/>
      <c r="F1478" s="78"/>
      <c r="G1478" s="78"/>
      <c r="H1478" s="145"/>
      <c r="I1478" s="78"/>
      <c r="J1478" s="111"/>
    </row>
    <row r="1479" spans="1:10" ht="12.75">
      <c r="A1479" s="97"/>
      <c r="B1479" s="110" t="s">
        <v>42</v>
      </c>
      <c r="C1479" s="78"/>
      <c r="D1479" s="78"/>
      <c r="E1479" s="78"/>
      <c r="F1479" s="78"/>
      <c r="G1479" s="78"/>
      <c r="H1479" s="78"/>
      <c r="I1479" s="78"/>
      <c r="J1479" s="111"/>
    </row>
    <row r="1480" spans="1:10" ht="12.75">
      <c r="A1480" s="97"/>
      <c r="B1480" s="78"/>
      <c r="C1480" s="78"/>
      <c r="D1480" s="78"/>
      <c r="E1480" s="78"/>
      <c r="F1480" s="78"/>
      <c r="G1480" s="78"/>
      <c r="H1480" s="78"/>
      <c r="I1480" s="78"/>
      <c r="J1480" s="111"/>
    </row>
    <row r="1481" spans="1:10" ht="12.75">
      <c r="A1481" s="97"/>
      <c r="B1481" s="78">
        <v>4</v>
      </c>
      <c r="C1481" s="78" t="str">
        <f>'Unit tariffs'!B88</f>
        <v>hour-Eng asst </v>
      </c>
      <c r="D1481" s="78"/>
      <c r="E1481" s="78"/>
      <c r="F1481" s="78"/>
      <c r="G1481" s="78"/>
      <c r="H1481" s="87">
        <v>992.7703846153846</v>
      </c>
      <c r="I1481" s="87">
        <f>VLOOKUP($C1481,'Unit tariffs'!$B$21:$F$122,5,FALSE)*$B1481</f>
        <v>1062.2643115384617</v>
      </c>
      <c r="J1481" s="111"/>
    </row>
    <row r="1482" spans="1:10" ht="12.75">
      <c r="A1482" s="97"/>
      <c r="B1482" s="78"/>
      <c r="C1482" s="78"/>
      <c r="D1482" s="78"/>
      <c r="E1482" s="78"/>
      <c r="F1482" s="78"/>
      <c r="G1482" s="78"/>
      <c r="H1482" s="80">
        <v>992.7703846153846</v>
      </c>
      <c r="I1482" s="80">
        <f>SUM(I1481:I1481)</f>
        <v>1062.2643115384617</v>
      </c>
      <c r="J1482" s="111"/>
    </row>
    <row r="1483" spans="1:10" ht="12.75">
      <c r="A1483" s="97"/>
      <c r="B1483" s="110" t="s">
        <v>63</v>
      </c>
      <c r="C1483" s="78"/>
      <c r="D1483" s="78"/>
      <c r="E1483" s="78"/>
      <c r="F1483" s="78"/>
      <c r="G1483" s="78"/>
      <c r="H1483" s="78"/>
      <c r="I1483" s="78"/>
      <c r="J1483" s="111"/>
    </row>
    <row r="1484" spans="1:10" ht="13.5" thickBot="1">
      <c r="A1484" s="97"/>
      <c r="B1484" s="110"/>
      <c r="C1484" s="78"/>
      <c r="D1484" s="78"/>
      <c r="E1484" s="78"/>
      <c r="F1484" s="78"/>
      <c r="G1484" s="78"/>
      <c r="H1484" s="130"/>
      <c r="I1484" s="130"/>
      <c r="J1484" s="101"/>
    </row>
    <row r="1485" spans="1:10" ht="13.5" thickTop="1">
      <c r="A1485" s="97"/>
      <c r="B1485" s="78"/>
      <c r="C1485" s="78"/>
      <c r="D1485" s="78"/>
      <c r="E1485" s="78"/>
      <c r="F1485" s="78"/>
      <c r="G1485" s="80"/>
      <c r="H1485" s="80">
        <v>992.7703846153846</v>
      </c>
      <c r="I1485" s="80">
        <f>I1482</f>
        <v>1062.2643115384617</v>
      </c>
      <c r="J1485" s="116"/>
    </row>
    <row r="1486" spans="1:10" ht="13.5" thickBot="1">
      <c r="A1486" s="97"/>
      <c r="B1486" s="110" t="str">
        <f>'Unit tariffs'!$B$7</f>
        <v>Administration Levy (Indirect Cost)</v>
      </c>
      <c r="C1486" s="78"/>
      <c r="D1486" s="112">
        <f>'Unit tariffs'!$C$7</f>
        <v>0.1</v>
      </c>
      <c r="E1486" s="78" t="s">
        <v>312</v>
      </c>
      <c r="F1486" s="196">
        <f>+'Unit tariffs'!$F$7</f>
        <v>10000</v>
      </c>
      <c r="G1486" s="80"/>
      <c r="H1486" s="114">
        <v>264.67258453846154</v>
      </c>
      <c r="I1486" s="114">
        <f>IF(I1485*$D1486&gt;='Unit tariffs'!$E$7,'Unit tariffs'!$E$7,I1485*$D1486)</f>
        <v>106.22643115384618</v>
      </c>
      <c r="J1486" s="111"/>
    </row>
    <row r="1487" spans="1:10" ht="13.5" thickTop="1">
      <c r="A1487" s="97"/>
      <c r="B1487" s="110" t="s">
        <v>44</v>
      </c>
      <c r="C1487" s="78"/>
      <c r="D1487" s="78"/>
      <c r="E1487" s="78"/>
      <c r="F1487" s="78"/>
      <c r="G1487" s="80"/>
      <c r="H1487" s="115">
        <v>1257.4429691538462</v>
      </c>
      <c r="I1487" s="115">
        <f>SUM(I1485:I1486)</f>
        <v>1168.4907426923078</v>
      </c>
      <c r="J1487" s="119"/>
    </row>
    <row r="1488" spans="1:10" ht="12.75">
      <c r="A1488" s="97"/>
      <c r="B1488" s="78"/>
      <c r="C1488" s="78"/>
      <c r="D1488" s="78"/>
      <c r="E1488" s="78"/>
      <c r="F1488" s="78"/>
      <c r="G1488" s="78"/>
      <c r="H1488" s="78"/>
      <c r="I1488" s="78"/>
      <c r="J1488" s="101"/>
    </row>
    <row r="1489" spans="1:10" ht="12.75">
      <c r="A1489" s="97"/>
      <c r="B1489" s="110" t="s">
        <v>45</v>
      </c>
      <c r="C1489" s="78"/>
      <c r="D1489" s="78"/>
      <c r="E1489" s="78"/>
      <c r="F1489" s="78"/>
      <c r="G1489" s="78"/>
      <c r="H1489" s="90">
        <v>1260</v>
      </c>
      <c r="I1489" s="90">
        <f>ROUND(I1487,-1)</f>
        <v>1170</v>
      </c>
      <c r="J1489" s="101"/>
    </row>
    <row r="1490" spans="1:10" ht="12.75">
      <c r="A1490" s="97"/>
      <c r="B1490" s="78"/>
      <c r="C1490" s="78"/>
      <c r="D1490" s="78"/>
      <c r="E1490" s="78"/>
      <c r="F1490" s="78"/>
      <c r="G1490" s="78"/>
      <c r="H1490" s="80"/>
      <c r="I1490" s="80"/>
      <c r="J1490" s="101"/>
    </row>
    <row r="1491" spans="1:10" ht="12.75">
      <c r="A1491" s="97"/>
      <c r="B1491" s="98" t="s">
        <v>496</v>
      </c>
      <c r="C1491" s="99"/>
      <c r="D1491" s="99"/>
      <c r="E1491" s="99"/>
      <c r="F1491" s="99"/>
      <c r="G1491" s="99"/>
      <c r="H1491" s="100"/>
      <c r="I1491" s="78"/>
      <c r="J1491" s="111"/>
    </row>
    <row r="1492" spans="1:10" ht="12.75">
      <c r="A1492" s="97"/>
      <c r="B1492" s="110"/>
      <c r="C1492" s="78"/>
      <c r="D1492" s="78"/>
      <c r="E1492" s="78"/>
      <c r="F1492" s="78"/>
      <c r="G1492" s="78"/>
      <c r="H1492" s="78"/>
      <c r="I1492" s="78"/>
      <c r="J1492" s="111"/>
    </row>
    <row r="1493" spans="1:10" ht="12.75">
      <c r="A1493" s="97"/>
      <c r="B1493" s="110" t="s">
        <v>142</v>
      </c>
      <c r="C1493" s="78"/>
      <c r="D1493" s="78"/>
      <c r="E1493" s="78"/>
      <c r="F1493" s="78"/>
      <c r="G1493" s="78"/>
      <c r="H1493" s="78"/>
      <c r="I1493" s="78"/>
      <c r="J1493" s="111"/>
    </row>
    <row r="1494" spans="1:10" ht="12.75">
      <c r="A1494" s="97"/>
      <c r="B1494" s="78" t="s">
        <v>1</v>
      </c>
      <c r="C1494" s="78"/>
      <c r="D1494" s="78"/>
      <c r="E1494" s="78"/>
      <c r="F1494" s="78"/>
      <c r="G1494" s="78"/>
      <c r="H1494" s="78"/>
      <c r="I1494" s="78"/>
      <c r="J1494" s="101"/>
    </row>
    <row r="1495" spans="1:10" ht="12.75">
      <c r="A1495" s="97"/>
      <c r="B1495" s="78"/>
      <c r="C1495" s="78"/>
      <c r="D1495" s="78"/>
      <c r="E1495" s="78"/>
      <c r="F1495" s="78"/>
      <c r="G1495" s="78"/>
      <c r="H1495" s="109" t="str">
        <f>+H$11</f>
        <v>2020/2021</v>
      </c>
      <c r="I1495" s="109" t="str">
        <f>+'Unit tariffs'!$F$11</f>
        <v>2021/2022</v>
      </c>
      <c r="J1495" s="101"/>
    </row>
    <row r="1496" spans="1:10" ht="12.75">
      <c r="A1496" s="97"/>
      <c r="B1496" s="110" t="s">
        <v>62</v>
      </c>
      <c r="C1496" s="78"/>
      <c r="D1496" s="78"/>
      <c r="E1496" s="78"/>
      <c r="F1496" s="78"/>
      <c r="G1496" s="78"/>
      <c r="H1496" s="145"/>
      <c r="I1496" s="78"/>
      <c r="J1496" s="111"/>
    </row>
    <row r="1497" spans="1:10" ht="12.75">
      <c r="A1497" s="97"/>
      <c r="B1497" s="78"/>
      <c r="C1497" s="78"/>
      <c r="D1497" s="78"/>
      <c r="E1497" s="78"/>
      <c r="F1497" s="78"/>
      <c r="G1497" s="78"/>
      <c r="H1497" s="145"/>
      <c r="J1497" s="111"/>
    </row>
    <row r="1498" spans="1:10" ht="12.75">
      <c r="A1498" s="97"/>
      <c r="B1498" s="110" t="s">
        <v>42</v>
      </c>
      <c r="C1498" s="78"/>
      <c r="D1498" s="78"/>
      <c r="E1498" s="78"/>
      <c r="F1498" s="78"/>
      <c r="G1498" s="78"/>
      <c r="H1498" s="78"/>
      <c r="I1498" s="80"/>
      <c r="J1498" s="111"/>
    </row>
    <row r="1499" spans="1:10" ht="12.75">
      <c r="A1499" s="97"/>
      <c r="B1499" s="110" t="s">
        <v>612</v>
      </c>
      <c r="C1499" s="110" t="s">
        <v>613</v>
      </c>
      <c r="D1499" s="78"/>
      <c r="E1499" s="78"/>
      <c r="F1499" s="78"/>
      <c r="G1499" s="78"/>
      <c r="H1499" s="78"/>
      <c r="I1499" s="80"/>
      <c r="J1499" s="111"/>
    </row>
    <row r="1500" spans="1:10" ht="12.75">
      <c r="A1500" s="97"/>
      <c r="B1500" s="78">
        <v>10</v>
      </c>
      <c r="C1500" s="78" t="str">
        <f>'Unit tariffs'!B88</f>
        <v>hour-Eng asst </v>
      </c>
      <c r="D1500" s="78"/>
      <c r="E1500" s="78"/>
      <c r="F1500" s="78"/>
      <c r="G1500" s="78"/>
      <c r="H1500" s="80">
        <f>134.83*10</f>
        <v>1348.3000000000002</v>
      </c>
      <c r="I1500" s="80">
        <f>VLOOKUP($C1500,'Unit tariffs'!$B$21:$F$122,5,FALSE)*$B1500</f>
        <v>2655.6607788461542</v>
      </c>
      <c r="J1500" s="111"/>
    </row>
    <row r="1501" spans="1:10" ht="12.75">
      <c r="A1501" s="97"/>
      <c r="B1501" s="668">
        <v>10</v>
      </c>
      <c r="C1501" s="78" t="str">
        <f>'Unit tariffs'!B89</f>
        <v>hour-Snr Eng Assistant</v>
      </c>
      <c r="D1501" s="78"/>
      <c r="E1501" s="78"/>
      <c r="F1501" s="78"/>
      <c r="G1501" s="78"/>
      <c r="H1501" s="80">
        <f>343.72*10</f>
        <v>3437.2000000000003</v>
      </c>
      <c r="I1501" s="80">
        <f>VLOOKUP($C1501,'Unit tariffs'!$B$21:$F$122,5,FALSE)*$B1501</f>
        <v>3228.5223173076924</v>
      </c>
      <c r="J1501" s="111"/>
    </row>
    <row r="1502" spans="1:10" ht="12.75">
      <c r="A1502" s="97"/>
      <c r="B1502" s="668">
        <v>10</v>
      </c>
      <c r="C1502" s="78" t="str">
        <f>'Unit tariffs'!B90</f>
        <v>hour-First Eng Assistant</v>
      </c>
      <c r="D1502" s="78"/>
      <c r="E1502" s="78"/>
      <c r="F1502" s="78"/>
      <c r="G1502" s="78"/>
      <c r="H1502" s="87">
        <f>319.41*10</f>
        <v>3194.1000000000004</v>
      </c>
      <c r="I1502" s="87">
        <f>VLOOKUP($C1502,'Unit tariffs'!$B$21:$F$122,5,FALSE)*$B1502</f>
        <v>3423.205730769231</v>
      </c>
      <c r="J1502" s="111"/>
    </row>
    <row r="1503" spans="1:11" ht="12.75">
      <c r="A1503" s="97"/>
      <c r="C1503" s="78"/>
      <c r="D1503" s="78"/>
      <c r="E1503" s="78"/>
      <c r="F1503" s="78"/>
      <c r="G1503" s="78"/>
      <c r="H1503" s="80">
        <f>SUM(H1500:H1502)</f>
        <v>7979.6</v>
      </c>
      <c r="I1503" s="80">
        <f>SUM(I1500:I1502)</f>
        <v>9307.388826923077</v>
      </c>
      <c r="J1503" s="80"/>
      <c r="K1503" s="121"/>
    </row>
    <row r="1504" spans="1:10" ht="12.75">
      <c r="A1504" s="97"/>
      <c r="B1504" s="110" t="s">
        <v>614</v>
      </c>
      <c r="D1504" s="78"/>
      <c r="E1504" s="78"/>
      <c r="F1504" s="78"/>
      <c r="G1504" s="78"/>
      <c r="H1504" s="78"/>
      <c r="I1504" s="78" t="s">
        <v>1</v>
      </c>
      <c r="J1504" s="111"/>
    </row>
    <row r="1505" spans="1:10" ht="12.75">
      <c r="A1505" s="97"/>
      <c r="B1505" s="110"/>
      <c r="C1505" s="78" t="s">
        <v>615</v>
      </c>
      <c r="D1505" s="78"/>
      <c r="E1505" s="78"/>
      <c r="F1505" s="78"/>
      <c r="G1505" s="78"/>
      <c r="H1505" s="87">
        <v>0</v>
      </c>
      <c r="I1505" s="87">
        <f>250*16.375</f>
        <v>4093.75</v>
      </c>
      <c r="J1505" s="111"/>
    </row>
    <row r="1506" spans="1:10" ht="13.5" thickBot="1">
      <c r="A1506" s="97"/>
      <c r="B1506" s="110"/>
      <c r="C1506" s="78"/>
      <c r="D1506" s="78"/>
      <c r="E1506" s="78"/>
      <c r="F1506" s="78"/>
      <c r="G1506" s="78"/>
      <c r="H1506" s="114">
        <f>SUM(H1505)</f>
        <v>0</v>
      </c>
      <c r="I1506" s="114">
        <f>SUM(I1505)</f>
        <v>4093.75</v>
      </c>
      <c r="J1506" s="101"/>
    </row>
    <row r="1507" spans="1:10" ht="13.5" thickTop="1">
      <c r="A1507" s="97"/>
      <c r="B1507" s="78"/>
      <c r="C1507" s="78"/>
      <c r="D1507" s="78"/>
      <c r="E1507" s="78"/>
      <c r="F1507" s="78"/>
      <c r="G1507" s="80"/>
      <c r="H1507" s="80">
        <f>H1506+H1503</f>
        <v>7979.6</v>
      </c>
      <c r="I1507" s="80">
        <f>I1503+I1506</f>
        <v>13401.138826923077</v>
      </c>
      <c r="J1507" s="116"/>
    </row>
    <row r="1508" spans="1:10" ht="13.5" thickBot="1">
      <c r="A1508" s="97"/>
      <c r="B1508" s="110" t="str">
        <f>'Unit tariffs'!$B$7</f>
        <v>Administration Levy (Indirect Cost)</v>
      </c>
      <c r="C1508" s="78"/>
      <c r="D1508" s="112">
        <f>'Unit tariffs'!$C$7</f>
        <v>0.1</v>
      </c>
      <c r="E1508" s="78" t="s">
        <v>312</v>
      </c>
      <c r="F1508" s="196">
        <f>+'Unit tariffs'!$F$7</f>
        <v>10000</v>
      </c>
      <c r="G1508" s="80"/>
      <c r="H1508" s="114">
        <f>H1507*0.2636</f>
        <v>2103.42256</v>
      </c>
      <c r="I1508" s="114">
        <f>IF(I1507*$D1508&gt;='Unit tariffs'!$E$7,'Unit tariffs'!$E$7,I1507*$D1508)</f>
        <v>1340.113882692308</v>
      </c>
      <c r="J1508" s="111"/>
    </row>
    <row r="1509" spans="1:10" ht="13.5" thickTop="1">
      <c r="A1509" s="97"/>
      <c r="B1509" s="110" t="s">
        <v>44</v>
      </c>
      <c r="C1509" s="78"/>
      <c r="D1509" s="78"/>
      <c r="E1509" s="78"/>
      <c r="F1509" s="78"/>
      <c r="G1509" s="80"/>
      <c r="H1509" s="115">
        <f>H1508+H1503</f>
        <v>10083.022560000001</v>
      </c>
      <c r="I1509" s="115">
        <f>SUM(I1507:I1508)</f>
        <v>14741.252709615386</v>
      </c>
      <c r="J1509" s="119"/>
    </row>
    <row r="1510" spans="1:10" ht="12.75">
      <c r="A1510" s="97"/>
      <c r="B1510" s="78"/>
      <c r="C1510" s="78"/>
      <c r="D1510" s="78"/>
      <c r="E1510" s="78"/>
      <c r="F1510" s="78"/>
      <c r="G1510" s="78"/>
      <c r="H1510" s="78"/>
      <c r="I1510" s="78"/>
      <c r="J1510" s="101"/>
    </row>
    <row r="1511" spans="1:13" ht="12.75">
      <c r="A1511" s="97"/>
      <c r="B1511" s="78"/>
      <c r="C1511" s="78"/>
      <c r="D1511" s="78"/>
      <c r="E1511" s="78"/>
      <c r="F1511" s="78"/>
      <c r="G1511" s="78"/>
      <c r="H1511" s="78"/>
      <c r="I1511" s="78"/>
      <c r="J1511" s="101"/>
      <c r="K1511" s="117"/>
      <c r="L1511" s="80"/>
      <c r="M1511" s="683"/>
    </row>
    <row r="1512" spans="1:13" ht="12.75">
      <c r="A1512" s="97"/>
      <c r="B1512" s="110" t="s">
        <v>45</v>
      </c>
      <c r="C1512" s="78"/>
      <c r="D1512" s="78"/>
      <c r="E1512" s="78"/>
      <c r="F1512" s="78"/>
      <c r="G1512" s="78"/>
      <c r="H1512" s="90">
        <f>ROUND(H1509,-1)</f>
        <v>10080</v>
      </c>
      <c r="I1512" s="90">
        <f>ROUND(I1509,-1)</f>
        <v>14740</v>
      </c>
      <c r="J1512" s="101"/>
      <c r="K1512" s="117"/>
      <c r="L1512" s="80"/>
      <c r="M1512" s="683"/>
    </row>
    <row r="1513" spans="1:10" ht="12.75">
      <c r="A1513" s="97"/>
      <c r="B1513" s="78"/>
      <c r="C1513" s="78"/>
      <c r="D1513" s="78"/>
      <c r="E1513" s="78"/>
      <c r="F1513" s="78"/>
      <c r="G1513" s="78"/>
      <c r="H1513" s="78"/>
      <c r="I1513" s="80"/>
      <c r="J1513" s="101"/>
    </row>
    <row r="1514" spans="1:10" ht="12.75">
      <c r="A1514" s="97"/>
      <c r="B1514" s="78"/>
      <c r="C1514" s="78"/>
      <c r="D1514" s="78"/>
      <c r="E1514" s="78"/>
      <c r="F1514" s="78"/>
      <c r="G1514" s="78"/>
      <c r="H1514" s="118">
        <v>0.051036682615629984</v>
      </c>
      <c r="I1514" s="118">
        <f>(I1512-H1512)/H1512</f>
        <v>0.4623015873015873</v>
      </c>
      <c r="J1514" s="101"/>
    </row>
    <row r="1515" spans="1:10" ht="12.75">
      <c r="A1515" s="97"/>
      <c r="B1515" s="78"/>
      <c r="C1515" s="78"/>
      <c r="D1515" s="78"/>
      <c r="E1515" s="78"/>
      <c r="F1515" s="78"/>
      <c r="G1515" s="78"/>
      <c r="H1515" s="118"/>
      <c r="I1515" s="118"/>
      <c r="J1515" s="101"/>
    </row>
    <row r="1516" spans="1:10" ht="12.75">
      <c r="A1516" s="97"/>
      <c r="B1516" s="832" t="s">
        <v>518</v>
      </c>
      <c r="C1516" s="833"/>
      <c r="D1516" s="833"/>
      <c r="E1516" s="833"/>
      <c r="F1516" s="833"/>
      <c r="G1516" s="834"/>
      <c r="H1516" s="118"/>
      <c r="I1516" s="90"/>
      <c r="J1516" s="101"/>
    </row>
    <row r="1517" spans="1:10" ht="12.75">
      <c r="A1517" s="97"/>
      <c r="B1517" s="832"/>
      <c r="C1517" s="833"/>
      <c r="D1517" s="833"/>
      <c r="E1517" s="833"/>
      <c r="F1517" s="833"/>
      <c r="G1517" s="834"/>
      <c r="H1517" s="118"/>
      <c r="I1517" s="90"/>
      <c r="J1517" s="101"/>
    </row>
    <row r="1518" spans="1:10" ht="12.75">
      <c r="A1518" s="97"/>
      <c r="B1518" s="110" t="s">
        <v>453</v>
      </c>
      <c r="C1518" s="78"/>
      <c r="D1518" s="78"/>
      <c r="E1518" s="78"/>
      <c r="F1518" s="78"/>
      <c r="G1518" s="78"/>
      <c r="H1518" s="118"/>
      <c r="I1518" s="90"/>
      <c r="J1518" s="101"/>
    </row>
    <row r="1519" spans="1:10" ht="12.75">
      <c r="A1519" s="97"/>
      <c r="B1519" s="110"/>
      <c r="C1519" s="78"/>
      <c r="D1519" s="78"/>
      <c r="E1519" s="78"/>
      <c r="F1519" s="78"/>
      <c r="G1519" s="78"/>
      <c r="H1519" s="109" t="str">
        <f>+H$11</f>
        <v>2020/2021</v>
      </c>
      <c r="I1519" s="109" t="str">
        <f>+'Unit tariffs'!$F$11</f>
        <v>2021/2022</v>
      </c>
      <c r="J1519" s="101"/>
    </row>
    <row r="1520" spans="1:10" ht="12.75">
      <c r="A1520" s="97"/>
      <c r="C1520" s="78" t="s">
        <v>443</v>
      </c>
      <c r="D1520">
        <v>13.8</v>
      </c>
      <c r="E1520" s="78" t="s">
        <v>444</v>
      </c>
      <c r="F1520" s="78"/>
      <c r="G1520" s="78"/>
      <c r="H1520" s="145"/>
      <c r="I1520" s="78"/>
      <c r="J1520" s="101"/>
    </row>
    <row r="1521" spans="1:10" ht="12.75">
      <c r="A1521" s="97"/>
      <c r="B1521" s="78"/>
      <c r="C1521" s="78" t="s">
        <v>452</v>
      </c>
      <c r="D1521" s="1">
        <v>3</v>
      </c>
      <c r="E1521" s="78" t="s">
        <v>444</v>
      </c>
      <c r="F1521" s="78" t="s">
        <v>445</v>
      </c>
      <c r="G1521" s="78"/>
      <c r="H1521" s="118"/>
      <c r="I1521" s="90"/>
      <c r="J1521" s="101"/>
    </row>
    <row r="1522" spans="1:10" ht="12.75">
      <c r="A1522" s="97"/>
      <c r="B1522" s="78"/>
      <c r="C1522" s="78" t="s">
        <v>115</v>
      </c>
      <c r="D1522" s="611">
        <f>+F1522</f>
        <v>0</v>
      </c>
      <c r="E1522" s="78" t="s">
        <v>446</v>
      </c>
      <c r="F1522" s="78">
        <v>0</v>
      </c>
      <c r="G1522" s="78"/>
      <c r="H1522" s="118"/>
      <c r="I1522" s="90"/>
      <c r="J1522" s="101"/>
    </row>
    <row r="1523" spans="1:10" ht="12.75">
      <c r="A1523" s="97"/>
      <c r="B1523" s="78"/>
      <c r="C1523" s="78" t="s">
        <v>447</v>
      </c>
      <c r="D1523" s="615">
        <f>(F1523*D1521)</f>
        <v>0</v>
      </c>
      <c r="E1523" s="78" t="s">
        <v>446</v>
      </c>
      <c r="F1523" s="78">
        <v>0</v>
      </c>
      <c r="G1523" s="78" t="s">
        <v>448</v>
      </c>
      <c r="H1523" s="118"/>
      <c r="I1523" s="90"/>
      <c r="J1523" s="101"/>
    </row>
    <row r="1524" spans="1:10" ht="12.75">
      <c r="A1524" s="97"/>
      <c r="B1524" s="78"/>
      <c r="C1524" s="78" t="s">
        <v>449</v>
      </c>
      <c r="D1524" s="200">
        <f>(D1521*31*24*0.33*F1524)</f>
        <v>1230.058373984352</v>
      </c>
      <c r="E1524" s="78" t="s">
        <v>446</v>
      </c>
      <c r="F1524" s="658">
        <f>+'Unit tariffs'!F162</f>
        <v>1.6700043092</v>
      </c>
      <c r="G1524" s="78" t="s">
        <v>450</v>
      </c>
      <c r="H1524" s="118"/>
      <c r="I1524" s="90"/>
      <c r="J1524" s="101"/>
    </row>
    <row r="1525" spans="1:10" ht="12.75">
      <c r="A1525" s="97"/>
      <c r="B1525" s="78"/>
      <c r="C1525" s="78" t="s">
        <v>451</v>
      </c>
      <c r="D1525" s="616">
        <f>D1524+D1523+D1522</f>
        <v>1230.058373984352</v>
      </c>
      <c r="E1525" s="78"/>
      <c r="F1525" s="78"/>
      <c r="G1525" s="78"/>
      <c r="H1525" s="118"/>
      <c r="I1525" s="90"/>
      <c r="J1525" s="101"/>
    </row>
    <row r="1526" spans="1:10" ht="12.75">
      <c r="A1526" s="97"/>
      <c r="B1526" s="78"/>
      <c r="C1526" s="78"/>
      <c r="D1526" s="617"/>
      <c r="E1526" s="78"/>
      <c r="F1526" s="78"/>
      <c r="G1526" s="78"/>
      <c r="H1526" s="118"/>
      <c r="I1526" s="90"/>
      <c r="J1526" s="101"/>
    </row>
    <row r="1527" spans="1:10" ht="12.75">
      <c r="A1527" s="97"/>
      <c r="B1527" s="110" t="s">
        <v>454</v>
      </c>
      <c r="D1527" s="110">
        <v>5</v>
      </c>
      <c r="E1527" s="78"/>
      <c r="F1527" s="78"/>
      <c r="G1527" s="78"/>
      <c r="H1527" s="92">
        <v>5745.1680000000015</v>
      </c>
      <c r="I1527" s="608">
        <f>+D1525*D1527</f>
        <v>6150.291869921761</v>
      </c>
      <c r="J1527" s="101"/>
    </row>
    <row r="1528" spans="1:10" ht="12.75">
      <c r="A1528" s="97"/>
      <c r="B1528" s="78"/>
      <c r="C1528" s="78"/>
      <c r="D1528" s="78"/>
      <c r="E1528" s="78"/>
      <c r="F1528" s="78"/>
      <c r="G1528" s="78"/>
      <c r="H1528" s="609"/>
      <c r="I1528" s="618"/>
      <c r="J1528" s="101"/>
    </row>
    <row r="1529" spans="1:10" ht="12.75">
      <c r="A1529" s="97"/>
      <c r="B1529" s="78"/>
      <c r="C1529" s="78"/>
      <c r="D1529" s="78"/>
      <c r="E1529" s="78"/>
      <c r="F1529" s="135"/>
      <c r="G1529" s="78"/>
      <c r="H1529" s="610">
        <f>+ROUND(H1527,-2)</f>
        <v>5700</v>
      </c>
      <c r="I1529" s="608">
        <f>+ROUND(I1527,-2)</f>
        <v>6200</v>
      </c>
      <c r="J1529" s="101"/>
    </row>
    <row r="1530" spans="1:10" ht="12.75">
      <c r="A1530" s="97"/>
      <c r="B1530" s="78"/>
      <c r="C1530" s="78"/>
      <c r="D1530" s="78"/>
      <c r="E1530" s="78"/>
      <c r="F1530" s="135"/>
      <c r="G1530" s="78"/>
      <c r="H1530" s="610"/>
      <c r="I1530" s="608"/>
      <c r="J1530" s="101"/>
    </row>
    <row r="1531" spans="1:10" ht="12.75">
      <c r="A1531" s="97"/>
      <c r="B1531" s="78"/>
      <c r="C1531" s="78"/>
      <c r="D1531" s="78"/>
      <c r="E1531" s="78"/>
      <c r="F1531" s="135"/>
      <c r="G1531" s="78"/>
      <c r="H1531" s="610"/>
      <c r="I1531" s="609">
        <f>+(I1529-H1529)/H1529</f>
        <v>0.08771929824561403</v>
      </c>
      <c r="J1531" s="101"/>
    </row>
    <row r="1532" spans="1:10" ht="12.75">
      <c r="A1532" s="97"/>
      <c r="B1532" s="78"/>
      <c r="C1532" s="78"/>
      <c r="D1532" s="78"/>
      <c r="E1532" s="78"/>
      <c r="F1532" s="78"/>
      <c r="G1532" s="78"/>
      <c r="H1532" s="609"/>
      <c r="I1532" s="609"/>
      <c r="J1532" s="101"/>
    </row>
    <row r="1533" spans="1:10" ht="27.75" customHeight="1">
      <c r="A1533" s="97"/>
      <c r="B1533" s="832" t="s">
        <v>519</v>
      </c>
      <c r="C1533" s="833"/>
      <c r="D1533" s="833"/>
      <c r="E1533" s="833"/>
      <c r="F1533" s="833"/>
      <c r="G1533" s="834"/>
      <c r="H1533" s="609"/>
      <c r="I1533" s="609"/>
      <c r="J1533" s="101"/>
    </row>
    <row r="1534" spans="1:10" ht="12.75">
      <c r="A1534" s="97"/>
      <c r="B1534" s="110" t="s">
        <v>453</v>
      </c>
      <c r="C1534" s="78"/>
      <c r="D1534" s="78"/>
      <c r="E1534" s="78"/>
      <c r="F1534" s="78"/>
      <c r="G1534" s="78"/>
      <c r="H1534" s="118"/>
      <c r="I1534" s="90"/>
      <c r="J1534" s="101"/>
    </row>
    <row r="1535" spans="1:10" ht="12.75">
      <c r="A1535" s="97"/>
      <c r="B1535" s="110"/>
      <c r="C1535" s="78"/>
      <c r="D1535" s="78"/>
      <c r="E1535" s="78"/>
      <c r="F1535" s="78"/>
      <c r="G1535" s="78"/>
      <c r="H1535" s="109" t="str">
        <f>+H$11</f>
        <v>2020/2021</v>
      </c>
      <c r="I1535" s="109" t="str">
        <f>+'Unit tariffs'!$F$11</f>
        <v>2021/2022</v>
      </c>
      <c r="J1535" s="101"/>
    </row>
    <row r="1536" spans="1:10" ht="12.75">
      <c r="A1536" s="97"/>
      <c r="C1536" s="78" t="s">
        <v>443</v>
      </c>
      <c r="D1536">
        <v>13.8</v>
      </c>
      <c r="E1536" s="78" t="s">
        <v>444</v>
      </c>
      <c r="F1536" s="78"/>
      <c r="G1536" s="78"/>
      <c r="H1536" s="145"/>
      <c r="I1536" s="78"/>
      <c r="J1536" s="101"/>
    </row>
    <row r="1537" spans="1:10" ht="12.75">
      <c r="A1537" s="97"/>
      <c r="B1537" s="78"/>
      <c r="C1537" s="78" t="s">
        <v>452</v>
      </c>
      <c r="D1537" s="1">
        <v>4.5</v>
      </c>
      <c r="E1537" s="78" t="s">
        <v>444</v>
      </c>
      <c r="F1537" s="78" t="s">
        <v>445</v>
      </c>
      <c r="G1537" s="78"/>
      <c r="H1537" s="118"/>
      <c r="I1537" s="90"/>
      <c r="J1537" s="101"/>
    </row>
    <row r="1538" spans="1:10" ht="12.75">
      <c r="A1538" s="97"/>
      <c r="B1538" s="78"/>
      <c r="C1538" s="78" t="s">
        <v>115</v>
      </c>
      <c r="D1538" s="611">
        <f>+F1538</f>
        <v>0</v>
      </c>
      <c r="E1538" s="78" t="s">
        <v>446</v>
      </c>
      <c r="F1538" s="78">
        <v>0</v>
      </c>
      <c r="G1538" s="78"/>
      <c r="H1538" s="118"/>
      <c r="I1538" s="90"/>
      <c r="J1538" s="101"/>
    </row>
    <row r="1539" spans="1:10" ht="12.75">
      <c r="A1539" s="97"/>
      <c r="B1539" s="78"/>
      <c r="C1539" s="78" t="s">
        <v>447</v>
      </c>
      <c r="D1539" s="615">
        <f>(F1539*D1537)</f>
        <v>0</v>
      </c>
      <c r="E1539" s="78" t="s">
        <v>446</v>
      </c>
      <c r="F1539" s="78">
        <v>0</v>
      </c>
      <c r="G1539" s="78" t="s">
        <v>448</v>
      </c>
      <c r="H1539" s="118"/>
      <c r="I1539" s="90"/>
      <c r="J1539" s="101"/>
    </row>
    <row r="1540" spans="1:10" ht="12.75">
      <c r="A1540" s="97"/>
      <c r="B1540" s="78"/>
      <c r="C1540" s="78" t="s">
        <v>449</v>
      </c>
      <c r="D1540" s="200">
        <f>(D1537*31*24*0.33*F1540)</f>
        <v>1845.0875609765283</v>
      </c>
      <c r="E1540" s="78" t="s">
        <v>446</v>
      </c>
      <c r="F1540" s="196">
        <f>+'Unit tariffs'!$F$162</f>
        <v>1.6700043092</v>
      </c>
      <c r="G1540" s="78" t="s">
        <v>450</v>
      </c>
      <c r="H1540" s="118"/>
      <c r="I1540" s="90"/>
      <c r="J1540" s="101"/>
    </row>
    <row r="1541" spans="1:10" ht="12.75">
      <c r="A1541" s="97"/>
      <c r="B1541" s="78"/>
      <c r="C1541" s="78" t="s">
        <v>451</v>
      </c>
      <c r="D1541" s="616">
        <f>D1540+D1539+D1538</f>
        <v>1845.0875609765283</v>
      </c>
      <c r="E1541" s="78"/>
      <c r="F1541" s="78"/>
      <c r="G1541" s="78"/>
      <c r="H1541" s="118"/>
      <c r="I1541" s="90"/>
      <c r="J1541" s="101"/>
    </row>
    <row r="1542" spans="1:10" ht="17.25" customHeight="1">
      <c r="A1542" s="97"/>
      <c r="B1542" s="78"/>
      <c r="C1542" s="78"/>
      <c r="D1542" s="78"/>
      <c r="E1542" s="78"/>
      <c r="F1542" s="78"/>
      <c r="G1542" s="78"/>
      <c r="H1542" s="609"/>
      <c r="I1542" s="609"/>
      <c r="J1542" s="101"/>
    </row>
    <row r="1543" spans="1:10" ht="17.25" customHeight="1">
      <c r="A1543" s="97"/>
      <c r="B1543" s="110" t="s">
        <v>454</v>
      </c>
      <c r="D1543" s="110">
        <v>5</v>
      </c>
      <c r="E1543" s="78"/>
      <c r="F1543" s="78"/>
      <c r="G1543" s="78"/>
      <c r="H1543" s="610">
        <v>8603.411176800002</v>
      </c>
      <c r="I1543" s="608">
        <f>+D1541*D1543</f>
        <v>9225.437804882642</v>
      </c>
      <c r="J1543" s="101"/>
    </row>
    <row r="1544" spans="1:10" ht="17.25" customHeight="1">
      <c r="A1544" s="97"/>
      <c r="B1544" s="78"/>
      <c r="C1544" s="78"/>
      <c r="D1544" s="78"/>
      <c r="E1544" s="78"/>
      <c r="F1544" s="78"/>
      <c r="G1544" s="78"/>
      <c r="H1544" s="609"/>
      <c r="I1544" s="608"/>
      <c r="J1544" s="101"/>
    </row>
    <row r="1545" spans="1:10" ht="17.25" customHeight="1">
      <c r="A1545" s="97"/>
      <c r="B1545" s="78"/>
      <c r="C1545" s="78"/>
      <c r="D1545" s="78"/>
      <c r="E1545" s="78"/>
      <c r="F1545" s="78"/>
      <c r="G1545" s="78"/>
      <c r="H1545" s="610">
        <v>8600</v>
      </c>
      <c r="I1545" s="608">
        <f>+ROUND(I1543,-2)</f>
        <v>9200</v>
      </c>
      <c r="J1545" s="101"/>
    </row>
    <row r="1546" spans="1:10" ht="17.25" customHeight="1">
      <c r="A1546" s="97"/>
      <c r="B1546" s="78"/>
      <c r="C1546" s="78"/>
      <c r="D1546" s="78"/>
      <c r="E1546" s="78"/>
      <c r="F1546" s="78"/>
      <c r="G1546" s="78"/>
      <c r="H1546" s="610"/>
      <c r="I1546" s="608"/>
      <c r="J1546" s="101"/>
    </row>
    <row r="1547" spans="1:10" ht="17.25" customHeight="1">
      <c r="A1547" s="97"/>
      <c r="B1547" s="78"/>
      <c r="C1547" s="78"/>
      <c r="D1547" s="78"/>
      <c r="E1547" s="78"/>
      <c r="F1547" s="78"/>
      <c r="G1547" s="78"/>
      <c r="H1547" s="610"/>
      <c r="I1547" s="619">
        <f>+(I1545-H1545)/H1545</f>
        <v>0.06976744186046512</v>
      </c>
      <c r="J1547" s="101"/>
    </row>
    <row r="1548" spans="1:10" ht="13.5" thickBot="1">
      <c r="A1548" s="462"/>
      <c r="B1548" s="130"/>
      <c r="C1548" s="130"/>
      <c r="D1548" s="130"/>
      <c r="E1548" s="130"/>
      <c r="F1548" s="130"/>
      <c r="G1548" s="130"/>
      <c r="H1548" s="130"/>
      <c r="I1548" s="130"/>
      <c r="J1548" s="101"/>
    </row>
    <row r="1549" spans="1:10" ht="13.5" thickTop="1">
      <c r="A1549" s="97"/>
      <c r="B1549" s="78"/>
      <c r="C1549" s="78"/>
      <c r="D1549" s="78"/>
      <c r="E1549" s="78"/>
      <c r="F1549" s="78"/>
      <c r="G1549" s="78"/>
      <c r="H1549" s="78"/>
      <c r="I1549" s="78"/>
      <c r="J1549" s="101"/>
    </row>
    <row r="1550" spans="1:10" ht="13.5" thickBot="1">
      <c r="A1550" s="97"/>
      <c r="B1550" s="78"/>
      <c r="C1550" s="78"/>
      <c r="D1550" s="78"/>
      <c r="E1550" s="78"/>
      <c r="F1550" s="78"/>
      <c r="G1550" s="78"/>
      <c r="H1550" s="78"/>
      <c r="I1550" s="78"/>
      <c r="J1550" s="101"/>
    </row>
    <row r="1551" spans="1:10" ht="13.5" thickTop="1">
      <c r="A1551" s="459"/>
      <c r="B1551" s="127" t="s">
        <v>1</v>
      </c>
      <c r="C1551" s="127"/>
      <c r="D1551" s="127"/>
      <c r="E1551" s="127"/>
      <c r="F1551" s="127"/>
      <c r="G1551" s="127"/>
      <c r="H1551" s="127"/>
      <c r="I1551" s="127"/>
      <c r="J1551" s="458"/>
    </row>
    <row r="1552" spans="1:10" ht="35.25" customHeight="1">
      <c r="A1552" s="97"/>
      <c r="B1552" s="829" t="s">
        <v>520</v>
      </c>
      <c r="C1552" s="830"/>
      <c r="D1552" s="830"/>
      <c r="E1552" s="830"/>
      <c r="F1552" s="830"/>
      <c r="G1552" s="831"/>
      <c r="H1552" s="78"/>
      <c r="I1552" s="78"/>
      <c r="J1552" s="101"/>
    </row>
    <row r="1553" spans="1:10" ht="12.75">
      <c r="A1553" s="97"/>
      <c r="B1553" s="110"/>
      <c r="C1553" s="78"/>
      <c r="D1553" s="78"/>
      <c r="E1553" s="78"/>
      <c r="F1553" s="78"/>
      <c r="G1553" s="78"/>
      <c r="H1553" s="78"/>
      <c r="I1553" s="78"/>
      <c r="J1553" s="101"/>
    </row>
    <row r="1554" spans="1:10" ht="12.75">
      <c r="A1554" s="97"/>
      <c r="B1554" s="78"/>
      <c r="C1554" s="78"/>
      <c r="D1554" s="78"/>
      <c r="E1554" s="78"/>
      <c r="F1554" s="78"/>
      <c r="G1554" s="78"/>
      <c r="H1554" s="109" t="str">
        <f>+H$11</f>
        <v>2020/2021</v>
      </c>
      <c r="I1554" s="109" t="str">
        <f>+'Unit tariffs'!$F$11</f>
        <v>2021/2022</v>
      </c>
      <c r="J1554" s="461"/>
    </row>
    <row r="1555" spans="1:10" ht="12.75">
      <c r="A1555" s="97"/>
      <c r="B1555" s="110" t="s">
        <v>41</v>
      </c>
      <c r="C1555" s="78"/>
      <c r="D1555" s="78"/>
      <c r="E1555" s="78"/>
      <c r="F1555" s="78"/>
      <c r="G1555" s="78"/>
      <c r="H1555" s="145"/>
      <c r="I1555" s="78"/>
      <c r="J1555" s="461"/>
    </row>
    <row r="1556" spans="1:10" ht="12.75">
      <c r="A1556" s="97"/>
      <c r="B1556" s="78"/>
      <c r="C1556" s="78"/>
      <c r="D1556" s="78"/>
      <c r="E1556" s="78"/>
      <c r="F1556" s="78"/>
      <c r="G1556" s="78"/>
      <c r="H1556" s="145"/>
      <c r="I1556" s="78"/>
      <c r="J1556" s="461"/>
    </row>
    <row r="1557" spans="1:10" ht="12.75">
      <c r="A1557" s="97"/>
      <c r="B1557" s="78"/>
      <c r="C1557" s="78"/>
      <c r="D1557" s="78"/>
      <c r="E1557" s="78"/>
      <c r="F1557" s="78"/>
      <c r="G1557" s="78"/>
      <c r="H1557" s="88"/>
      <c r="I1557" s="80"/>
      <c r="J1557" s="458" t="s">
        <v>315</v>
      </c>
    </row>
    <row r="1558" spans="1:10" ht="12.75">
      <c r="A1558" s="97"/>
      <c r="B1558" s="78">
        <v>1</v>
      </c>
      <c r="C1558" s="45" t="s">
        <v>314</v>
      </c>
      <c r="D1558" s="78"/>
      <c r="E1558" s="78"/>
      <c r="F1558" s="78"/>
      <c r="G1558" s="78"/>
      <c r="H1558" s="80">
        <v>5100.68542</v>
      </c>
      <c r="I1558" s="80">
        <f>VLOOKUP($C1558,'Unit tariffs'!$B$21:$F$122,5,FALSE)*$B1558</f>
        <v>5314.91420764</v>
      </c>
      <c r="J1558" s="461" t="e">
        <f>IF(+I1558*'Unit tariffs'!#REF!&gt;'Unit tariffs'!#REF!,'Unit tariffs'!#REF!,+I1558*'Unit tariffs'!#REF!)</f>
        <v>#REF!</v>
      </c>
    </row>
    <row r="1559" spans="1:10" ht="12.75">
      <c r="A1559" s="97"/>
      <c r="B1559" s="78">
        <v>2</v>
      </c>
      <c r="C1559" s="78" t="str">
        <f>'Unit tariffs'!B21</f>
        <v>Installation material</v>
      </c>
      <c r="D1559" s="78"/>
      <c r="E1559" s="78"/>
      <c r="F1559" s="78"/>
      <c r="G1559" s="78"/>
      <c r="H1559" s="87">
        <v>227.289957</v>
      </c>
      <c r="I1559" s="87">
        <f>VLOOKUP($C1559,'Unit tariffs'!$B$21:$F$122,5,FALSE)*$B1559</f>
        <v>521</v>
      </c>
      <c r="J1559" s="461" t="e">
        <f>IF(+I1559*'Unit tariffs'!#REF!&gt;'Unit tariffs'!#REF!,'Unit tariffs'!#REF!,+I1559*'Unit tariffs'!#REF!)</f>
        <v>#REF!</v>
      </c>
    </row>
    <row r="1560" spans="1:10" ht="12.75">
      <c r="A1560" s="97"/>
      <c r="B1560" s="78"/>
      <c r="C1560" s="78"/>
      <c r="D1560" s="78"/>
      <c r="E1560" s="78"/>
      <c r="F1560" s="78"/>
      <c r="G1560" s="80"/>
      <c r="H1560" s="80">
        <v>5327.975377</v>
      </c>
      <c r="I1560" s="80">
        <f>SUM(I1558:I1559)</f>
        <v>5835.91420764</v>
      </c>
      <c r="J1560" s="111"/>
    </row>
    <row r="1561" spans="1:10" ht="12.75">
      <c r="A1561" s="97"/>
      <c r="B1561" s="110" t="s">
        <v>42</v>
      </c>
      <c r="C1561" s="78"/>
      <c r="D1561" s="78"/>
      <c r="E1561" s="78"/>
      <c r="F1561" s="78"/>
      <c r="G1561" s="78"/>
      <c r="H1561" s="78"/>
      <c r="I1561" s="78"/>
      <c r="J1561" s="111"/>
    </row>
    <row r="1562" spans="1:10" ht="12.75">
      <c r="A1562" s="97"/>
      <c r="B1562" s="78"/>
      <c r="C1562" s="78"/>
      <c r="D1562" s="78"/>
      <c r="E1562" s="78"/>
      <c r="F1562" s="78"/>
      <c r="G1562" s="78"/>
      <c r="H1562" s="78"/>
      <c r="I1562" s="78"/>
      <c r="J1562" s="111"/>
    </row>
    <row r="1563" spans="1:10" ht="12.75">
      <c r="A1563" s="97"/>
      <c r="B1563" s="78">
        <v>6</v>
      </c>
      <c r="C1563" s="78" t="str">
        <f>'Unit tariffs'!B$86</f>
        <v>hour-artisan </v>
      </c>
      <c r="D1563" s="78"/>
      <c r="E1563" s="78"/>
      <c r="F1563" s="78"/>
      <c r="G1563" s="78"/>
      <c r="H1563" s="80">
        <v>1080.3523953800768</v>
      </c>
      <c r="I1563" s="80">
        <f>VLOOKUP($C1563,'Unit tariffs'!$B$21:$F$122,5,FALSE)*$B1563</f>
        <v>1937.1133903846153</v>
      </c>
      <c r="J1563" s="101"/>
    </row>
    <row r="1564" spans="1:10" ht="12.75">
      <c r="A1564" s="97"/>
      <c r="B1564" s="78">
        <v>5</v>
      </c>
      <c r="C1564" s="78" t="str">
        <f>'Unit tariffs'!B$84</f>
        <v>hour-artisan assistant</v>
      </c>
      <c r="D1564" s="78"/>
      <c r="E1564" s="78"/>
      <c r="F1564" s="78"/>
      <c r="G1564" s="78"/>
      <c r="H1564" s="87">
        <v>398.01527961715385</v>
      </c>
      <c r="I1564" s="87">
        <f>VLOOKUP($C1564,'Unit tariffs'!$B$21:$F$122,5,FALSE)*$B1564</f>
        <v>642.6790384615385</v>
      </c>
      <c r="J1564" s="101"/>
    </row>
    <row r="1565" spans="1:10" ht="12.75">
      <c r="A1565" s="97"/>
      <c r="B1565" s="78"/>
      <c r="C1565" s="78"/>
      <c r="D1565" s="78"/>
      <c r="E1565" s="78"/>
      <c r="F1565" s="78"/>
      <c r="G1565" s="78"/>
      <c r="H1565" s="80">
        <v>1478.3676749972306</v>
      </c>
      <c r="I1565" s="80">
        <f>SUM(I1563:I1564)</f>
        <v>2579.7924288461536</v>
      </c>
      <c r="J1565" s="111"/>
    </row>
    <row r="1566" spans="1:10" ht="12.75">
      <c r="A1566" s="97"/>
      <c r="B1566" s="110" t="s">
        <v>43</v>
      </c>
      <c r="C1566" s="78"/>
      <c r="D1566" s="78"/>
      <c r="E1566" s="78"/>
      <c r="F1566" s="78"/>
      <c r="G1566" s="78"/>
      <c r="H1566" s="78"/>
      <c r="I1566" s="78"/>
      <c r="J1566" s="111"/>
    </row>
    <row r="1567" spans="1:10" ht="12.75">
      <c r="A1567" s="97"/>
      <c r="B1567" s="78"/>
      <c r="C1567" s="78"/>
      <c r="D1567" s="78"/>
      <c r="E1567" s="78"/>
      <c r="F1567" s="78"/>
      <c r="G1567" s="78"/>
      <c r="H1567" s="78"/>
      <c r="I1567" s="78"/>
      <c r="J1567" s="111"/>
    </row>
    <row r="1568" spans="1:10" ht="12.75">
      <c r="A1568" s="97"/>
      <c r="B1568" s="78">
        <v>46</v>
      </c>
      <c r="C1568" s="78" t="str">
        <f>'Unit tariffs'!B$110</f>
        <v>km-truck with platform</v>
      </c>
      <c r="D1568" s="78"/>
      <c r="E1568" s="78"/>
      <c r="F1568" s="78"/>
      <c r="G1568" s="78"/>
      <c r="H1568" s="80">
        <v>1493.4217823200004</v>
      </c>
      <c r="I1568" s="80">
        <f>VLOOKUP($C1568,'Unit tariffs'!$B$21:$F$122,5,FALSE)*$B1568</f>
        <v>1859.4464106381276</v>
      </c>
      <c r="J1568" s="111"/>
    </row>
    <row r="1569" spans="1:10" ht="12.75">
      <c r="A1569" s="97"/>
      <c r="B1569" s="78">
        <v>4</v>
      </c>
      <c r="C1569" s="78" t="str">
        <f>'Unit tariffs'!B$111</f>
        <v>hour-truck with platform</v>
      </c>
      <c r="D1569" s="78"/>
      <c r="E1569" s="78"/>
      <c r="F1569" s="78"/>
      <c r="G1569" s="78"/>
      <c r="H1569" s="87">
        <v>670.4500400000001</v>
      </c>
      <c r="I1569" s="80">
        <f>VLOOKUP($C1569,'Unit tariffs'!$B$21:$F$122,5,FALSE)*$B1569</f>
        <v>786.8883582022</v>
      </c>
      <c r="J1569" s="111"/>
    </row>
    <row r="1570" spans="1:10" ht="12.75">
      <c r="A1570" s="97"/>
      <c r="B1570" s="78"/>
      <c r="C1570" s="78"/>
      <c r="D1570" s="78"/>
      <c r="E1570" s="78"/>
      <c r="F1570" s="78"/>
      <c r="G1570" s="78"/>
      <c r="H1570" s="146">
        <v>2163.8718223200003</v>
      </c>
      <c r="I1570" s="146">
        <f>SUM(I1568:I1569)</f>
        <v>2646.334768840328</v>
      </c>
      <c r="J1570" s="111"/>
    </row>
    <row r="1571" spans="1:10" ht="13.5" thickBot="1">
      <c r="A1571" s="97"/>
      <c r="B1571" s="110"/>
      <c r="C1571" s="78"/>
      <c r="D1571" s="112"/>
      <c r="E1571" s="78"/>
      <c r="F1571" s="78"/>
      <c r="G1571" s="78"/>
      <c r="H1571" s="114"/>
      <c r="I1571" s="114"/>
      <c r="J1571" s="111"/>
    </row>
    <row r="1572" spans="1:10" ht="13.5" thickTop="1">
      <c r="A1572" s="97"/>
      <c r="B1572" s="78"/>
      <c r="C1572" s="78"/>
      <c r="D1572" s="78"/>
      <c r="E1572" s="78"/>
      <c r="F1572" s="78"/>
      <c r="G1572" s="80"/>
      <c r="H1572" s="80">
        <v>8970.214874317231</v>
      </c>
      <c r="I1572" s="80">
        <f>I1570+I1565+I1560</f>
        <v>11062.041405326481</v>
      </c>
      <c r="J1572" s="101"/>
    </row>
    <row r="1573" spans="1:10" ht="13.5" thickBot="1">
      <c r="A1573" s="97"/>
      <c r="B1573" s="110" t="str">
        <f>'Unit tariffs'!$B$7</f>
        <v>Administration Levy (Indirect Cost)</v>
      </c>
      <c r="C1573" s="78"/>
      <c r="D1573" s="112">
        <f>'Unit tariffs'!$C$7</f>
        <v>0.1</v>
      </c>
      <c r="E1573" s="78" t="s">
        <v>312</v>
      </c>
      <c r="F1573" s="196">
        <f>+'Unit tariffs'!$F$7</f>
        <v>10000</v>
      </c>
      <c r="G1573" s="80"/>
      <c r="H1573" s="114">
        <v>2391.459285492974</v>
      </c>
      <c r="I1573" s="114">
        <f>IF(I1572*$D1573&gt;='Unit tariffs'!$E$7,'Unit tariffs'!$E$7,I1572*$D1573)</f>
        <v>1106.2041405326481</v>
      </c>
      <c r="J1573" s="116"/>
    </row>
    <row r="1574" spans="1:10" ht="13.5" thickTop="1">
      <c r="A1574" s="97"/>
      <c r="B1574" s="110" t="s">
        <v>44</v>
      </c>
      <c r="C1574" s="78"/>
      <c r="D1574" s="78"/>
      <c r="E1574" s="78"/>
      <c r="F1574" s="78"/>
      <c r="G1574" s="80"/>
      <c r="H1574" s="115">
        <v>11361.674159810205</v>
      </c>
      <c r="I1574" s="115">
        <f>SUM(I1572:I1573)</f>
        <v>12168.245545859128</v>
      </c>
      <c r="J1574" s="111"/>
    </row>
    <row r="1575" spans="1:10" ht="12.75">
      <c r="A1575" s="97"/>
      <c r="B1575" s="78"/>
      <c r="C1575" s="78"/>
      <c r="D1575" s="78"/>
      <c r="E1575" s="78"/>
      <c r="F1575" s="78"/>
      <c r="G1575" s="78"/>
      <c r="H1575" s="78"/>
      <c r="I1575" s="78"/>
      <c r="J1575" s="119"/>
    </row>
    <row r="1576" spans="1:10" ht="13.5" thickBot="1">
      <c r="A1576" s="97"/>
      <c r="B1576" s="110" t="s">
        <v>45</v>
      </c>
      <c r="C1576" s="78"/>
      <c r="D1576" s="78"/>
      <c r="E1576" s="78"/>
      <c r="F1576" s="78"/>
      <c r="G1576" s="78"/>
      <c r="H1576" s="90">
        <v>11360</v>
      </c>
      <c r="I1576" s="90">
        <f>ROUND(I1574,-1)</f>
        <v>12170</v>
      </c>
      <c r="J1576" s="463"/>
    </row>
    <row r="1577" spans="1:10" ht="13.5" thickTop="1">
      <c r="A1577" s="97"/>
      <c r="B1577" s="78"/>
      <c r="C1577" s="78"/>
      <c r="D1577" s="78"/>
      <c r="E1577" s="78"/>
      <c r="F1577" s="78"/>
      <c r="G1577" s="78"/>
      <c r="H1577" s="78"/>
      <c r="I1577" s="80"/>
      <c r="J1577" s="101"/>
    </row>
    <row r="1578" spans="1:10" ht="12.75">
      <c r="A1578" s="97"/>
      <c r="B1578" s="78"/>
      <c r="C1578" s="78"/>
      <c r="D1578" s="78"/>
      <c r="E1578" s="78"/>
      <c r="F1578" s="78"/>
      <c r="G1578" s="78"/>
      <c r="H1578" s="118">
        <v>0.04604051565377532</v>
      </c>
      <c r="I1578" s="118">
        <f>(I1576-H1576)/H1576</f>
        <v>0.07130281690140845</v>
      </c>
      <c r="J1578" s="101"/>
    </row>
    <row r="1579" spans="1:10" ht="12.75">
      <c r="A1579" s="97"/>
      <c r="B1579" s="78"/>
      <c r="C1579" s="78"/>
      <c r="D1579" s="78"/>
      <c r="E1579" s="78"/>
      <c r="F1579" s="78"/>
      <c r="G1579" s="78"/>
      <c r="H1579" s="118"/>
      <c r="I1579" s="118"/>
      <c r="J1579" s="101"/>
    </row>
    <row r="1580" spans="1:10" ht="12.75" customHeight="1">
      <c r="A1580" s="97"/>
      <c r="B1580" s="832" t="s">
        <v>521</v>
      </c>
      <c r="C1580" s="833"/>
      <c r="D1580" s="833"/>
      <c r="E1580" s="833"/>
      <c r="F1580" s="833"/>
      <c r="G1580" s="834"/>
      <c r="H1580" s="118"/>
      <c r="I1580" s="90"/>
      <c r="J1580" s="101"/>
    </row>
    <row r="1581" spans="1:10" ht="12.75">
      <c r="A1581" s="97"/>
      <c r="B1581" s="78"/>
      <c r="C1581" s="78"/>
      <c r="D1581" s="78"/>
      <c r="E1581" s="78"/>
      <c r="F1581" s="78"/>
      <c r="G1581" s="78"/>
      <c r="H1581" s="118"/>
      <c r="I1581" s="90"/>
      <c r="J1581" s="101"/>
    </row>
    <row r="1582" spans="1:10" ht="12.75">
      <c r="A1582" s="97"/>
      <c r="B1582" s="110" t="s">
        <v>453</v>
      </c>
      <c r="C1582" s="78"/>
      <c r="D1582" s="78"/>
      <c r="E1582" s="78"/>
      <c r="F1582" s="78"/>
      <c r="G1582" s="78"/>
      <c r="H1582" s="118"/>
      <c r="I1582" s="90"/>
      <c r="J1582" s="101"/>
    </row>
    <row r="1583" spans="1:10" ht="12.75">
      <c r="A1583" s="97"/>
      <c r="B1583" s="110"/>
      <c r="C1583" s="78"/>
      <c r="D1583" s="78"/>
      <c r="E1583" s="78"/>
      <c r="F1583" s="78"/>
      <c r="G1583" s="78"/>
      <c r="H1583" s="109" t="str">
        <f>+H$11</f>
        <v>2020/2021</v>
      </c>
      <c r="I1583" s="109" t="str">
        <f>+'Unit tariffs'!$F$11</f>
        <v>2021/2022</v>
      </c>
      <c r="J1583" s="101"/>
    </row>
    <row r="1584" spans="1:10" ht="12.75">
      <c r="A1584" s="97"/>
      <c r="C1584" s="78" t="s">
        <v>443</v>
      </c>
      <c r="D1584">
        <v>41.58</v>
      </c>
      <c r="E1584" s="78" t="s">
        <v>444</v>
      </c>
      <c r="F1584" s="78"/>
      <c r="G1584" s="78"/>
      <c r="H1584" s="145"/>
      <c r="I1584" s="78"/>
      <c r="J1584" s="101"/>
    </row>
    <row r="1585" spans="1:10" ht="12.75">
      <c r="A1585" s="97"/>
      <c r="B1585" s="78"/>
      <c r="C1585" s="78" t="s">
        <v>452</v>
      </c>
      <c r="D1585" s="1">
        <v>7.5</v>
      </c>
      <c r="E1585" s="78" t="s">
        <v>444</v>
      </c>
      <c r="F1585" s="78" t="s">
        <v>445</v>
      </c>
      <c r="G1585" s="78"/>
      <c r="H1585" s="118"/>
      <c r="I1585" s="90"/>
      <c r="J1585" s="101"/>
    </row>
    <row r="1586" spans="1:10" ht="12.75">
      <c r="A1586" s="97"/>
      <c r="B1586" s="78"/>
      <c r="C1586" s="78" t="s">
        <v>115</v>
      </c>
      <c r="D1586" s="611">
        <f>+F1586</f>
        <v>0</v>
      </c>
      <c r="E1586" s="78" t="s">
        <v>446</v>
      </c>
      <c r="F1586" s="78">
        <v>0</v>
      </c>
      <c r="G1586" s="78"/>
      <c r="H1586" s="118"/>
      <c r="I1586" s="90"/>
      <c r="J1586" s="101"/>
    </row>
    <row r="1587" spans="1:10" ht="12.75">
      <c r="A1587" s="97"/>
      <c r="B1587" s="78"/>
      <c r="C1587" s="78" t="s">
        <v>447</v>
      </c>
      <c r="D1587" s="615">
        <f>(F1587*D1585)</f>
        <v>0</v>
      </c>
      <c r="E1587" s="78" t="s">
        <v>446</v>
      </c>
      <c r="F1587" s="78">
        <v>0</v>
      </c>
      <c r="G1587" s="78" t="s">
        <v>448</v>
      </c>
      <c r="H1587" s="118"/>
      <c r="I1587" s="90"/>
      <c r="J1587" s="101"/>
    </row>
    <row r="1588" spans="1:10" ht="12.75">
      <c r="A1588" s="97"/>
      <c r="B1588" s="78"/>
      <c r="C1588" s="78" t="s">
        <v>449</v>
      </c>
      <c r="D1588" s="200">
        <f>(D1585*31*24*0.33*F1588)</f>
        <v>3075.1459349608804</v>
      </c>
      <c r="E1588" s="78" t="s">
        <v>446</v>
      </c>
      <c r="F1588" s="196">
        <f>+'Unit tariffs'!$F$162</f>
        <v>1.6700043092</v>
      </c>
      <c r="G1588" s="78" t="s">
        <v>450</v>
      </c>
      <c r="H1588" s="118"/>
      <c r="I1588" s="90"/>
      <c r="J1588" s="101"/>
    </row>
    <row r="1589" spans="1:10" ht="12.75">
      <c r="A1589" s="97"/>
      <c r="B1589" s="78"/>
      <c r="C1589" s="78" t="s">
        <v>451</v>
      </c>
      <c r="D1589" s="616">
        <f>D1588+D1587+D1586</f>
        <v>3075.1459349608804</v>
      </c>
      <c r="E1589" s="78"/>
      <c r="F1589" s="78"/>
      <c r="G1589" s="78"/>
      <c r="H1589" s="118"/>
      <c r="I1589" s="90"/>
      <c r="J1589" s="101"/>
    </row>
    <row r="1590" spans="1:10" ht="12.75">
      <c r="A1590" s="97"/>
      <c r="B1590" s="78"/>
      <c r="C1590" s="78"/>
      <c r="D1590" s="617"/>
      <c r="E1590" s="78"/>
      <c r="F1590" s="78"/>
      <c r="G1590" s="78"/>
      <c r="H1590" s="118"/>
      <c r="I1590" s="90"/>
      <c r="J1590" s="101"/>
    </row>
    <row r="1591" spans="1:10" ht="12.75">
      <c r="A1591" s="97"/>
      <c r="B1591" s="110" t="s">
        <v>454</v>
      </c>
      <c r="D1591" s="110">
        <v>5</v>
      </c>
      <c r="E1591" s="78"/>
      <c r="F1591" s="78"/>
      <c r="G1591" s="78"/>
      <c r="H1591" s="610">
        <v>13166.010000000002</v>
      </c>
      <c r="I1591" s="608">
        <f>+D1589*D1591</f>
        <v>15375.729674804403</v>
      </c>
      <c r="J1591" s="101"/>
    </row>
    <row r="1592" spans="1:10" ht="12.75">
      <c r="A1592" s="97"/>
      <c r="B1592" s="78"/>
      <c r="C1592" s="78"/>
      <c r="D1592" s="78"/>
      <c r="E1592" s="78"/>
      <c r="F1592" s="78"/>
      <c r="G1592" s="78"/>
      <c r="H1592" s="609"/>
      <c r="I1592" s="618"/>
      <c r="J1592" s="101"/>
    </row>
    <row r="1593" spans="1:11" ht="12.75">
      <c r="A1593" s="97"/>
      <c r="B1593" s="78"/>
      <c r="C1593" s="78"/>
      <c r="D1593" s="78"/>
      <c r="E1593" s="78"/>
      <c r="F1593" s="135"/>
      <c r="G1593" s="78"/>
      <c r="H1593" s="610">
        <f>+ROUND(H1591,-2)</f>
        <v>13200</v>
      </c>
      <c r="I1593" s="608">
        <f>+ROUND(I1591,-2)</f>
        <v>15400</v>
      </c>
      <c r="J1593" s="101"/>
      <c r="K1593" s="620"/>
    </row>
    <row r="1594" spans="1:10" ht="12.75">
      <c r="A1594" s="97"/>
      <c r="B1594" s="78"/>
      <c r="C1594" s="78"/>
      <c r="D1594" s="78"/>
      <c r="E1594" s="78"/>
      <c r="F1594" s="135"/>
      <c r="G1594" s="78"/>
      <c r="H1594" s="610"/>
      <c r="I1594" s="608"/>
      <c r="J1594" s="101"/>
    </row>
    <row r="1595" spans="1:10" ht="12.75">
      <c r="A1595" s="97"/>
      <c r="B1595" s="78"/>
      <c r="C1595" s="78"/>
      <c r="D1595" s="78"/>
      <c r="E1595" s="78"/>
      <c r="F1595" s="135"/>
      <c r="G1595" s="78"/>
      <c r="H1595" s="610"/>
      <c r="I1595" s="619">
        <f>+(I1593-H1593)/H1593</f>
        <v>0.16666666666666666</v>
      </c>
      <c r="J1595" s="101"/>
    </row>
    <row r="1596" spans="1:10" ht="12.75">
      <c r="A1596" s="97"/>
      <c r="B1596" s="78"/>
      <c r="C1596" s="78"/>
      <c r="D1596" s="78"/>
      <c r="E1596" s="78"/>
      <c r="F1596" s="78"/>
      <c r="G1596" s="78"/>
      <c r="H1596" s="118"/>
      <c r="I1596" s="90"/>
      <c r="J1596" s="101"/>
    </row>
    <row r="1597" spans="1:10" ht="12.75">
      <c r="A1597" s="97"/>
      <c r="B1597" s="78"/>
      <c r="C1597" s="78"/>
      <c r="D1597" s="78"/>
      <c r="E1597" s="78"/>
      <c r="F1597" s="78"/>
      <c r="G1597" s="78"/>
      <c r="H1597" s="118"/>
      <c r="I1597" s="609"/>
      <c r="J1597" s="101"/>
    </row>
    <row r="1598" spans="1:10" ht="27.75" customHeight="1">
      <c r="A1598" s="97"/>
      <c r="B1598" s="832" t="s">
        <v>522</v>
      </c>
      <c r="C1598" s="833"/>
      <c r="D1598" s="833"/>
      <c r="E1598" s="833"/>
      <c r="F1598" s="833"/>
      <c r="G1598" s="834"/>
      <c r="H1598" s="118"/>
      <c r="I1598" s="609"/>
      <c r="J1598" s="101"/>
    </row>
    <row r="1599" spans="1:10" ht="27.75" customHeight="1">
      <c r="A1599" s="97"/>
      <c r="B1599" s="78"/>
      <c r="C1599" s="78"/>
      <c r="D1599" s="78"/>
      <c r="E1599" s="78"/>
      <c r="F1599" s="78"/>
      <c r="G1599" s="78"/>
      <c r="H1599" s="118"/>
      <c r="I1599" s="609"/>
      <c r="J1599" s="101"/>
    </row>
    <row r="1600" spans="1:10" ht="12.75">
      <c r="A1600" s="97"/>
      <c r="B1600" s="110" t="s">
        <v>453</v>
      </c>
      <c r="C1600" s="78"/>
      <c r="D1600" s="78"/>
      <c r="E1600" s="78"/>
      <c r="F1600" s="78"/>
      <c r="G1600" s="78"/>
      <c r="H1600" s="118"/>
      <c r="I1600" s="90"/>
      <c r="J1600" s="101"/>
    </row>
    <row r="1601" spans="1:10" ht="12.75">
      <c r="A1601" s="97"/>
      <c r="B1601" s="110"/>
      <c r="C1601" s="78"/>
      <c r="D1601" s="78"/>
      <c r="E1601" s="78"/>
      <c r="F1601" s="78"/>
      <c r="G1601" s="78"/>
      <c r="H1601" s="109" t="str">
        <f>+H$11</f>
        <v>2020/2021</v>
      </c>
      <c r="I1601" s="109" t="str">
        <f>+'Unit tariffs'!$F$11</f>
        <v>2021/2022</v>
      </c>
      <c r="J1601" s="101"/>
    </row>
    <row r="1602" spans="1:10" ht="12.75">
      <c r="A1602" s="97"/>
      <c r="C1602" s="78" t="s">
        <v>443</v>
      </c>
      <c r="D1602">
        <v>41.58</v>
      </c>
      <c r="E1602" s="78" t="s">
        <v>444</v>
      </c>
      <c r="F1602" s="78"/>
      <c r="G1602" s="78"/>
      <c r="H1602" s="145"/>
      <c r="I1602" s="78"/>
      <c r="J1602" s="101"/>
    </row>
    <row r="1603" spans="1:10" ht="12.75">
      <c r="A1603" s="97"/>
      <c r="B1603" s="78"/>
      <c r="C1603" s="78" t="s">
        <v>452</v>
      </c>
      <c r="D1603" s="1">
        <v>15</v>
      </c>
      <c r="E1603" s="78" t="s">
        <v>444</v>
      </c>
      <c r="F1603" s="78" t="s">
        <v>445</v>
      </c>
      <c r="G1603" s="78"/>
      <c r="H1603" s="118"/>
      <c r="I1603" s="90"/>
      <c r="J1603" s="101"/>
    </row>
    <row r="1604" spans="1:10" ht="12.75">
      <c r="A1604" s="97"/>
      <c r="B1604" s="78"/>
      <c r="C1604" s="78" t="s">
        <v>115</v>
      </c>
      <c r="D1604" s="611">
        <f>+F1604</f>
        <v>0</v>
      </c>
      <c r="E1604" s="78" t="s">
        <v>446</v>
      </c>
      <c r="F1604" s="78">
        <v>0</v>
      </c>
      <c r="G1604" s="78"/>
      <c r="H1604" s="118"/>
      <c r="I1604" s="90"/>
      <c r="J1604" s="101"/>
    </row>
    <row r="1605" spans="1:10" ht="12.75">
      <c r="A1605" s="97"/>
      <c r="B1605" s="78"/>
      <c r="C1605" s="78" t="s">
        <v>447</v>
      </c>
      <c r="D1605" s="615">
        <f>(F1605*D1603)</f>
        <v>0</v>
      </c>
      <c r="E1605" s="78" t="s">
        <v>446</v>
      </c>
      <c r="F1605" s="78">
        <v>0</v>
      </c>
      <c r="G1605" s="78" t="s">
        <v>448</v>
      </c>
      <c r="H1605" s="118"/>
      <c r="I1605" s="90"/>
      <c r="J1605" s="101"/>
    </row>
    <row r="1606" spans="1:10" ht="12.75">
      <c r="A1606" s="97"/>
      <c r="B1606" s="78"/>
      <c r="C1606" s="78" t="s">
        <v>449</v>
      </c>
      <c r="D1606" s="200">
        <f>(D1603*31*24*0.33*F1606)</f>
        <v>6150.291869921761</v>
      </c>
      <c r="E1606" s="78" t="s">
        <v>446</v>
      </c>
      <c r="F1606" s="196">
        <f>+'Unit tariffs'!$F$162</f>
        <v>1.6700043092</v>
      </c>
      <c r="G1606" s="78" t="s">
        <v>450</v>
      </c>
      <c r="H1606" s="118"/>
      <c r="I1606" s="90"/>
      <c r="J1606" s="101"/>
    </row>
    <row r="1607" spans="1:10" ht="12.75">
      <c r="A1607" s="97"/>
      <c r="B1607" s="78"/>
      <c r="C1607" s="78" t="s">
        <v>451</v>
      </c>
      <c r="D1607" s="616">
        <f>D1606+D1605+D1604</f>
        <v>6150.291869921761</v>
      </c>
      <c r="E1607" s="78"/>
      <c r="F1607" s="78"/>
      <c r="G1607" s="78"/>
      <c r="H1607" s="118"/>
      <c r="I1607" s="90"/>
      <c r="J1607" s="101"/>
    </row>
    <row r="1608" spans="1:10" ht="12.75">
      <c r="A1608" s="97"/>
      <c r="B1608" s="78"/>
      <c r="C1608" s="78"/>
      <c r="D1608" s="617"/>
      <c r="E1608" s="78"/>
      <c r="F1608" s="78"/>
      <c r="G1608" s="78"/>
      <c r="H1608" s="118"/>
      <c r="I1608" s="90"/>
      <c r="J1608" s="101"/>
    </row>
    <row r="1609" spans="1:10" ht="12.75">
      <c r="A1609" s="97"/>
      <c r="B1609" s="110" t="s">
        <v>454</v>
      </c>
      <c r="D1609" s="110">
        <v>5</v>
      </c>
      <c r="E1609" s="78"/>
      <c r="F1609" s="78"/>
      <c r="G1609" s="78"/>
      <c r="H1609" s="610">
        <v>26332.020000000004</v>
      </c>
      <c r="I1609" s="608">
        <f>+D1607*D1609</f>
        <v>30751.459349608805</v>
      </c>
      <c r="J1609" s="101"/>
    </row>
    <row r="1610" spans="1:10" ht="12.75">
      <c r="A1610" s="97"/>
      <c r="B1610" s="78"/>
      <c r="C1610" s="78"/>
      <c r="D1610" s="78"/>
      <c r="E1610" s="78"/>
      <c r="F1610" s="78"/>
      <c r="G1610" s="78"/>
      <c r="H1610" s="609"/>
      <c r="I1610" s="618"/>
      <c r="J1610" s="101"/>
    </row>
    <row r="1611" spans="1:11" ht="12.75">
      <c r="A1611" s="97"/>
      <c r="B1611" s="78"/>
      <c r="C1611" s="78"/>
      <c r="D1611" s="78"/>
      <c r="E1611" s="78"/>
      <c r="F1611" s="135"/>
      <c r="G1611" s="78"/>
      <c r="H1611" s="610">
        <f>+ROUND(H1609,-2)</f>
        <v>26300</v>
      </c>
      <c r="I1611" s="608">
        <f>+ROUND(I1609,-2)</f>
        <v>30800</v>
      </c>
      <c r="J1611" s="101"/>
      <c r="K1611" s="620"/>
    </row>
    <row r="1612" spans="1:10" ht="12.75">
      <c r="A1612" s="97"/>
      <c r="B1612" s="78"/>
      <c r="C1612" s="78"/>
      <c r="D1612" s="78"/>
      <c r="E1612" s="78"/>
      <c r="F1612" s="135"/>
      <c r="G1612" s="78"/>
      <c r="H1612" s="610"/>
      <c r="I1612" s="608"/>
      <c r="J1612" s="101"/>
    </row>
    <row r="1613" spans="1:10" ht="12.75">
      <c r="A1613" s="97"/>
      <c r="B1613" s="78"/>
      <c r="C1613" s="78"/>
      <c r="D1613" s="78"/>
      <c r="E1613" s="78"/>
      <c r="F1613" s="135"/>
      <c r="G1613" s="78"/>
      <c r="H1613" s="610"/>
      <c r="I1613" s="619">
        <f>+(I1611-H1611)/H1611</f>
        <v>0.17110266159695817</v>
      </c>
      <c r="J1613" s="101"/>
    </row>
    <row r="1614" spans="1:10" ht="17.25" customHeight="1">
      <c r="A1614" s="97"/>
      <c r="B1614" s="78"/>
      <c r="C1614" s="78"/>
      <c r="D1614" s="78"/>
      <c r="E1614" s="78"/>
      <c r="F1614" s="78"/>
      <c r="G1614" s="78"/>
      <c r="H1614" s="118"/>
      <c r="I1614" s="609"/>
      <c r="J1614" s="101"/>
    </row>
    <row r="1615" spans="1:10" ht="13.5" thickBot="1">
      <c r="A1615" s="462"/>
      <c r="B1615" s="130"/>
      <c r="C1615" s="130"/>
      <c r="D1615" s="130"/>
      <c r="E1615" s="130"/>
      <c r="F1615" s="130"/>
      <c r="G1615" s="130"/>
      <c r="H1615" s="130"/>
      <c r="I1615" s="130"/>
      <c r="J1615" s="101"/>
    </row>
    <row r="1616" spans="1:10" ht="13.5" thickTop="1">
      <c r="A1616" s="97"/>
      <c r="B1616" s="78"/>
      <c r="C1616" s="78"/>
      <c r="D1616" s="78"/>
      <c r="E1616" s="78"/>
      <c r="F1616" s="78"/>
      <c r="G1616" s="78"/>
      <c r="H1616" s="78"/>
      <c r="I1616" s="78"/>
      <c r="J1616" s="101"/>
    </row>
    <row r="1617" spans="1:10" ht="13.5" thickBot="1">
      <c r="A1617" s="97"/>
      <c r="B1617" s="78"/>
      <c r="C1617" s="78"/>
      <c r="D1617" s="78"/>
      <c r="E1617" s="78"/>
      <c r="F1617" s="78"/>
      <c r="G1617" s="78"/>
      <c r="H1617" s="78"/>
      <c r="I1617" s="78"/>
      <c r="J1617" s="101"/>
    </row>
    <row r="1618" spans="1:10" ht="13.5" thickTop="1">
      <c r="A1618" s="459"/>
      <c r="B1618" s="98" t="s">
        <v>523</v>
      </c>
      <c r="C1618" s="99"/>
      <c r="D1618" s="99"/>
      <c r="E1618" s="99"/>
      <c r="F1618" s="99"/>
      <c r="G1618" s="99"/>
      <c r="H1618" s="100"/>
      <c r="I1618" s="100"/>
      <c r="J1618" s="464"/>
    </row>
    <row r="1619" spans="1:10" ht="12.75">
      <c r="A1619" s="97"/>
      <c r="B1619" s="110"/>
      <c r="C1619" s="78"/>
      <c r="D1619" s="78"/>
      <c r="E1619" s="78"/>
      <c r="F1619" s="78"/>
      <c r="G1619" s="78"/>
      <c r="H1619" s="78"/>
      <c r="I1619" s="78"/>
      <c r="J1619" s="101"/>
    </row>
    <row r="1620" spans="1:10" ht="12.75">
      <c r="A1620" s="97"/>
      <c r="B1620" s="78"/>
      <c r="C1620" s="78"/>
      <c r="D1620" s="78"/>
      <c r="E1620" s="78"/>
      <c r="F1620" s="78"/>
      <c r="G1620" s="78"/>
      <c r="H1620" s="109" t="str">
        <f>+H$11</f>
        <v>2020/2021</v>
      </c>
      <c r="I1620" s="109" t="str">
        <f>+'Unit tariffs'!$F$11</f>
        <v>2021/2022</v>
      </c>
      <c r="J1620" s="101"/>
    </row>
    <row r="1621" spans="1:10" ht="12.75">
      <c r="A1621" s="97"/>
      <c r="B1621" s="110" t="s">
        <v>41</v>
      </c>
      <c r="C1621" s="78"/>
      <c r="D1621" s="78"/>
      <c r="E1621" s="78"/>
      <c r="F1621" s="78"/>
      <c r="G1621" s="78"/>
      <c r="H1621" s="145"/>
      <c r="I1621" s="78"/>
      <c r="J1621" s="101"/>
    </row>
    <row r="1622" spans="1:10" ht="12.75">
      <c r="A1622" s="97"/>
      <c r="B1622" s="78"/>
      <c r="C1622" s="78"/>
      <c r="D1622" s="78"/>
      <c r="E1622" s="78"/>
      <c r="F1622" s="78"/>
      <c r="G1622" s="78"/>
      <c r="H1622" s="145"/>
      <c r="I1622" s="78"/>
      <c r="J1622" s="458" t="s">
        <v>315</v>
      </c>
    </row>
    <row r="1623" spans="1:10" ht="12.75">
      <c r="A1623" s="97"/>
      <c r="B1623" s="78">
        <v>0</v>
      </c>
      <c r="C1623" s="78" t="s">
        <v>228</v>
      </c>
      <c r="D1623" s="78"/>
      <c r="E1623" s="78"/>
      <c r="F1623" s="91"/>
      <c r="G1623" s="78"/>
      <c r="H1623" s="80">
        <v>2017.4489999999998</v>
      </c>
      <c r="I1623" s="80">
        <f>VLOOKUP($C1623,'Unit tariffs'!$B$21:$F$122,5,FALSE)*$B1623</f>
        <v>0</v>
      </c>
      <c r="J1623" s="461" t="e">
        <f>IF(+I1623*'Unit tariffs'!#REF!&gt;'Unit tariffs'!#REF!,'Unit tariffs'!#REF!,+I1623*'Unit tariffs'!#REF!)</f>
        <v>#REF!</v>
      </c>
    </row>
    <row r="1624" spans="1:10" ht="12.75">
      <c r="A1624" s="97"/>
      <c r="B1624" s="78">
        <v>0</v>
      </c>
      <c r="C1624" s="78" t="str">
        <f>'Unit tariffs'!B42</f>
        <v>x 80 A circuit breaker (5kA) - Orange</v>
      </c>
      <c r="D1624" s="78"/>
      <c r="E1624" s="78"/>
      <c r="F1624" s="78"/>
      <c r="G1624" s="78"/>
      <c r="H1624" s="87">
        <v>220.029</v>
      </c>
      <c r="I1624" s="87">
        <f>VLOOKUP($C1624,'Unit tariffs'!$B$21:$F$122,5,FALSE)*$B1624</f>
        <v>0</v>
      </c>
      <c r="J1624" s="461" t="e">
        <f>IF(+I1624*'Unit tariffs'!#REF!&gt;'Unit tariffs'!#REF!,'Unit tariffs'!#REF!,+I1624*'Unit tariffs'!#REF!)</f>
        <v>#REF!</v>
      </c>
    </row>
    <row r="1625" spans="1:10" ht="12.75">
      <c r="A1625" s="97"/>
      <c r="B1625" s="78"/>
      <c r="C1625" s="78"/>
      <c r="D1625" s="78"/>
      <c r="E1625" s="78"/>
      <c r="F1625" s="78"/>
      <c r="G1625" s="80"/>
      <c r="H1625" s="80">
        <v>2237.478</v>
      </c>
      <c r="I1625" s="80">
        <f>SUM(I1623:I1624)</f>
        <v>0</v>
      </c>
      <c r="J1625" s="111"/>
    </row>
    <row r="1626" spans="1:10" ht="12.75">
      <c r="A1626" s="97"/>
      <c r="B1626" s="110" t="s">
        <v>42</v>
      </c>
      <c r="C1626" s="78"/>
      <c r="D1626" s="78"/>
      <c r="E1626" s="78"/>
      <c r="F1626" s="78"/>
      <c r="G1626" s="78"/>
      <c r="H1626" s="78"/>
      <c r="I1626" s="78"/>
      <c r="J1626" s="111"/>
    </row>
    <row r="1627" spans="1:10" ht="12.75">
      <c r="A1627" s="97"/>
      <c r="B1627" s="78"/>
      <c r="C1627" s="78"/>
      <c r="D1627" s="78"/>
      <c r="E1627" s="78"/>
      <c r="F1627" s="78"/>
      <c r="G1627" s="78"/>
      <c r="H1627" s="78"/>
      <c r="I1627" s="78"/>
      <c r="J1627" s="111"/>
    </row>
    <row r="1628" spans="1:10" ht="12.75">
      <c r="A1628" s="97"/>
      <c r="B1628" s="78">
        <v>10</v>
      </c>
      <c r="C1628" s="78" t="str">
        <f>'Unit tariffs'!B$86</f>
        <v>hour-artisan </v>
      </c>
      <c r="D1628" s="78"/>
      <c r="E1628" s="78"/>
      <c r="F1628" s="78"/>
      <c r="G1628" s="78"/>
      <c r="H1628" s="80">
        <v>676.2769298153846</v>
      </c>
      <c r="I1628" s="80">
        <f>VLOOKUP($C1628,'Unit tariffs'!$B$21:$F$122,5,FALSE)*$B1628</f>
        <v>3228.5223173076924</v>
      </c>
      <c r="J1628" s="111"/>
    </row>
    <row r="1629" spans="1:10" ht="12.75">
      <c r="A1629" s="97"/>
      <c r="B1629" s="78">
        <v>10</v>
      </c>
      <c r="C1629" s="78" t="str">
        <f>'Unit tariffs'!B$84</f>
        <v>hour-artisan assistant</v>
      </c>
      <c r="D1629" s="78"/>
      <c r="E1629" s="78"/>
      <c r="F1629" s="78"/>
      <c r="G1629" s="78"/>
      <c r="H1629" s="87">
        <v>298.9786137969231</v>
      </c>
      <c r="I1629" s="87">
        <f>VLOOKUP($C1629,'Unit tariffs'!$B$21:$F$122,5,FALSE)*$B1629</f>
        <v>1285.358076923077</v>
      </c>
      <c r="J1629" s="111"/>
    </row>
    <row r="1630" spans="1:10" ht="12.75">
      <c r="A1630" s="97"/>
      <c r="B1630" s="78"/>
      <c r="C1630" s="78"/>
      <c r="D1630" s="78"/>
      <c r="E1630" s="78"/>
      <c r="F1630" s="78"/>
      <c r="G1630" s="78"/>
      <c r="H1630" s="80">
        <v>975.2555436123077</v>
      </c>
      <c r="I1630" s="80">
        <f>SUM(I1628:I1629)</f>
        <v>4513.8803942307695</v>
      </c>
      <c r="J1630" s="111"/>
    </row>
    <row r="1631" spans="1:10" ht="12.75">
      <c r="A1631" s="97"/>
      <c r="B1631" s="110" t="s">
        <v>43</v>
      </c>
      <c r="C1631" s="78"/>
      <c r="D1631" s="78"/>
      <c r="E1631" s="78"/>
      <c r="F1631" s="78"/>
      <c r="G1631" s="78"/>
      <c r="H1631" s="78"/>
      <c r="I1631" s="78"/>
      <c r="J1631" s="111"/>
    </row>
    <row r="1632" spans="1:10" ht="12.75">
      <c r="A1632" s="97"/>
      <c r="B1632" s="78"/>
      <c r="C1632" s="78"/>
      <c r="D1632" s="78"/>
      <c r="E1632" s="78"/>
      <c r="F1632" s="78"/>
      <c r="G1632" s="78"/>
      <c r="H1632" s="78"/>
      <c r="I1632" s="78"/>
      <c r="J1632" s="101"/>
    </row>
    <row r="1633" spans="1:10" ht="12.75">
      <c r="A1633" s="97"/>
      <c r="B1633" s="78">
        <v>80</v>
      </c>
      <c r="C1633" s="78" t="str">
        <f>'Unit tariffs'!B$110</f>
        <v>km-truck with platform</v>
      </c>
      <c r="D1633" s="78"/>
      <c r="E1633" s="78"/>
      <c r="F1633" s="78"/>
      <c r="G1633" s="78"/>
      <c r="H1633" s="80">
        <v>1218.2248000000002</v>
      </c>
      <c r="I1633" s="80">
        <f>VLOOKUP($C1633,'Unit tariffs'!$B$21:$F$122,5,FALSE)*$B1633</f>
        <v>3233.819844588048</v>
      </c>
      <c r="J1633" s="116"/>
    </row>
    <row r="1634" spans="1:10" ht="12.75">
      <c r="A1634" s="97"/>
      <c r="B1634" s="78">
        <v>4</v>
      </c>
      <c r="C1634" s="78" t="str">
        <f>'Unit tariffs'!B$111</f>
        <v>hour-truck with platform</v>
      </c>
      <c r="D1634" s="78"/>
      <c r="E1634" s="78"/>
      <c r="F1634" s="78"/>
      <c r="G1634" s="78"/>
      <c r="H1634" s="87">
        <v>628.94</v>
      </c>
      <c r="I1634" s="80">
        <f>VLOOKUP($C1634,'Unit tariffs'!$B$21:$F$122,5,FALSE)*$B1634</f>
        <v>786.8883582022</v>
      </c>
      <c r="J1634" s="111"/>
    </row>
    <row r="1635" spans="1:10" ht="12.75">
      <c r="A1635" s="97"/>
      <c r="B1635" s="78"/>
      <c r="C1635" s="78"/>
      <c r="D1635" s="78"/>
      <c r="E1635" s="78"/>
      <c r="F1635" s="78"/>
      <c r="G1635" s="78"/>
      <c r="H1635" s="146">
        <v>1847.1648000000002</v>
      </c>
      <c r="I1635" s="146">
        <f>SUM(I1633:I1634)</f>
        <v>4020.708202790248</v>
      </c>
      <c r="J1635" s="119"/>
    </row>
    <row r="1636" spans="1:10" ht="13.5" thickBot="1">
      <c r="A1636" s="97"/>
      <c r="B1636" s="110"/>
      <c r="C1636" s="78"/>
      <c r="D1636" s="112"/>
      <c r="E1636" s="78"/>
      <c r="F1636" s="78"/>
      <c r="G1636" s="78"/>
      <c r="H1636" s="114"/>
      <c r="I1636" s="114"/>
      <c r="J1636" s="101"/>
    </row>
    <row r="1637" spans="1:10" ht="13.5" thickTop="1">
      <c r="A1637" s="97"/>
      <c r="B1637" s="78"/>
      <c r="C1637" s="78"/>
      <c r="D1637" s="78"/>
      <c r="E1637" s="78"/>
      <c r="F1637" s="78"/>
      <c r="G1637" s="80"/>
      <c r="H1637" s="80">
        <v>5059.898343612308</v>
      </c>
      <c r="I1637" s="80">
        <f>I1635+I1630+I1625</f>
        <v>8534.588597021018</v>
      </c>
      <c r="J1637" s="101"/>
    </row>
    <row r="1638" spans="1:10" ht="13.5" thickBot="1">
      <c r="A1638" s="97"/>
      <c r="B1638" s="110" t="str">
        <f>'Unit tariffs'!$B$7</f>
        <v>Administration Levy (Indirect Cost)</v>
      </c>
      <c r="C1638" s="78"/>
      <c r="D1638" s="112">
        <f>'Unit tariffs'!$C$7</f>
        <v>0.1</v>
      </c>
      <c r="E1638" s="78" t="s">
        <v>312</v>
      </c>
      <c r="F1638" s="196">
        <f>+'Unit tariffs'!$F$7</f>
        <v>10000</v>
      </c>
      <c r="G1638" s="80"/>
      <c r="H1638" s="114">
        <v>1348.9688984070413</v>
      </c>
      <c r="I1638" s="114">
        <f>IF(I1637*$D1638&gt;='Unit tariffs'!$E$7,'Unit tariffs'!$E$7,I1637*$D1638)</f>
        <v>853.4588597021019</v>
      </c>
      <c r="J1638" s="101"/>
    </row>
    <row r="1639" spans="1:10" ht="13.5" thickTop="1">
      <c r="A1639" s="97"/>
      <c r="B1639" s="110" t="s">
        <v>44</v>
      </c>
      <c r="C1639" s="78"/>
      <c r="D1639" s="78"/>
      <c r="E1639" s="78"/>
      <c r="F1639" s="78"/>
      <c r="G1639" s="80"/>
      <c r="H1639" s="115">
        <v>6408.867242019349</v>
      </c>
      <c r="I1639" s="115">
        <f>SUM(I1637:I1638)</f>
        <v>9388.04745672312</v>
      </c>
      <c r="J1639" s="101"/>
    </row>
    <row r="1640" spans="1:10" ht="12.75">
      <c r="A1640" s="97"/>
      <c r="B1640" s="78"/>
      <c r="C1640" s="78"/>
      <c r="D1640" s="78"/>
      <c r="E1640" s="78"/>
      <c r="F1640" s="78"/>
      <c r="G1640" s="78"/>
      <c r="H1640" s="145"/>
      <c r="I1640" s="78"/>
      <c r="J1640" s="101"/>
    </row>
    <row r="1641" spans="1:10" ht="12.75">
      <c r="A1641" s="97"/>
      <c r="B1641" s="110" t="s">
        <v>45</v>
      </c>
      <c r="C1641" s="78"/>
      <c r="D1641" s="78"/>
      <c r="E1641" s="78"/>
      <c r="F1641" s="78"/>
      <c r="G1641" s="78"/>
      <c r="H1641" s="90">
        <v>6410</v>
      </c>
      <c r="I1641" s="90">
        <f>ROUND(I1639,-1)</f>
        <v>9390</v>
      </c>
      <c r="J1641" s="101"/>
    </row>
    <row r="1642" spans="1:10" ht="12.75">
      <c r="A1642" s="97"/>
      <c r="B1642" s="78"/>
      <c r="C1642" s="78"/>
      <c r="D1642" s="78"/>
      <c r="E1642" s="78"/>
      <c r="F1642" s="78"/>
      <c r="G1642" s="78"/>
      <c r="H1642" s="78"/>
      <c r="I1642" s="80"/>
      <c r="J1642" s="101"/>
    </row>
    <row r="1643" spans="1:10" ht="12.75">
      <c r="A1643" s="97"/>
      <c r="B1643" s="78"/>
      <c r="C1643" s="78"/>
      <c r="D1643" s="78"/>
      <c r="E1643" s="78"/>
      <c r="F1643" s="78"/>
      <c r="G1643" s="78"/>
      <c r="H1643" s="118">
        <v>0.4634703196347032</v>
      </c>
      <c r="I1643" s="118">
        <f>(I1641-H1641)/H1641</f>
        <v>0.46489859594383776</v>
      </c>
      <c r="J1643" s="101"/>
    </row>
    <row r="1644" spans="1:10" ht="12.75">
      <c r="A1644" s="97"/>
      <c r="B1644" s="78"/>
      <c r="C1644" s="78"/>
      <c r="D1644" s="78"/>
      <c r="E1644" s="78"/>
      <c r="F1644" s="78"/>
      <c r="G1644" s="78"/>
      <c r="H1644" s="78"/>
      <c r="I1644" s="78"/>
      <c r="J1644" s="101"/>
    </row>
    <row r="1645" spans="1:10" ht="12.75">
      <c r="A1645" s="97"/>
      <c r="B1645" s="78"/>
      <c r="C1645" s="78"/>
      <c r="D1645" s="78"/>
      <c r="E1645" s="78"/>
      <c r="F1645" s="78"/>
      <c r="G1645" s="78"/>
      <c r="H1645" s="78"/>
      <c r="I1645" s="78"/>
      <c r="J1645" s="101"/>
    </row>
    <row r="1646" spans="1:10" ht="26.25" customHeight="1">
      <c r="A1646" s="97"/>
      <c r="B1646" s="98" t="s">
        <v>524</v>
      </c>
      <c r="C1646" s="99"/>
      <c r="D1646" s="99"/>
      <c r="E1646" s="99"/>
      <c r="F1646" s="99"/>
      <c r="G1646" s="99"/>
      <c r="H1646" s="100"/>
      <c r="I1646" s="100"/>
      <c r="J1646" s="464"/>
    </row>
    <row r="1647" spans="1:10" ht="12.75">
      <c r="A1647" s="97"/>
      <c r="B1647" s="110"/>
      <c r="C1647" s="78"/>
      <c r="D1647" s="78"/>
      <c r="E1647" s="78"/>
      <c r="F1647" s="78"/>
      <c r="G1647" s="78"/>
      <c r="H1647" s="78"/>
      <c r="I1647" s="78"/>
      <c r="J1647" s="101"/>
    </row>
    <row r="1648" spans="1:10" ht="12.75">
      <c r="A1648" s="97"/>
      <c r="B1648" s="78"/>
      <c r="C1648" s="78"/>
      <c r="D1648" s="78"/>
      <c r="E1648" s="78"/>
      <c r="F1648" s="78"/>
      <c r="G1648" s="78"/>
      <c r="H1648" s="109" t="str">
        <f>+H$11</f>
        <v>2020/2021</v>
      </c>
      <c r="I1648" s="109" t="str">
        <f>+'Unit tariffs'!$F$11</f>
        <v>2021/2022</v>
      </c>
      <c r="J1648" s="101"/>
    </row>
    <row r="1649" spans="1:10" ht="12.75">
      <c r="A1649" s="97"/>
      <c r="B1649" s="110" t="s">
        <v>41</v>
      </c>
      <c r="C1649" s="78"/>
      <c r="D1649" s="78"/>
      <c r="E1649" s="78"/>
      <c r="F1649" s="78"/>
      <c r="G1649" s="78"/>
      <c r="H1649" s="145"/>
      <c r="I1649" s="78"/>
      <c r="J1649" s="101"/>
    </row>
    <row r="1650" spans="1:10" ht="12.75">
      <c r="A1650" s="97"/>
      <c r="B1650" s="78"/>
      <c r="C1650" s="78"/>
      <c r="D1650" s="78"/>
      <c r="E1650" s="78"/>
      <c r="F1650" s="78"/>
      <c r="G1650" s="78"/>
      <c r="H1650" s="145"/>
      <c r="I1650" s="78"/>
      <c r="J1650" s="458" t="s">
        <v>315</v>
      </c>
    </row>
    <row r="1651" spans="1:10" ht="12.75">
      <c r="A1651" s="97"/>
      <c r="B1651" s="78">
        <v>1</v>
      </c>
      <c r="C1651" s="78" t="s">
        <v>228</v>
      </c>
      <c r="D1651" s="78"/>
      <c r="E1651" s="78"/>
      <c r="F1651" s="91" t="s">
        <v>263</v>
      </c>
      <c r="G1651" s="78"/>
      <c r="H1651" s="80">
        <v>2017.4489999999998</v>
      </c>
      <c r="I1651" s="80">
        <f>VLOOKUP($C1651,'Unit tariffs'!$B$21:$F$122,5,FALSE)*$B1651</f>
        <v>2171.5538593139995</v>
      </c>
      <c r="J1651" s="461" t="e">
        <f>IF(+I1651*'Unit tariffs'!#REF!&gt;'Unit tariffs'!#REF!,'Unit tariffs'!#REF!,+I1651*'Unit tariffs'!#REF!)</f>
        <v>#REF!</v>
      </c>
    </row>
    <row r="1652" spans="1:10" ht="12.75">
      <c r="A1652" s="97"/>
      <c r="B1652" s="78">
        <v>2</v>
      </c>
      <c r="C1652" s="78" t="str">
        <f>'Unit tariffs'!B21</f>
        <v>Installation material</v>
      </c>
      <c r="D1652" s="78"/>
      <c r="E1652" s="78"/>
      <c r="F1652" s="78"/>
      <c r="G1652" s="78"/>
      <c r="H1652" s="87">
        <v>220.029</v>
      </c>
      <c r="I1652" s="87">
        <f>VLOOKUP($C1652,'Unit tariffs'!$B$21:$F$122,5,FALSE)*$B1652</f>
        <v>521</v>
      </c>
      <c r="J1652" s="461" t="e">
        <f>IF(+I1652*'Unit tariffs'!#REF!&gt;'Unit tariffs'!#REF!,'Unit tariffs'!#REF!,+I1652*'Unit tariffs'!#REF!)</f>
        <v>#REF!</v>
      </c>
    </row>
    <row r="1653" spans="1:10" ht="12.75">
      <c r="A1653" s="97"/>
      <c r="B1653" s="78"/>
      <c r="C1653" s="78"/>
      <c r="D1653" s="78"/>
      <c r="E1653" s="78"/>
      <c r="F1653" s="78"/>
      <c r="G1653" s="80"/>
      <c r="H1653" s="80">
        <v>2237.478</v>
      </c>
      <c r="I1653" s="80">
        <f>SUM(I1651:I1652)</f>
        <v>2692.5538593139995</v>
      </c>
      <c r="J1653" s="111"/>
    </row>
    <row r="1654" spans="1:10" ht="12.75">
      <c r="A1654" s="97"/>
      <c r="B1654" s="110" t="s">
        <v>42</v>
      </c>
      <c r="C1654" s="78"/>
      <c r="D1654" s="78"/>
      <c r="E1654" s="78"/>
      <c r="F1654" s="78"/>
      <c r="G1654" s="78"/>
      <c r="H1654" s="78"/>
      <c r="I1654" s="78"/>
      <c r="J1654" s="111"/>
    </row>
    <row r="1655" spans="1:10" ht="12.75">
      <c r="A1655" s="97"/>
      <c r="B1655" s="78"/>
      <c r="C1655" s="78"/>
      <c r="D1655" s="78"/>
      <c r="E1655" s="78"/>
      <c r="F1655" s="78"/>
      <c r="G1655" s="78"/>
      <c r="H1655" s="78"/>
      <c r="I1655" s="78"/>
      <c r="J1655" s="111"/>
    </row>
    <row r="1656" spans="1:10" ht="12.75">
      <c r="A1656" s="97"/>
      <c r="B1656" s="78">
        <v>4</v>
      </c>
      <c r="C1656" s="78" t="str">
        <f>'Unit tariffs'!B$86</f>
        <v>hour-artisan </v>
      </c>
      <c r="D1656" s="78"/>
      <c r="E1656" s="78"/>
      <c r="F1656" s="78"/>
      <c r="G1656" s="78"/>
      <c r="H1656" s="80">
        <v>676.2769298153846</v>
      </c>
      <c r="I1656" s="80">
        <f>VLOOKUP($C1656,'Unit tariffs'!$B$21:$F$122,5,FALSE)*$B1656</f>
        <v>1291.408926923077</v>
      </c>
      <c r="J1656" s="111"/>
    </row>
    <row r="1657" spans="1:10" ht="12.75">
      <c r="A1657" s="97"/>
      <c r="B1657" s="78">
        <v>4</v>
      </c>
      <c r="C1657" s="78" t="str">
        <f>'Unit tariffs'!B$84</f>
        <v>hour-artisan assistant</v>
      </c>
      <c r="D1657" s="78"/>
      <c r="E1657" s="78"/>
      <c r="F1657" s="78"/>
      <c r="G1657" s="78"/>
      <c r="H1657" s="87">
        <v>298.9786137969231</v>
      </c>
      <c r="I1657" s="87">
        <f>VLOOKUP($C1657,'Unit tariffs'!$B$21:$F$122,5,FALSE)*$B1657</f>
        <v>514.1432307692309</v>
      </c>
      <c r="J1657" s="111"/>
    </row>
    <row r="1658" spans="1:10" ht="12.75">
      <c r="A1658" s="97"/>
      <c r="B1658" s="78"/>
      <c r="C1658" s="78"/>
      <c r="D1658" s="78"/>
      <c r="E1658" s="78"/>
      <c r="F1658" s="78"/>
      <c r="G1658" s="78"/>
      <c r="H1658" s="80">
        <v>975.2555436123077</v>
      </c>
      <c r="I1658" s="80">
        <f>SUM(I1656:I1657)</f>
        <v>1805.552157692308</v>
      </c>
      <c r="J1658" s="111"/>
    </row>
    <row r="1659" spans="1:10" ht="12.75">
      <c r="A1659" s="97"/>
      <c r="B1659" s="110" t="s">
        <v>43</v>
      </c>
      <c r="C1659" s="78"/>
      <c r="D1659" s="78"/>
      <c r="E1659" s="78"/>
      <c r="F1659" s="78"/>
      <c r="G1659" s="78"/>
      <c r="H1659" s="78"/>
      <c r="I1659" s="78"/>
      <c r="J1659" s="111"/>
    </row>
    <row r="1660" spans="1:10" ht="12.75">
      <c r="A1660" s="97"/>
      <c r="B1660" s="78"/>
      <c r="C1660" s="78"/>
      <c r="D1660" s="78"/>
      <c r="E1660" s="78"/>
      <c r="F1660" s="78"/>
      <c r="G1660" s="78"/>
      <c r="H1660" s="78"/>
      <c r="I1660" s="78"/>
      <c r="J1660" s="101"/>
    </row>
    <row r="1661" spans="1:10" ht="12.75">
      <c r="A1661" s="97"/>
      <c r="B1661" s="78">
        <v>40</v>
      </c>
      <c r="C1661" s="78" t="str">
        <f>'Unit tariffs'!B$110</f>
        <v>km-truck with platform</v>
      </c>
      <c r="D1661" s="78"/>
      <c r="E1661" s="78"/>
      <c r="F1661" s="78"/>
      <c r="G1661" s="78"/>
      <c r="H1661" s="80">
        <v>1218.2248000000002</v>
      </c>
      <c r="I1661" s="80">
        <f>VLOOKUP($C1661,'Unit tariffs'!$B$21:$F$122,5,FALSE)*$B1661</f>
        <v>1616.909922294024</v>
      </c>
      <c r="J1661" s="116"/>
    </row>
    <row r="1662" spans="1:10" ht="12.75">
      <c r="A1662" s="97"/>
      <c r="B1662" s="78">
        <v>4</v>
      </c>
      <c r="C1662" s="78" t="str">
        <f>'Unit tariffs'!B$111</f>
        <v>hour-truck with platform</v>
      </c>
      <c r="D1662" s="78"/>
      <c r="E1662" s="78"/>
      <c r="F1662" s="78"/>
      <c r="G1662" s="78"/>
      <c r="H1662" s="87">
        <v>628.94</v>
      </c>
      <c r="I1662" s="80">
        <f>VLOOKUP($C1662,'Unit tariffs'!$B$21:$F$122,5,FALSE)*$B1662</f>
        <v>786.8883582022</v>
      </c>
      <c r="J1662" s="111"/>
    </row>
    <row r="1663" spans="1:10" ht="12.75">
      <c r="A1663" s="97"/>
      <c r="B1663" s="78"/>
      <c r="C1663" s="78"/>
      <c r="D1663" s="78"/>
      <c r="E1663" s="78"/>
      <c r="F1663" s="78"/>
      <c r="G1663" s="78"/>
      <c r="H1663" s="146">
        <v>1847.1648000000002</v>
      </c>
      <c r="I1663" s="146">
        <f>SUM(I1661:I1662)</f>
        <v>2403.798280496224</v>
      </c>
      <c r="J1663" s="119"/>
    </row>
    <row r="1664" spans="1:10" ht="13.5" thickBot="1">
      <c r="A1664" s="97"/>
      <c r="B1664" s="110"/>
      <c r="C1664" s="78"/>
      <c r="D1664" s="112"/>
      <c r="E1664" s="78"/>
      <c r="F1664" s="78"/>
      <c r="G1664" s="78"/>
      <c r="H1664" s="114"/>
      <c r="I1664" s="114"/>
      <c r="J1664" s="101"/>
    </row>
    <row r="1665" spans="1:10" ht="13.5" thickTop="1">
      <c r="A1665" s="97"/>
      <c r="B1665" s="78"/>
      <c r="C1665" s="78"/>
      <c r="D1665" s="78"/>
      <c r="E1665" s="78"/>
      <c r="F1665" s="78"/>
      <c r="G1665" s="80"/>
      <c r="H1665" s="80">
        <v>5059.898343612308</v>
      </c>
      <c r="I1665" s="80">
        <f>I1663+I1658+I1653</f>
        <v>6901.904297502531</v>
      </c>
      <c r="J1665" s="101"/>
    </row>
    <row r="1666" spans="1:10" ht="13.5" thickBot="1">
      <c r="A1666" s="97"/>
      <c r="B1666" s="110" t="str">
        <f>'Unit tariffs'!$B$7</f>
        <v>Administration Levy (Indirect Cost)</v>
      </c>
      <c r="C1666" s="78"/>
      <c r="D1666" s="112">
        <f>'Unit tariffs'!$C$7</f>
        <v>0.1</v>
      </c>
      <c r="E1666" s="78" t="s">
        <v>312</v>
      </c>
      <c r="F1666" s="196">
        <f>+'Unit tariffs'!$F$7</f>
        <v>10000</v>
      </c>
      <c r="G1666" s="80"/>
      <c r="H1666" s="114">
        <v>1348.9688984070413</v>
      </c>
      <c r="I1666" s="114">
        <f>IF(I1665*$D1666&gt;='Unit tariffs'!$E$7,'Unit tariffs'!$E$7,I1665*$D1666)</f>
        <v>690.1904297502532</v>
      </c>
      <c r="J1666" s="101"/>
    </row>
    <row r="1667" spans="1:10" ht="13.5" thickTop="1">
      <c r="A1667" s="97"/>
      <c r="B1667" s="110" t="s">
        <v>44</v>
      </c>
      <c r="C1667" s="78"/>
      <c r="D1667" s="78"/>
      <c r="E1667" s="78"/>
      <c r="F1667" s="78"/>
      <c r="G1667" s="80"/>
      <c r="H1667" s="115">
        <v>6408.867242019349</v>
      </c>
      <c r="I1667" s="115">
        <f>SUM(I1665:I1666)</f>
        <v>7592.094727252785</v>
      </c>
      <c r="J1667" s="101"/>
    </row>
    <row r="1668" spans="1:10" ht="32.25" customHeight="1">
      <c r="A1668" s="97"/>
      <c r="B1668" s="78"/>
      <c r="C1668" s="78"/>
      <c r="D1668" s="78"/>
      <c r="E1668" s="78"/>
      <c r="F1668" s="78"/>
      <c r="G1668" s="78"/>
      <c r="H1668" s="145"/>
      <c r="I1668" s="78"/>
      <c r="J1668" s="101"/>
    </row>
    <row r="1669" spans="1:10" ht="12.75">
      <c r="A1669" s="97"/>
      <c r="B1669" s="110" t="s">
        <v>45</v>
      </c>
      <c r="C1669" s="78"/>
      <c r="D1669" s="78"/>
      <c r="E1669" s="78"/>
      <c r="F1669" s="78"/>
      <c r="G1669" s="78"/>
      <c r="H1669" s="90">
        <v>6410</v>
      </c>
      <c r="I1669" s="90">
        <f>ROUND(I1667,-1)</f>
        <v>7590</v>
      </c>
      <c r="J1669" s="101"/>
    </row>
    <row r="1670" spans="1:10" ht="12.75">
      <c r="A1670" s="97"/>
      <c r="B1670" s="78"/>
      <c r="C1670" s="78"/>
      <c r="D1670" s="78"/>
      <c r="E1670" s="78"/>
      <c r="F1670" s="78"/>
      <c r="G1670" s="78"/>
      <c r="H1670" s="78"/>
      <c r="I1670" s="80"/>
      <c r="J1670" s="101"/>
    </row>
    <row r="1671" spans="1:10" ht="12.75">
      <c r="A1671" s="97"/>
      <c r="B1671" s="78"/>
      <c r="C1671" s="78"/>
      <c r="D1671" s="78"/>
      <c r="E1671" s="78"/>
      <c r="F1671" s="78"/>
      <c r="G1671" s="78"/>
      <c r="H1671" s="118">
        <v>0.4634703196347032</v>
      </c>
      <c r="I1671" s="118">
        <f>(I1669-H1669)/H1669</f>
        <v>0.18408736349453977</v>
      </c>
      <c r="J1671" s="101"/>
    </row>
    <row r="1672" spans="1:10" ht="12.75">
      <c r="A1672" s="97"/>
      <c r="B1672" s="78"/>
      <c r="C1672" s="78"/>
      <c r="D1672" s="78"/>
      <c r="E1672" s="78"/>
      <c r="F1672" s="78"/>
      <c r="G1672" s="78"/>
      <c r="H1672" s="118"/>
      <c r="I1672" s="118"/>
      <c r="J1672" s="101"/>
    </row>
    <row r="1673" spans="1:10" ht="12.75">
      <c r="A1673" s="97"/>
      <c r="B1673" s="832" t="s">
        <v>525</v>
      </c>
      <c r="C1673" s="833"/>
      <c r="D1673" s="833"/>
      <c r="E1673" s="833"/>
      <c r="F1673" s="833"/>
      <c r="G1673" s="834"/>
      <c r="H1673" s="118"/>
      <c r="I1673" s="90"/>
      <c r="J1673" s="101"/>
    </row>
    <row r="1674" spans="1:10" ht="12.75">
      <c r="A1674" s="97"/>
      <c r="B1674" s="78"/>
      <c r="C1674" s="78"/>
      <c r="D1674" s="78"/>
      <c r="E1674" s="78"/>
      <c r="F1674" s="78"/>
      <c r="G1674" s="78"/>
      <c r="H1674" s="118"/>
      <c r="I1674" s="90"/>
      <c r="J1674" s="101"/>
    </row>
    <row r="1675" spans="1:10" ht="12.75">
      <c r="A1675" s="97"/>
      <c r="B1675" s="78"/>
      <c r="C1675" s="78"/>
      <c r="D1675" s="78"/>
      <c r="E1675" s="78"/>
      <c r="F1675" s="78"/>
      <c r="G1675" s="78"/>
      <c r="H1675" s="118"/>
      <c r="I1675" s="90"/>
      <c r="J1675" s="101"/>
    </row>
    <row r="1676" spans="1:10" ht="12.75">
      <c r="A1676" s="97"/>
      <c r="B1676" s="110" t="s">
        <v>453</v>
      </c>
      <c r="C1676" s="78"/>
      <c r="D1676" s="78"/>
      <c r="E1676" s="78"/>
      <c r="F1676" s="78"/>
      <c r="G1676" s="78"/>
      <c r="H1676" s="109" t="str">
        <f>+H$11</f>
        <v>2020/2021</v>
      </c>
      <c r="I1676" s="109" t="str">
        <f>+'Unit tariffs'!$F$11</f>
        <v>2021/2022</v>
      </c>
      <c r="J1676" s="101"/>
    </row>
    <row r="1677" spans="1:10" ht="12.75">
      <c r="A1677" s="97"/>
      <c r="B1677" s="110"/>
      <c r="C1677" s="78"/>
      <c r="D1677" s="78"/>
      <c r="E1677" s="78"/>
      <c r="F1677" s="78"/>
      <c r="G1677" s="78"/>
      <c r="H1677" s="145"/>
      <c r="I1677" s="78"/>
      <c r="J1677" s="101"/>
    </row>
    <row r="1678" spans="1:10" ht="12.75">
      <c r="A1678" s="97"/>
      <c r="C1678" s="78" t="s">
        <v>443</v>
      </c>
      <c r="D1678">
        <v>13.8</v>
      </c>
      <c r="E1678" s="78" t="s">
        <v>444</v>
      </c>
      <c r="F1678" s="78"/>
      <c r="G1678" s="78"/>
      <c r="H1678" s="118"/>
      <c r="I1678" s="90"/>
      <c r="J1678" s="101"/>
    </row>
    <row r="1679" spans="1:10" ht="12.75">
      <c r="A1679" s="97"/>
      <c r="B1679" s="78"/>
      <c r="C1679" s="78" t="s">
        <v>452</v>
      </c>
      <c r="D1679" s="1">
        <v>3</v>
      </c>
      <c r="E1679" s="78" t="s">
        <v>444</v>
      </c>
      <c r="F1679" s="78" t="s">
        <v>445</v>
      </c>
      <c r="G1679" s="78"/>
      <c r="H1679" s="118"/>
      <c r="I1679" s="90"/>
      <c r="J1679" s="101"/>
    </row>
    <row r="1680" spans="1:10" ht="12.75">
      <c r="A1680" s="97"/>
      <c r="B1680" s="78"/>
      <c r="C1680" s="78" t="s">
        <v>115</v>
      </c>
      <c r="D1680" s="611">
        <f>+F1680</f>
        <v>0</v>
      </c>
      <c r="E1680" s="78" t="s">
        <v>446</v>
      </c>
      <c r="F1680" s="78">
        <v>0</v>
      </c>
      <c r="G1680" s="78"/>
      <c r="H1680" s="118"/>
      <c r="I1680" s="90"/>
      <c r="J1680" s="101"/>
    </row>
    <row r="1681" spans="1:10" ht="12.75">
      <c r="A1681" s="97"/>
      <c r="B1681" s="78"/>
      <c r="C1681" s="78" t="s">
        <v>447</v>
      </c>
      <c r="D1681" s="615">
        <f>(F1681*D1679)</f>
        <v>0</v>
      </c>
      <c r="E1681" s="78" t="s">
        <v>446</v>
      </c>
      <c r="F1681" s="78">
        <v>0</v>
      </c>
      <c r="G1681" s="78" t="s">
        <v>448</v>
      </c>
      <c r="H1681" s="118"/>
      <c r="I1681" s="90"/>
      <c r="J1681" s="101"/>
    </row>
    <row r="1682" spans="1:10" ht="12.75">
      <c r="A1682" s="97"/>
      <c r="B1682" s="78"/>
      <c r="C1682" s="78" t="s">
        <v>449</v>
      </c>
      <c r="D1682" s="200">
        <f>(D1679*31*24*0.33*F1682)</f>
        <v>1230.058373984352</v>
      </c>
      <c r="E1682" s="78" t="s">
        <v>446</v>
      </c>
      <c r="F1682" s="196">
        <f>+'Unit tariffs'!$F$162</f>
        <v>1.6700043092</v>
      </c>
      <c r="G1682" s="78" t="s">
        <v>450</v>
      </c>
      <c r="H1682" s="118"/>
      <c r="I1682" s="90"/>
      <c r="J1682" s="101"/>
    </row>
    <row r="1683" spans="1:10" ht="12.75">
      <c r="A1683" s="97"/>
      <c r="B1683" s="78"/>
      <c r="C1683" s="78" t="s">
        <v>451</v>
      </c>
      <c r="D1683" s="616">
        <f>D1682+D1681+D1680</f>
        <v>1230.058373984352</v>
      </c>
      <c r="E1683" s="78"/>
      <c r="F1683" s="78"/>
      <c r="G1683" s="78"/>
      <c r="H1683" s="118"/>
      <c r="I1683" s="90"/>
      <c r="J1683" s="101"/>
    </row>
    <row r="1684" spans="1:10" ht="12.75">
      <c r="A1684" s="97"/>
      <c r="B1684" s="78"/>
      <c r="C1684" s="78"/>
      <c r="D1684" s="617"/>
      <c r="E1684" s="78"/>
      <c r="F1684" s="78"/>
      <c r="G1684" s="78"/>
      <c r="H1684" s="118"/>
      <c r="I1684" s="90"/>
      <c r="J1684" s="101"/>
    </row>
    <row r="1685" spans="1:10" ht="12.75">
      <c r="A1685" s="97"/>
      <c r="B1685" s="110" t="s">
        <v>454</v>
      </c>
      <c r="D1685" s="110">
        <v>5</v>
      </c>
      <c r="E1685" s="78"/>
      <c r="F1685" s="78"/>
      <c r="G1685" s="78"/>
      <c r="H1685" s="610">
        <v>5266.404</v>
      </c>
      <c r="I1685" s="608">
        <f>+D1683*D1685</f>
        <v>6150.291869921761</v>
      </c>
      <c r="J1685" s="101"/>
    </row>
    <row r="1686" spans="1:10" ht="12.75">
      <c r="A1686" s="97"/>
      <c r="B1686" s="78"/>
      <c r="C1686" s="78"/>
      <c r="D1686" s="78"/>
      <c r="E1686" s="78"/>
      <c r="F1686" s="78"/>
      <c r="G1686" s="78"/>
      <c r="H1686" s="609"/>
      <c r="I1686" s="618"/>
      <c r="J1686" s="101"/>
    </row>
    <row r="1687" spans="1:10" ht="12.75">
      <c r="A1687" s="97"/>
      <c r="B1687" s="78"/>
      <c r="C1687" s="78"/>
      <c r="D1687" s="78"/>
      <c r="E1687" s="78"/>
      <c r="F1687" s="135"/>
      <c r="G1687" s="655" t="s">
        <v>464</v>
      </c>
      <c r="H1687" s="610">
        <f>+ROUND(H1685,-2)</f>
        <v>5300</v>
      </c>
      <c r="I1687" s="608">
        <f>+ROUND(I1685,-2)</f>
        <v>6200</v>
      </c>
      <c r="J1687" s="101"/>
    </row>
    <row r="1688" spans="1:10" ht="12.75">
      <c r="A1688" s="97"/>
      <c r="B1688" s="78"/>
      <c r="C1688" s="78"/>
      <c r="D1688" s="78"/>
      <c r="E1688" s="78"/>
      <c r="F1688" s="135"/>
      <c r="G1688" s="78"/>
      <c r="H1688" s="610"/>
      <c r="I1688" s="608"/>
      <c r="J1688" s="101"/>
    </row>
    <row r="1689" spans="1:10" ht="12.75">
      <c r="A1689" s="97"/>
      <c r="B1689" s="78"/>
      <c r="C1689" s="78"/>
      <c r="D1689" s="78"/>
      <c r="E1689" s="78"/>
      <c r="F1689" s="135"/>
      <c r="G1689" s="78"/>
      <c r="H1689" s="610"/>
      <c r="I1689" s="619">
        <f>+(I1687-H1687)/H1687</f>
        <v>0.16981132075471697</v>
      </c>
      <c r="J1689" s="101"/>
    </row>
    <row r="1690" spans="1:10" ht="12.75">
      <c r="A1690" s="97"/>
      <c r="B1690" s="78"/>
      <c r="C1690" s="78"/>
      <c r="D1690" s="78"/>
      <c r="E1690" s="78"/>
      <c r="F1690" s="78"/>
      <c r="G1690" s="78"/>
      <c r="H1690" s="118"/>
      <c r="I1690" s="90"/>
      <c r="J1690" s="101"/>
    </row>
    <row r="1691" spans="1:10" ht="33.75" customHeight="1">
      <c r="A1691" s="97"/>
      <c r="B1691" s="832" t="s">
        <v>526</v>
      </c>
      <c r="C1691" s="833"/>
      <c r="D1691" s="833"/>
      <c r="E1691" s="833"/>
      <c r="F1691" s="833"/>
      <c r="G1691" s="834"/>
      <c r="H1691" s="118"/>
      <c r="I1691" s="609"/>
      <c r="J1691" s="101"/>
    </row>
    <row r="1692" spans="1:10" ht="12.75">
      <c r="A1692" s="97"/>
      <c r="B1692" s="78"/>
      <c r="C1692" s="78"/>
      <c r="D1692" s="78"/>
      <c r="E1692" s="78"/>
      <c r="F1692" s="78"/>
      <c r="G1692" s="78"/>
      <c r="H1692" s="609"/>
      <c r="I1692" s="609"/>
      <c r="J1692" s="101"/>
    </row>
    <row r="1693" spans="1:10" ht="12.75">
      <c r="A1693" s="97"/>
      <c r="B1693" s="110" t="s">
        <v>453</v>
      </c>
      <c r="C1693" s="78"/>
      <c r="D1693" s="78"/>
      <c r="E1693" s="78"/>
      <c r="F1693" s="78"/>
      <c r="G1693" s="78"/>
      <c r="H1693" s="109" t="str">
        <f>+H$11</f>
        <v>2020/2021</v>
      </c>
      <c r="I1693" s="109" t="str">
        <f>+'Unit tariffs'!$F$11</f>
        <v>2021/2022</v>
      </c>
      <c r="J1693" s="101"/>
    </row>
    <row r="1694" spans="1:10" ht="12.75">
      <c r="A1694" s="97"/>
      <c r="B1694" s="110"/>
      <c r="C1694" s="78"/>
      <c r="D1694" s="78"/>
      <c r="E1694" s="78"/>
      <c r="F1694" s="78"/>
      <c r="G1694" s="78"/>
      <c r="H1694" s="145"/>
      <c r="I1694" s="78"/>
      <c r="J1694" s="101"/>
    </row>
    <row r="1695" spans="1:10" ht="12.75">
      <c r="A1695" s="97"/>
      <c r="C1695" s="78" t="s">
        <v>443</v>
      </c>
      <c r="D1695">
        <v>13.8</v>
      </c>
      <c r="E1695" s="78" t="s">
        <v>444</v>
      </c>
      <c r="F1695" s="78"/>
      <c r="G1695" s="78"/>
      <c r="H1695" s="118"/>
      <c r="I1695" s="90"/>
      <c r="J1695" s="101"/>
    </row>
    <row r="1696" spans="1:10" ht="12.75">
      <c r="A1696" s="97"/>
      <c r="B1696" s="78"/>
      <c r="C1696" s="78" t="s">
        <v>452</v>
      </c>
      <c r="D1696" s="1">
        <v>4.5</v>
      </c>
      <c r="E1696" s="78" t="s">
        <v>444</v>
      </c>
      <c r="F1696" s="78" t="s">
        <v>445</v>
      </c>
      <c r="G1696" s="78"/>
      <c r="H1696" s="118"/>
      <c r="I1696" s="90"/>
      <c r="J1696" s="101"/>
    </row>
    <row r="1697" spans="1:10" ht="12.75">
      <c r="A1697" s="97"/>
      <c r="B1697" s="78"/>
      <c r="C1697" s="78" t="s">
        <v>115</v>
      </c>
      <c r="D1697" s="611">
        <f>+F1697</f>
        <v>0</v>
      </c>
      <c r="E1697" s="78" t="s">
        <v>446</v>
      </c>
      <c r="F1697" s="78">
        <v>0</v>
      </c>
      <c r="G1697" s="78"/>
      <c r="H1697" s="118"/>
      <c r="I1697" s="90"/>
      <c r="J1697" s="101"/>
    </row>
    <row r="1698" spans="1:10" ht="12.75">
      <c r="A1698" s="97"/>
      <c r="B1698" s="78"/>
      <c r="C1698" s="78" t="s">
        <v>447</v>
      </c>
      <c r="D1698" s="615">
        <f>(F1698*D1696)</f>
        <v>0</v>
      </c>
      <c r="E1698" s="78" t="s">
        <v>446</v>
      </c>
      <c r="F1698" s="78">
        <v>0</v>
      </c>
      <c r="G1698" s="78" t="s">
        <v>448</v>
      </c>
      <c r="H1698" s="118"/>
      <c r="I1698" s="90"/>
      <c r="J1698" s="101"/>
    </row>
    <row r="1699" spans="1:10" ht="12.75">
      <c r="A1699" s="97"/>
      <c r="B1699" s="78"/>
      <c r="C1699" s="78" t="s">
        <v>449</v>
      </c>
      <c r="D1699" s="200">
        <f>(D1696*31*24*0.33*F1699)</f>
        <v>1845.0875609765283</v>
      </c>
      <c r="E1699" s="78" t="s">
        <v>446</v>
      </c>
      <c r="F1699" s="196">
        <f>+'Unit tariffs'!$F$162</f>
        <v>1.6700043092</v>
      </c>
      <c r="G1699" s="78" t="s">
        <v>450</v>
      </c>
      <c r="H1699" s="118"/>
      <c r="I1699" s="90"/>
      <c r="J1699" s="101"/>
    </row>
    <row r="1700" spans="1:10" ht="12.75">
      <c r="A1700" s="97"/>
      <c r="B1700" s="78"/>
      <c r="C1700" s="78" t="s">
        <v>451</v>
      </c>
      <c r="D1700" s="616">
        <f>D1699+D1698+D1697</f>
        <v>1845.0875609765283</v>
      </c>
      <c r="E1700" s="78"/>
      <c r="F1700" s="78"/>
      <c r="G1700" s="78"/>
      <c r="H1700" s="118"/>
      <c r="I1700" s="90"/>
      <c r="J1700" s="101"/>
    </row>
    <row r="1701" spans="1:10" ht="17.25" customHeight="1">
      <c r="A1701" s="97"/>
      <c r="B1701" s="78"/>
      <c r="C1701" s="78"/>
      <c r="D1701" s="78"/>
      <c r="E1701" s="78"/>
      <c r="F1701" s="78"/>
      <c r="G1701" s="78"/>
      <c r="H1701" s="609"/>
      <c r="I1701" s="609"/>
      <c r="J1701" s="101"/>
    </row>
    <row r="1702" spans="1:11" ht="17.25" customHeight="1">
      <c r="A1702" s="97"/>
      <c r="B1702" s="110" t="s">
        <v>454</v>
      </c>
      <c r="D1702" s="110">
        <v>5</v>
      </c>
      <c r="E1702" s="78"/>
      <c r="F1702" s="78"/>
      <c r="G1702" s="78"/>
      <c r="H1702" s="610">
        <v>7899.606000000002</v>
      </c>
      <c r="I1702" s="608">
        <f>+D1700*D1702</f>
        <v>9225.437804882642</v>
      </c>
      <c r="J1702" s="101"/>
      <c r="K1702" s="610"/>
    </row>
    <row r="1703" spans="1:10" ht="17.25" customHeight="1">
      <c r="A1703" s="97"/>
      <c r="C1703" s="78"/>
      <c r="D1703" s="110"/>
      <c r="E1703" s="78"/>
      <c r="F1703" s="78"/>
      <c r="G1703" s="78"/>
      <c r="H1703" s="609"/>
      <c r="I1703" s="608"/>
      <c r="J1703" s="101"/>
    </row>
    <row r="1704" spans="1:10" ht="17.25" customHeight="1">
      <c r="A1704" s="97"/>
      <c r="B1704" s="78"/>
      <c r="C1704" s="78"/>
      <c r="D1704" s="78"/>
      <c r="E1704" s="78"/>
      <c r="F1704" s="78"/>
      <c r="G1704" s="655" t="s">
        <v>464</v>
      </c>
      <c r="H1704" s="610">
        <f>+ROUND(H1702,-2)</f>
        <v>7900</v>
      </c>
      <c r="I1704" s="608">
        <f>+ROUND(I1702,-2)</f>
        <v>9200</v>
      </c>
      <c r="J1704" s="101"/>
    </row>
    <row r="1705" spans="1:10" ht="17.25" customHeight="1">
      <c r="A1705" s="97"/>
      <c r="B1705" s="78"/>
      <c r="C1705" s="78"/>
      <c r="D1705" s="78"/>
      <c r="E1705" s="78"/>
      <c r="F1705" s="78"/>
      <c r="G1705" s="78"/>
      <c r="H1705" s="610"/>
      <c r="I1705" s="608"/>
      <c r="J1705" s="101"/>
    </row>
    <row r="1706" spans="1:10" ht="13.5" thickBot="1">
      <c r="A1706" s="462"/>
      <c r="B1706" s="130"/>
      <c r="C1706" s="130"/>
      <c r="D1706" s="130"/>
      <c r="E1706" s="130"/>
      <c r="F1706" s="130"/>
      <c r="G1706" s="78"/>
      <c r="H1706" s="610"/>
      <c r="I1706" s="619">
        <f>+(I1704-H1704)/H1704</f>
        <v>0.16455696202531644</v>
      </c>
      <c r="J1706" s="464"/>
    </row>
    <row r="1707" spans="1:10" ht="14.25" thickBot="1" thickTop="1">
      <c r="A1707" s="97"/>
      <c r="B1707" s="78"/>
      <c r="C1707" s="78"/>
      <c r="D1707" s="78"/>
      <c r="E1707" s="78"/>
      <c r="F1707" s="78"/>
      <c r="G1707" s="78"/>
      <c r="H1707" s="78"/>
      <c r="I1707" s="78"/>
      <c r="J1707" s="101"/>
    </row>
    <row r="1708" spans="1:10" ht="13.5" thickTop="1">
      <c r="A1708" s="459"/>
      <c r="B1708" s="127" t="s">
        <v>1</v>
      </c>
      <c r="C1708" s="127"/>
      <c r="D1708" s="127"/>
      <c r="E1708" s="127"/>
      <c r="F1708" s="127"/>
      <c r="G1708" s="127"/>
      <c r="H1708" s="127"/>
      <c r="I1708" s="127"/>
      <c r="J1708" s="101"/>
    </row>
    <row r="1709" spans="1:10" ht="12.75">
      <c r="A1709" s="97"/>
      <c r="B1709" s="102" t="s">
        <v>527</v>
      </c>
      <c r="C1709" s="103"/>
      <c r="D1709" s="103"/>
      <c r="E1709" s="103"/>
      <c r="F1709" s="103"/>
      <c r="G1709" s="103"/>
      <c r="H1709" s="104"/>
      <c r="I1709" s="78"/>
      <c r="J1709" s="101"/>
    </row>
    <row r="1710" spans="1:10" ht="12.75">
      <c r="A1710" s="97"/>
      <c r="B1710" s="159" t="s">
        <v>317</v>
      </c>
      <c r="C1710" s="106"/>
      <c r="D1710" s="106"/>
      <c r="E1710" s="106"/>
      <c r="F1710" s="106"/>
      <c r="G1710" s="106"/>
      <c r="H1710" s="128"/>
      <c r="I1710" s="78"/>
      <c r="J1710" s="111"/>
    </row>
    <row r="1711" spans="1:10" ht="12.75">
      <c r="A1711" s="97"/>
      <c r="B1711" s="110"/>
      <c r="C1711" s="78"/>
      <c r="D1711" s="78"/>
      <c r="E1711" s="78"/>
      <c r="F1711" s="78"/>
      <c r="G1711" s="78"/>
      <c r="H1711" s="78"/>
      <c r="I1711" s="78"/>
      <c r="J1711" s="111"/>
    </row>
    <row r="1712" spans="1:10" ht="12.75">
      <c r="A1712" s="97"/>
      <c r="B1712" s="78"/>
      <c r="C1712" s="78"/>
      <c r="D1712" s="78"/>
      <c r="E1712" s="78"/>
      <c r="F1712" s="78"/>
      <c r="G1712" s="78"/>
      <c r="H1712" s="109" t="str">
        <f>+H$11</f>
        <v>2020/2021</v>
      </c>
      <c r="I1712" s="109" t="str">
        <f>+'Unit tariffs'!$F$11</f>
        <v>2021/2022</v>
      </c>
      <c r="J1712" s="111"/>
    </row>
    <row r="1713" spans="1:10" ht="12.75">
      <c r="A1713" s="97"/>
      <c r="B1713" s="110" t="s">
        <v>41</v>
      </c>
      <c r="C1713" s="78"/>
      <c r="D1713" s="78"/>
      <c r="E1713" s="78"/>
      <c r="F1713" s="78"/>
      <c r="G1713" s="78"/>
      <c r="H1713" s="145"/>
      <c r="I1713" s="78"/>
      <c r="J1713" s="101"/>
    </row>
    <row r="1714" spans="1:10" ht="12.75">
      <c r="A1714" s="97"/>
      <c r="B1714" s="78"/>
      <c r="C1714" s="78"/>
      <c r="D1714" s="78"/>
      <c r="E1714" s="78"/>
      <c r="F1714" s="78"/>
      <c r="G1714" s="78"/>
      <c r="H1714" s="145"/>
      <c r="I1714" s="78"/>
      <c r="J1714" s="458" t="s">
        <v>315</v>
      </c>
    </row>
    <row r="1715" spans="1:10" ht="12.75">
      <c r="A1715" s="97"/>
      <c r="B1715" s="78">
        <v>1</v>
      </c>
      <c r="C1715" s="78" t="str">
        <f>'Unit tariffs'!B35</f>
        <v>Prepaid meter (Split) 3 phase - </v>
      </c>
      <c r="D1715" s="78"/>
      <c r="E1715" s="78"/>
      <c r="F1715" s="78"/>
      <c r="G1715" s="78"/>
      <c r="H1715" s="80">
        <v>6529.593</v>
      </c>
      <c r="I1715" s="199">
        <f>VLOOKUP($C1715,'Unit tariffs'!$B$21:$F$122,5,FALSE)*$B1715</f>
        <v>7028.362490897999</v>
      </c>
      <c r="J1715" s="461" t="e">
        <f>IF(+I1715*'Unit tariffs'!#REF!&gt;'Unit tariffs'!#REF!,'Unit tariffs'!#REF!,+I1715*'Unit tariffs'!#REF!)</f>
        <v>#REF!</v>
      </c>
    </row>
    <row r="1716" spans="1:10" ht="12.75">
      <c r="A1716" s="97"/>
      <c r="B1716" s="78">
        <v>1</v>
      </c>
      <c r="C1716" s="78" t="str">
        <f>+'Unit tariffs'!B57</f>
        <v>Cable joint for 16mm x 4 core cable</v>
      </c>
      <c r="D1716" s="78"/>
      <c r="E1716" s="78"/>
      <c r="F1716" s="78"/>
      <c r="G1716" s="78"/>
      <c r="H1716" s="80">
        <v>57.49357769999999</v>
      </c>
      <c r="I1716" s="80">
        <f>VLOOKUP($C1716,'Unit tariffs'!$B$21:$F$122,5,FALSE)*$B1716</f>
        <v>1271.4692400000001</v>
      </c>
      <c r="J1716" s="461" t="e">
        <f>IF(+I1716*'Unit tariffs'!#REF!&gt;'Unit tariffs'!#REF!,'Unit tariffs'!#REF!,+I1716*'Unit tariffs'!#REF!)</f>
        <v>#REF!</v>
      </c>
    </row>
    <row r="1717" spans="1:10" ht="12.75">
      <c r="A1717" s="97"/>
      <c r="B1717" s="78">
        <v>2</v>
      </c>
      <c r="C1717" s="78" t="str">
        <f>'Unit tariffs'!B21</f>
        <v>Installation material</v>
      </c>
      <c r="D1717" s="78"/>
      <c r="E1717" s="78"/>
      <c r="F1717" s="78"/>
      <c r="G1717" s="78"/>
      <c r="H1717" s="87">
        <v>220.029</v>
      </c>
      <c r="I1717" s="87">
        <f>VLOOKUP($C1717,'Unit tariffs'!$B$21:$F$122,5,FALSE)*$B1717</f>
        <v>521</v>
      </c>
      <c r="J1717" s="461" t="e">
        <f>IF(+I1717*'Unit tariffs'!#REF!&gt;'Unit tariffs'!#REF!,'Unit tariffs'!#REF!,+I1717*'Unit tariffs'!#REF!)</f>
        <v>#REF!</v>
      </c>
    </row>
    <row r="1718" spans="1:10" ht="12.75">
      <c r="A1718" s="97"/>
      <c r="B1718" s="78"/>
      <c r="C1718" s="78"/>
      <c r="D1718" s="78"/>
      <c r="E1718" s="78"/>
      <c r="F1718" s="78"/>
      <c r="G1718" s="80"/>
      <c r="H1718" s="80">
        <v>6807.1155777</v>
      </c>
      <c r="I1718" s="80">
        <f>SUM(I1715:I1717)</f>
        <v>8820.831730897999</v>
      </c>
      <c r="J1718" s="111"/>
    </row>
    <row r="1719" spans="1:10" ht="12.75">
      <c r="A1719" s="97"/>
      <c r="B1719" s="110" t="s">
        <v>42</v>
      </c>
      <c r="C1719" s="78"/>
      <c r="D1719" s="78"/>
      <c r="E1719" s="78"/>
      <c r="F1719" s="78"/>
      <c r="G1719" s="78"/>
      <c r="H1719" s="78"/>
      <c r="I1719" s="78"/>
      <c r="J1719" s="111"/>
    </row>
    <row r="1720" spans="1:10" ht="12.75">
      <c r="A1720" s="97"/>
      <c r="B1720" s="78"/>
      <c r="C1720" s="78"/>
      <c r="D1720" s="78"/>
      <c r="E1720" s="78"/>
      <c r="F1720" s="78"/>
      <c r="G1720" s="78"/>
      <c r="H1720" s="78"/>
      <c r="I1720" s="78"/>
      <c r="J1720" s="101"/>
    </row>
    <row r="1721" spans="1:10" ht="12.75">
      <c r="A1721" s="97"/>
      <c r="B1721" s="78">
        <v>5</v>
      </c>
      <c r="C1721" s="78" t="str">
        <f>'Unit tariffs'!B$86</f>
        <v>hour-artisan </v>
      </c>
      <c r="D1721" s="78"/>
      <c r="E1721" s="78"/>
      <c r="F1721" s="78"/>
      <c r="G1721" s="78"/>
      <c r="H1721" s="80">
        <v>845.3461622692307</v>
      </c>
      <c r="I1721" s="80">
        <f>VLOOKUP($C1721,'Unit tariffs'!$B$21:$F$122,5,FALSE)*$B1721</f>
        <v>1614.2611586538462</v>
      </c>
      <c r="J1721" s="116"/>
    </row>
    <row r="1722" spans="1:10" ht="12.75">
      <c r="A1722" s="97"/>
      <c r="B1722" s="78">
        <f>+B1721</f>
        <v>5</v>
      </c>
      <c r="C1722" s="78" t="str">
        <f>'Unit tariffs'!B$84</f>
        <v>hour-artisan assistant</v>
      </c>
      <c r="D1722" s="78"/>
      <c r="E1722" s="78"/>
      <c r="F1722" s="78"/>
      <c r="G1722" s="78"/>
      <c r="H1722" s="87">
        <v>373.7232672461539</v>
      </c>
      <c r="I1722" s="87">
        <f>VLOOKUP($C1722,'Unit tariffs'!$B$21:$F$122,5,FALSE)*$B1722</f>
        <v>642.6790384615385</v>
      </c>
      <c r="J1722" s="111"/>
    </row>
    <row r="1723" spans="1:10" ht="12.75">
      <c r="A1723" s="97"/>
      <c r="B1723" s="78"/>
      <c r="C1723" s="78"/>
      <c r="D1723" s="78"/>
      <c r="E1723" s="78"/>
      <c r="F1723" s="78"/>
      <c r="G1723" s="78"/>
      <c r="H1723" s="80">
        <v>1219.0694295153846</v>
      </c>
      <c r="I1723" s="80">
        <f>SUM(I1721:I1722)</f>
        <v>2256.9401971153848</v>
      </c>
      <c r="J1723" s="119"/>
    </row>
    <row r="1724" spans="1:10" ht="12.75">
      <c r="A1724" s="97"/>
      <c r="B1724" s="110" t="s">
        <v>43</v>
      </c>
      <c r="C1724" s="78"/>
      <c r="D1724" s="78"/>
      <c r="E1724" s="78"/>
      <c r="F1724" s="78"/>
      <c r="G1724" s="78"/>
      <c r="H1724" s="78"/>
      <c r="I1724" s="78"/>
      <c r="J1724" s="101"/>
    </row>
    <row r="1725" spans="1:10" ht="12.75">
      <c r="A1725" s="97"/>
      <c r="B1725" s="78"/>
      <c r="C1725" s="78"/>
      <c r="D1725" s="78"/>
      <c r="E1725" s="78"/>
      <c r="F1725" s="78"/>
      <c r="G1725" s="78"/>
      <c r="H1725" s="78"/>
      <c r="I1725" s="78"/>
      <c r="J1725" s="101"/>
    </row>
    <row r="1726" spans="1:10" ht="12.75">
      <c r="A1726" s="97"/>
      <c r="B1726" s="78">
        <v>24</v>
      </c>
      <c r="C1726" s="78" t="str">
        <f>'Unit tariffs'!B$110</f>
        <v>km-truck with platform</v>
      </c>
      <c r="D1726" s="78"/>
      <c r="E1726" s="78"/>
      <c r="F1726" s="78"/>
      <c r="G1726" s="78"/>
      <c r="H1726" s="80">
        <v>730.93488</v>
      </c>
      <c r="I1726" s="80">
        <f>VLOOKUP($C1726,'Unit tariffs'!$B$21:$F$122,5,FALSE)*$B1726</f>
        <v>970.1459533764145</v>
      </c>
      <c r="J1726" s="101"/>
    </row>
    <row r="1727" spans="1:10" ht="12.75">
      <c r="A1727" s="97"/>
      <c r="B1727" s="78">
        <v>4</v>
      </c>
      <c r="C1727" s="78" t="str">
        <f>'Unit tariffs'!B$111</f>
        <v>hour-truck with platform</v>
      </c>
      <c r="D1727" s="78"/>
      <c r="E1727" s="78"/>
      <c r="F1727" s="78"/>
      <c r="G1727" s="78"/>
      <c r="H1727" s="87">
        <v>628.94</v>
      </c>
      <c r="I1727" s="80">
        <f>VLOOKUP($C1727,'Unit tariffs'!$B$21:$F$122,5,FALSE)*$B1727</f>
        <v>786.8883582022</v>
      </c>
      <c r="J1727" s="101"/>
    </row>
    <row r="1728" spans="1:10" ht="12.75">
      <c r="A1728" s="97"/>
      <c r="B1728" s="78"/>
      <c r="C1728" s="78"/>
      <c r="D1728" s="78"/>
      <c r="E1728" s="78"/>
      <c r="F1728" s="78"/>
      <c r="G1728" s="78"/>
      <c r="H1728" s="146">
        <v>1359.87488</v>
      </c>
      <c r="I1728" s="146">
        <f>SUM(I1726:I1727)</f>
        <v>1757.0343115786145</v>
      </c>
      <c r="J1728" s="101"/>
    </row>
    <row r="1729" spans="1:10" ht="13.5" thickBot="1">
      <c r="A1729" s="97"/>
      <c r="B1729" s="110"/>
      <c r="C1729" s="78"/>
      <c r="D1729" s="112"/>
      <c r="E1729" s="78"/>
      <c r="F1729" s="78"/>
      <c r="G1729" s="78"/>
      <c r="H1729" s="114"/>
      <c r="I1729" s="114"/>
      <c r="J1729" s="101"/>
    </row>
    <row r="1730" spans="1:10" ht="13.5" thickTop="1">
      <c r="A1730" s="97"/>
      <c r="B1730" s="78"/>
      <c r="C1730" s="78"/>
      <c r="D1730" s="78"/>
      <c r="E1730" s="78"/>
      <c r="F1730" s="78"/>
      <c r="G1730" s="80"/>
      <c r="H1730" s="80">
        <v>9386.059887215386</v>
      </c>
      <c r="I1730" s="80">
        <f>I1728+I1723+I1718</f>
        <v>12834.806239591999</v>
      </c>
      <c r="J1730" s="101"/>
    </row>
    <row r="1731" spans="1:10" ht="13.5" thickBot="1">
      <c r="A1731" s="97"/>
      <c r="B1731" s="110" t="str">
        <f>'Unit tariffs'!$B$7</f>
        <v>Administration Levy (Indirect Cost)</v>
      </c>
      <c r="C1731" s="78"/>
      <c r="D1731" s="112">
        <f>'Unit tariffs'!$C$7</f>
        <v>0.1</v>
      </c>
      <c r="E1731" s="78" t="s">
        <v>312</v>
      </c>
      <c r="F1731" s="196">
        <f>+'Unit tariffs'!$F$7</f>
        <v>10000</v>
      </c>
      <c r="G1731" s="80"/>
      <c r="H1731" s="114">
        <v>2502.323565931622</v>
      </c>
      <c r="I1731" s="114">
        <f>IF(I1730*$D1731&gt;='Unit tariffs'!$E$7,'Unit tariffs'!$E$7,I1730*$D1731)</f>
        <v>1283.4806239591999</v>
      </c>
      <c r="J1731" s="464"/>
    </row>
    <row r="1732" spans="1:10" ht="13.5" thickTop="1">
      <c r="A1732" s="97"/>
      <c r="B1732" s="110" t="s">
        <v>44</v>
      </c>
      <c r="C1732" s="78"/>
      <c r="D1732" s="78"/>
      <c r="E1732" s="78"/>
      <c r="F1732" s="78"/>
      <c r="G1732" s="80"/>
      <c r="H1732" s="115">
        <v>11888.383453147007</v>
      </c>
      <c r="I1732" s="115">
        <f>SUM(I1730:I1731)</f>
        <v>14118.286863551199</v>
      </c>
      <c r="J1732" s="464"/>
    </row>
    <row r="1733" spans="1:10" ht="12.75">
      <c r="A1733" s="97"/>
      <c r="B1733" s="78"/>
      <c r="C1733" s="78"/>
      <c r="D1733" s="78"/>
      <c r="E1733" s="78"/>
      <c r="F1733" s="78"/>
      <c r="G1733" s="78"/>
      <c r="H1733" s="78"/>
      <c r="I1733" s="78"/>
      <c r="J1733" s="111"/>
    </row>
    <row r="1734" spans="1:10" ht="12.75">
      <c r="A1734" s="97"/>
      <c r="B1734" s="110" t="s">
        <v>45</v>
      </c>
      <c r="C1734" s="78"/>
      <c r="D1734" s="78"/>
      <c r="E1734" s="78"/>
      <c r="F1734" s="78"/>
      <c r="G1734" s="78"/>
      <c r="H1734" s="90">
        <v>11890</v>
      </c>
      <c r="I1734" s="90">
        <f>ROUND(I1732,-1)</f>
        <v>14120</v>
      </c>
      <c r="J1734" s="464"/>
    </row>
    <row r="1735" spans="1:10" ht="12.75">
      <c r="A1735" s="97"/>
      <c r="B1735" s="78"/>
      <c r="C1735" s="78"/>
      <c r="D1735" s="78"/>
      <c r="E1735" s="78"/>
      <c r="F1735" s="78"/>
      <c r="G1735" s="78"/>
      <c r="H1735" s="78"/>
      <c r="I1735" s="80"/>
      <c r="J1735" s="101"/>
    </row>
    <row r="1736" spans="1:10" ht="12.75">
      <c r="A1736" s="97"/>
      <c r="B1736" s="78"/>
      <c r="C1736" s="78"/>
      <c r="D1736" s="78"/>
      <c r="E1736" s="78"/>
      <c r="F1736" s="78"/>
      <c r="G1736" s="78"/>
      <c r="H1736" s="118">
        <v>0.24242424242424243</v>
      </c>
      <c r="I1736" s="118">
        <f>(I1734-H1734)/H1734</f>
        <v>0.18755256518082422</v>
      </c>
      <c r="J1736" s="101"/>
    </row>
    <row r="1737" spans="1:10" ht="12.75">
      <c r="A1737" s="97"/>
      <c r="B1737" s="78"/>
      <c r="C1737" s="78"/>
      <c r="D1737" s="78"/>
      <c r="E1737" s="78"/>
      <c r="F1737" s="78"/>
      <c r="G1737" s="78"/>
      <c r="H1737" s="118"/>
      <c r="I1737" s="118"/>
      <c r="J1737" s="101"/>
    </row>
    <row r="1738" spans="1:10" ht="12.75" customHeight="1">
      <c r="A1738" s="97"/>
      <c r="B1738" s="832" t="s">
        <v>528</v>
      </c>
      <c r="C1738" s="833"/>
      <c r="D1738" s="833"/>
      <c r="E1738" s="833"/>
      <c r="F1738" s="833"/>
      <c r="G1738" s="834"/>
      <c r="H1738" s="118"/>
      <c r="I1738" s="90"/>
      <c r="J1738" s="101"/>
    </row>
    <row r="1739" spans="1:10" ht="12.75">
      <c r="A1739" s="97"/>
      <c r="B1739" s="78"/>
      <c r="C1739" s="78"/>
      <c r="D1739" s="78"/>
      <c r="E1739" s="78"/>
      <c r="F1739" s="78"/>
      <c r="G1739" s="78"/>
      <c r="H1739" s="118"/>
      <c r="I1739" s="90"/>
      <c r="J1739" s="101"/>
    </row>
    <row r="1740" spans="1:10" ht="12.75">
      <c r="A1740" s="97"/>
      <c r="B1740" s="110" t="s">
        <v>453</v>
      </c>
      <c r="C1740" s="78"/>
      <c r="D1740" s="78"/>
      <c r="E1740" s="78"/>
      <c r="F1740" s="78"/>
      <c r="G1740" s="78"/>
      <c r="H1740" s="109" t="str">
        <f>+H$11</f>
        <v>2020/2021</v>
      </c>
      <c r="I1740" s="109" t="str">
        <f>+'Unit tariffs'!$F$11</f>
        <v>2021/2022</v>
      </c>
      <c r="J1740" s="101"/>
    </row>
    <row r="1741" spans="1:10" ht="12.75">
      <c r="A1741" s="97"/>
      <c r="B1741" s="110"/>
      <c r="C1741" s="78"/>
      <c r="D1741" s="78"/>
      <c r="E1741" s="78"/>
      <c r="F1741" s="78"/>
      <c r="G1741" s="78"/>
      <c r="H1741" s="145"/>
      <c r="I1741" s="78"/>
      <c r="J1741" s="101"/>
    </row>
    <row r="1742" spans="1:10" ht="12.75">
      <c r="A1742" s="97"/>
      <c r="C1742" s="78" t="s">
        <v>443</v>
      </c>
      <c r="D1742">
        <v>44</v>
      </c>
      <c r="E1742" s="78" t="s">
        <v>444</v>
      </c>
      <c r="F1742" s="78"/>
      <c r="G1742" s="78"/>
      <c r="H1742" s="118"/>
      <c r="I1742" s="90"/>
      <c r="J1742" s="101"/>
    </row>
    <row r="1743" spans="1:10" ht="12.75">
      <c r="A1743" s="97"/>
      <c r="B1743" s="78"/>
      <c r="C1743" s="78" t="s">
        <v>452</v>
      </c>
      <c r="D1743" s="1">
        <v>7.5</v>
      </c>
      <c r="E1743" s="78" t="s">
        <v>444</v>
      </c>
      <c r="F1743" s="78" t="s">
        <v>445</v>
      </c>
      <c r="G1743" s="78"/>
      <c r="H1743" s="118"/>
      <c r="I1743" s="90"/>
      <c r="J1743" s="101"/>
    </row>
    <row r="1744" spans="1:10" ht="12.75">
      <c r="A1744" s="97"/>
      <c r="B1744" s="78"/>
      <c r="C1744" s="78" t="s">
        <v>115</v>
      </c>
      <c r="D1744" s="611">
        <f>+F1744</f>
        <v>0</v>
      </c>
      <c r="E1744" s="78" t="s">
        <v>446</v>
      </c>
      <c r="F1744" s="78">
        <v>0</v>
      </c>
      <c r="G1744" s="78"/>
      <c r="H1744" s="118"/>
      <c r="I1744" s="90"/>
      <c r="J1744" s="101"/>
    </row>
    <row r="1745" spans="1:10" ht="12.75">
      <c r="A1745" s="97"/>
      <c r="B1745" s="78"/>
      <c r="C1745" s="78" t="s">
        <v>447</v>
      </c>
      <c r="D1745" s="615">
        <f>(F1745*D1743)</f>
        <v>0</v>
      </c>
      <c r="E1745" s="78" t="s">
        <v>446</v>
      </c>
      <c r="F1745" s="78">
        <v>0</v>
      </c>
      <c r="G1745" s="78" t="s">
        <v>448</v>
      </c>
      <c r="H1745" s="118"/>
      <c r="I1745" s="90"/>
      <c r="J1745" s="101"/>
    </row>
    <row r="1746" spans="1:10" ht="12.75">
      <c r="A1746" s="97"/>
      <c r="B1746" s="78"/>
      <c r="C1746" s="78" t="s">
        <v>449</v>
      </c>
      <c r="D1746" s="200">
        <f>(D1743*31*24*0.33*F1746)</f>
        <v>3075.1459349608804</v>
      </c>
      <c r="E1746" s="78" t="s">
        <v>446</v>
      </c>
      <c r="F1746" s="196">
        <f>+'Unit tariffs'!$F$162</f>
        <v>1.6700043092</v>
      </c>
      <c r="G1746" s="78" t="s">
        <v>450</v>
      </c>
      <c r="H1746" s="118"/>
      <c r="I1746" s="90"/>
      <c r="J1746" s="101"/>
    </row>
    <row r="1747" spans="1:10" ht="12.75">
      <c r="A1747" s="97"/>
      <c r="B1747" s="78"/>
      <c r="C1747" s="78" t="s">
        <v>451</v>
      </c>
      <c r="D1747" s="616">
        <f>D1746+D1745+D1744</f>
        <v>3075.1459349608804</v>
      </c>
      <c r="E1747" s="78"/>
      <c r="F1747" s="78"/>
      <c r="G1747" s="78"/>
      <c r="H1747" s="118"/>
      <c r="I1747" s="90"/>
      <c r="J1747" s="101"/>
    </row>
    <row r="1748" spans="1:10" ht="12.75">
      <c r="A1748" s="97"/>
      <c r="B1748" s="78"/>
      <c r="C1748" s="78"/>
      <c r="D1748" s="617"/>
      <c r="E1748" s="78"/>
      <c r="F1748" s="78"/>
      <c r="G1748" s="78"/>
      <c r="H1748" s="118"/>
      <c r="I1748" s="90"/>
      <c r="J1748" s="101"/>
    </row>
    <row r="1749" spans="1:10" ht="12.75">
      <c r="A1749" s="97"/>
      <c r="B1749" s="110" t="s">
        <v>454</v>
      </c>
      <c r="D1749" s="110">
        <v>5</v>
      </c>
      <c r="E1749" s="78"/>
      <c r="F1749" s="78"/>
      <c r="G1749" s="78"/>
      <c r="H1749" s="610">
        <v>13166.010000000002</v>
      </c>
      <c r="I1749" s="608">
        <f>+D1747*D1749</f>
        <v>15375.729674804403</v>
      </c>
      <c r="J1749" s="101"/>
    </row>
    <row r="1750" spans="1:10" ht="12.75">
      <c r="A1750" s="97"/>
      <c r="B1750" s="78"/>
      <c r="C1750" s="78"/>
      <c r="D1750" s="78"/>
      <c r="E1750" s="78"/>
      <c r="F1750" s="78"/>
      <c r="G1750" s="78"/>
      <c r="H1750" s="609"/>
      <c r="I1750" s="618"/>
      <c r="J1750" s="101"/>
    </row>
    <row r="1751" spans="1:11" ht="12.75">
      <c r="A1751" s="97"/>
      <c r="B1751" s="78"/>
      <c r="C1751" s="78"/>
      <c r="D1751" s="78"/>
      <c r="E1751" s="78"/>
      <c r="F1751" s="135"/>
      <c r="G1751" s="655" t="s">
        <v>464</v>
      </c>
      <c r="H1751" s="610">
        <f>+ROUND(H1749,-2)</f>
        <v>13200</v>
      </c>
      <c r="I1751" s="608">
        <f>+ROUND(I1749,-2)</f>
        <v>15400</v>
      </c>
      <c r="J1751" s="101"/>
      <c r="K1751" s="608"/>
    </row>
    <row r="1752" spans="1:10" ht="12.75">
      <c r="A1752" s="97"/>
      <c r="B1752" s="78"/>
      <c r="C1752" s="78"/>
      <c r="D1752" s="78"/>
      <c r="E1752" s="78"/>
      <c r="F1752" s="135"/>
      <c r="G1752" s="78"/>
      <c r="H1752" s="610"/>
      <c r="I1752" s="608"/>
      <c r="J1752" s="101"/>
    </row>
    <row r="1753" spans="1:10" ht="12.75">
      <c r="A1753" s="97"/>
      <c r="B1753" s="78"/>
      <c r="C1753" s="78"/>
      <c r="D1753" s="78"/>
      <c r="E1753" s="78"/>
      <c r="F1753" s="135"/>
      <c r="G1753" s="78"/>
      <c r="H1753" s="610"/>
      <c r="I1753" s="619">
        <f>+(I1751-H1751)/H1751</f>
        <v>0.16666666666666666</v>
      </c>
      <c r="J1753" s="101"/>
    </row>
    <row r="1754" spans="1:10" ht="12.75">
      <c r="A1754" s="97"/>
      <c r="B1754" s="78"/>
      <c r="C1754" s="78"/>
      <c r="D1754" s="78"/>
      <c r="E1754" s="78"/>
      <c r="F1754" s="78"/>
      <c r="G1754" s="78"/>
      <c r="H1754" s="118"/>
      <c r="I1754" s="609"/>
      <c r="J1754" s="101"/>
    </row>
    <row r="1755" spans="1:10" ht="33.75" customHeight="1">
      <c r="A1755" s="97"/>
      <c r="B1755" s="832" t="s">
        <v>529</v>
      </c>
      <c r="C1755" s="833"/>
      <c r="D1755" s="833"/>
      <c r="E1755" s="833"/>
      <c r="F1755" s="833"/>
      <c r="G1755" s="834"/>
      <c r="H1755" s="118"/>
      <c r="I1755" s="609"/>
      <c r="J1755" s="101"/>
    </row>
    <row r="1756" spans="1:10" ht="12.75">
      <c r="A1756" s="97"/>
      <c r="B1756" s="78"/>
      <c r="C1756" s="78"/>
      <c r="D1756" s="78"/>
      <c r="E1756" s="78"/>
      <c r="F1756" s="78"/>
      <c r="G1756" s="78"/>
      <c r="H1756" s="118"/>
      <c r="I1756" s="90"/>
      <c r="J1756" s="101"/>
    </row>
    <row r="1757" spans="1:10" ht="12.75">
      <c r="A1757" s="97"/>
      <c r="B1757" s="110" t="s">
        <v>453</v>
      </c>
      <c r="C1757" s="78"/>
      <c r="D1757" s="78"/>
      <c r="E1757" s="78"/>
      <c r="F1757" s="78"/>
      <c r="G1757" s="78"/>
      <c r="H1757" s="109" t="str">
        <f>+H$11</f>
        <v>2020/2021</v>
      </c>
      <c r="I1757" s="109" t="str">
        <f>+'Unit tariffs'!$F$11</f>
        <v>2021/2022</v>
      </c>
      <c r="J1757" s="101"/>
    </row>
    <row r="1758" spans="1:10" ht="12.75">
      <c r="A1758" s="97"/>
      <c r="B1758" s="110"/>
      <c r="C1758" s="78"/>
      <c r="D1758" s="78"/>
      <c r="E1758" s="78"/>
      <c r="F1758" s="78"/>
      <c r="G1758" s="78"/>
      <c r="H1758" s="145"/>
      <c r="I1758" s="78"/>
      <c r="J1758" s="101"/>
    </row>
    <row r="1759" spans="1:10" ht="12.75">
      <c r="A1759" s="97"/>
      <c r="C1759" s="78" t="s">
        <v>443</v>
      </c>
      <c r="D1759">
        <v>44</v>
      </c>
      <c r="E1759" s="78" t="s">
        <v>444</v>
      </c>
      <c r="F1759" s="78"/>
      <c r="G1759" s="78"/>
      <c r="H1759" s="118"/>
      <c r="I1759" s="90"/>
      <c r="J1759" s="101"/>
    </row>
    <row r="1760" spans="1:10" ht="12.75">
      <c r="A1760" s="97"/>
      <c r="B1760" s="78"/>
      <c r="C1760" s="78" t="s">
        <v>452</v>
      </c>
      <c r="D1760" s="1">
        <v>15</v>
      </c>
      <c r="E1760" s="78" t="s">
        <v>444</v>
      </c>
      <c r="F1760" s="78" t="s">
        <v>445</v>
      </c>
      <c r="G1760" s="78"/>
      <c r="H1760" s="118"/>
      <c r="I1760" s="90"/>
      <c r="J1760" s="101"/>
    </row>
    <row r="1761" spans="1:10" ht="12.75">
      <c r="A1761" s="97"/>
      <c r="B1761" s="78"/>
      <c r="C1761" s="78" t="s">
        <v>115</v>
      </c>
      <c r="D1761" s="611">
        <f>+F1761</f>
        <v>0</v>
      </c>
      <c r="E1761" s="78" t="s">
        <v>446</v>
      </c>
      <c r="F1761" s="78">
        <v>0</v>
      </c>
      <c r="G1761" s="78"/>
      <c r="H1761" s="118"/>
      <c r="I1761" s="90"/>
      <c r="J1761" s="101"/>
    </row>
    <row r="1762" spans="1:10" ht="12.75">
      <c r="A1762" s="97"/>
      <c r="B1762" s="78"/>
      <c r="C1762" s="78" t="s">
        <v>447</v>
      </c>
      <c r="D1762" s="615">
        <f>(F1762*D1760)</f>
        <v>0</v>
      </c>
      <c r="E1762" s="78" t="s">
        <v>446</v>
      </c>
      <c r="F1762" s="78">
        <v>0</v>
      </c>
      <c r="G1762" s="78" t="s">
        <v>448</v>
      </c>
      <c r="H1762" s="118"/>
      <c r="I1762" s="90"/>
      <c r="J1762" s="101"/>
    </row>
    <row r="1763" spans="1:10" ht="12.75">
      <c r="A1763" s="97"/>
      <c r="B1763" s="78"/>
      <c r="C1763" s="78" t="s">
        <v>449</v>
      </c>
      <c r="D1763" s="200">
        <f>(D1760*31*24*0.33*F1763)</f>
        <v>6150.291869921761</v>
      </c>
      <c r="E1763" s="78" t="s">
        <v>446</v>
      </c>
      <c r="F1763" s="196">
        <f>+'Unit tariffs'!$F$162</f>
        <v>1.6700043092</v>
      </c>
      <c r="G1763" s="78" t="s">
        <v>450</v>
      </c>
      <c r="H1763" s="118"/>
      <c r="I1763" s="90"/>
      <c r="J1763" s="101"/>
    </row>
    <row r="1764" spans="1:10" ht="12.75">
      <c r="A1764" s="97"/>
      <c r="B1764" s="78"/>
      <c r="C1764" s="78" t="s">
        <v>451</v>
      </c>
      <c r="D1764" s="616">
        <f>D1763+D1762+D1761</f>
        <v>6150.291869921761</v>
      </c>
      <c r="E1764" s="78"/>
      <c r="F1764" s="78"/>
      <c r="G1764" s="78"/>
      <c r="H1764" s="118"/>
      <c r="I1764" s="90"/>
      <c r="J1764" s="101"/>
    </row>
    <row r="1765" spans="1:10" ht="12.75">
      <c r="A1765" s="97"/>
      <c r="B1765" s="78"/>
      <c r="C1765" s="78"/>
      <c r="D1765" s="617"/>
      <c r="E1765" s="78"/>
      <c r="F1765" s="78"/>
      <c r="G1765" s="78"/>
      <c r="H1765" s="118"/>
      <c r="I1765" s="90"/>
      <c r="J1765" s="101"/>
    </row>
    <row r="1766" spans="1:10" ht="12.75">
      <c r="A1766" s="97"/>
      <c r="B1766" s="110" t="s">
        <v>454</v>
      </c>
      <c r="D1766" s="110">
        <v>5</v>
      </c>
      <c r="E1766" s="78"/>
      <c r="F1766" s="78"/>
      <c r="G1766" s="78"/>
      <c r="H1766" s="610">
        <v>26332.020000000004</v>
      </c>
      <c r="I1766" s="608">
        <f>+D1764*D1766</f>
        <v>30751.459349608805</v>
      </c>
      <c r="J1766" s="101"/>
    </row>
    <row r="1767" spans="1:10" ht="12.75">
      <c r="A1767" s="97"/>
      <c r="B1767" s="78"/>
      <c r="C1767" s="78"/>
      <c r="D1767" s="78"/>
      <c r="E1767" s="78"/>
      <c r="F1767" s="78"/>
      <c r="G1767" s="78"/>
      <c r="H1767" s="609"/>
      <c r="I1767" s="618"/>
      <c r="J1767" s="101"/>
    </row>
    <row r="1768" spans="1:11" ht="12.75">
      <c r="A1768" s="97"/>
      <c r="B1768" s="78"/>
      <c r="C1768" s="78"/>
      <c r="D1768" s="78"/>
      <c r="E1768" s="78"/>
      <c r="F1768" s="135"/>
      <c r="G1768" s="655" t="s">
        <v>464</v>
      </c>
      <c r="H1768" s="610">
        <f>+ROUND(H1766,-2)</f>
        <v>26300</v>
      </c>
      <c r="I1768" s="608">
        <f>+ROUND(I1766,-2)</f>
        <v>30800</v>
      </c>
      <c r="J1768" s="101"/>
      <c r="K1768" s="608"/>
    </row>
    <row r="1769" spans="1:10" ht="12.75">
      <c r="A1769" s="97"/>
      <c r="B1769" s="78"/>
      <c r="C1769" s="78"/>
      <c r="D1769" s="78"/>
      <c r="E1769" s="78"/>
      <c r="F1769" s="135"/>
      <c r="G1769" s="78"/>
      <c r="H1769" s="610"/>
      <c r="I1769" s="608"/>
      <c r="J1769" s="101"/>
    </row>
    <row r="1770" spans="1:10" ht="12.75">
      <c r="A1770" s="97"/>
      <c r="B1770" s="78"/>
      <c r="C1770" s="78"/>
      <c r="D1770" s="78"/>
      <c r="E1770" s="78"/>
      <c r="F1770" s="135"/>
      <c r="G1770" s="78"/>
      <c r="H1770" s="610"/>
      <c r="I1770" s="619">
        <f>+(I1768-H1768)/H1768</f>
        <v>0.17110266159695817</v>
      </c>
      <c r="J1770" s="101"/>
    </row>
    <row r="1771" spans="1:10" ht="13.5" thickBot="1">
      <c r="A1771" s="462"/>
      <c r="B1771" s="130"/>
      <c r="C1771" s="130"/>
      <c r="D1771" s="130"/>
      <c r="E1771" s="130"/>
      <c r="F1771" s="130"/>
      <c r="G1771" s="130"/>
      <c r="H1771" s="130"/>
      <c r="I1771" s="130"/>
      <c r="J1771" s="101"/>
    </row>
    <row r="1772" spans="1:10" ht="13.5" thickTop="1">
      <c r="A1772" s="97"/>
      <c r="B1772" s="78"/>
      <c r="C1772" s="78"/>
      <c r="D1772" s="78"/>
      <c r="E1772" s="78"/>
      <c r="F1772" s="78"/>
      <c r="G1772" s="78"/>
      <c r="H1772" s="78"/>
      <c r="I1772" s="78"/>
      <c r="J1772" s="101"/>
    </row>
    <row r="1773" spans="1:10" ht="13.5" thickBot="1">
      <c r="A1773" s="97"/>
      <c r="B1773" s="78"/>
      <c r="C1773" s="78"/>
      <c r="D1773" s="78"/>
      <c r="E1773" s="78"/>
      <c r="F1773" s="78"/>
      <c r="G1773" s="78"/>
      <c r="H1773" s="78"/>
      <c r="I1773" s="78"/>
      <c r="J1773" s="111"/>
    </row>
    <row r="1774" spans="1:10" ht="13.5" thickTop="1">
      <c r="A1774" s="459"/>
      <c r="B1774" s="127" t="s">
        <v>1</v>
      </c>
      <c r="C1774" s="127"/>
      <c r="D1774" s="127"/>
      <c r="E1774" s="127"/>
      <c r="F1774" s="127"/>
      <c r="G1774" s="127"/>
      <c r="H1774" s="127"/>
      <c r="I1774" s="127"/>
      <c r="J1774" s="111"/>
    </row>
    <row r="1775" spans="1:10" ht="12.75">
      <c r="A1775" s="97"/>
      <c r="B1775" s="98" t="s">
        <v>530</v>
      </c>
      <c r="C1775" s="99"/>
      <c r="D1775" s="99"/>
      <c r="E1775" s="99"/>
      <c r="F1775" s="99"/>
      <c r="G1775" s="99"/>
      <c r="H1775" s="99"/>
      <c r="I1775" s="100"/>
      <c r="J1775" s="111"/>
    </row>
    <row r="1776" spans="1:10" ht="12.75">
      <c r="A1776" s="97"/>
      <c r="B1776" s="110"/>
      <c r="C1776" s="78"/>
      <c r="D1776" s="78"/>
      <c r="E1776" s="78"/>
      <c r="F1776" s="78"/>
      <c r="G1776" s="78"/>
      <c r="H1776" s="78"/>
      <c r="I1776" s="78"/>
      <c r="J1776" s="101"/>
    </row>
    <row r="1777" spans="1:10" ht="12.75">
      <c r="A1777" s="97"/>
      <c r="B1777" s="78" t="s">
        <v>64</v>
      </c>
      <c r="C1777" s="78"/>
      <c r="D1777" s="78"/>
      <c r="E1777" s="78"/>
      <c r="F1777" s="78"/>
      <c r="G1777" s="78"/>
      <c r="H1777" s="78"/>
      <c r="I1777" s="78"/>
      <c r="J1777" s="101"/>
    </row>
    <row r="1778" spans="1:10" ht="12.75">
      <c r="A1778" s="97"/>
      <c r="B1778" s="78"/>
      <c r="C1778" s="78"/>
      <c r="D1778" s="78"/>
      <c r="E1778" s="78"/>
      <c r="F1778" s="78"/>
      <c r="G1778" s="78"/>
      <c r="H1778" s="78"/>
      <c r="I1778" s="78"/>
      <c r="J1778" s="111"/>
    </row>
    <row r="1779" spans="1:10" ht="12.75">
      <c r="A1779" s="97"/>
      <c r="B1779" s="78"/>
      <c r="C1779" s="78"/>
      <c r="D1779" s="78"/>
      <c r="E1779" s="78"/>
      <c r="F1779" s="78"/>
      <c r="G1779" s="78"/>
      <c r="H1779" s="109" t="str">
        <f>+H$11</f>
        <v>2020/2021</v>
      </c>
      <c r="I1779" s="109" t="str">
        <f>+'Unit tariffs'!$F$11</f>
        <v>2021/2022</v>
      </c>
      <c r="J1779" s="111"/>
    </row>
    <row r="1780" spans="1:10" ht="12.75">
      <c r="A1780" s="97"/>
      <c r="B1780" s="110" t="s">
        <v>62</v>
      </c>
      <c r="C1780" s="78"/>
      <c r="D1780" s="78"/>
      <c r="E1780" s="78"/>
      <c r="F1780" s="78"/>
      <c r="G1780" s="78"/>
      <c r="H1780" s="145"/>
      <c r="I1780" s="78"/>
      <c r="J1780" s="111"/>
    </row>
    <row r="1781" spans="1:10" ht="12.75">
      <c r="A1781" s="97"/>
      <c r="B1781" s="78"/>
      <c r="C1781" s="78"/>
      <c r="D1781" s="78"/>
      <c r="E1781" s="78"/>
      <c r="F1781" s="78"/>
      <c r="G1781" s="78"/>
      <c r="H1781" s="145"/>
      <c r="I1781" s="78"/>
      <c r="J1781" s="111"/>
    </row>
    <row r="1782" spans="1:10" ht="12.75">
      <c r="A1782" s="97"/>
      <c r="B1782" s="110" t="s">
        <v>42</v>
      </c>
      <c r="C1782" s="78"/>
      <c r="D1782" s="78"/>
      <c r="E1782" s="78"/>
      <c r="F1782" s="78"/>
      <c r="G1782" s="78"/>
      <c r="H1782" s="78"/>
      <c r="I1782" s="78"/>
      <c r="J1782" s="111"/>
    </row>
    <row r="1783" spans="1:10" ht="12.75">
      <c r="A1783" s="97"/>
      <c r="B1783" s="78"/>
      <c r="C1783" s="78"/>
      <c r="D1783" s="78"/>
      <c r="E1783" s="78"/>
      <c r="F1783" s="78"/>
      <c r="G1783" s="78"/>
      <c r="H1783" s="78"/>
      <c r="I1783" s="78"/>
      <c r="J1783" s="111"/>
    </row>
    <row r="1784" spans="1:10" ht="12.75">
      <c r="A1784" s="97"/>
      <c r="B1784" s="78">
        <v>1</v>
      </c>
      <c r="C1784" s="78" t="str">
        <f>'Unit tariffs'!B$85</f>
        <v>hour-meter assistant</v>
      </c>
      <c r="D1784" s="78"/>
      <c r="E1784" s="78"/>
      <c r="F1784" s="78"/>
      <c r="G1784" s="78"/>
      <c r="H1784" s="87">
        <v>74.74465344923078</v>
      </c>
      <c r="I1784" s="87">
        <f>VLOOKUP($C1784,'Unit tariffs'!$B$21:$F$122,5,FALSE)*$B1784</f>
        <v>128.5358076923077</v>
      </c>
      <c r="J1784" s="111"/>
    </row>
    <row r="1785" spans="1:10" ht="12.75">
      <c r="A1785" s="97"/>
      <c r="B1785" s="78"/>
      <c r="C1785" s="78"/>
      <c r="D1785" s="78"/>
      <c r="E1785" s="78"/>
      <c r="F1785" s="78"/>
      <c r="G1785" s="78"/>
      <c r="H1785" s="80">
        <v>74.74465344923078</v>
      </c>
      <c r="I1785" s="80">
        <f>SUM(I1784:I1784)</f>
        <v>128.5358076923077</v>
      </c>
      <c r="J1785" s="101"/>
    </row>
    <row r="1786" spans="1:11" ht="12.75">
      <c r="A1786" s="97"/>
      <c r="B1786" s="110" t="s">
        <v>43</v>
      </c>
      <c r="C1786" s="78"/>
      <c r="D1786" s="78"/>
      <c r="E1786" s="78"/>
      <c r="F1786" s="78"/>
      <c r="G1786" s="78"/>
      <c r="H1786" s="78"/>
      <c r="I1786" s="78"/>
      <c r="J1786" s="116"/>
      <c r="K1786" s="117"/>
    </row>
    <row r="1787" spans="1:10" ht="12.75">
      <c r="A1787" s="97"/>
      <c r="B1787" s="78"/>
      <c r="C1787" s="78"/>
      <c r="D1787" s="78"/>
      <c r="E1787" s="78"/>
      <c r="F1787" s="78"/>
      <c r="G1787" s="78"/>
      <c r="H1787" s="78"/>
      <c r="I1787" s="78"/>
      <c r="J1787" s="111"/>
    </row>
    <row r="1788" spans="1:10" ht="12.75">
      <c r="A1788" s="97"/>
      <c r="B1788" s="78">
        <v>24</v>
      </c>
      <c r="C1788" s="78" t="str">
        <f>'Unit tariffs'!B$114</f>
        <v>km-panel van</v>
      </c>
      <c r="D1788" s="78"/>
      <c r="E1788" s="78"/>
      <c r="F1788" s="78"/>
      <c r="G1788" s="78"/>
      <c r="H1788" s="80">
        <v>399.36624000000006</v>
      </c>
      <c r="I1788" s="80">
        <f>VLOOKUP($C1788,'Unit tariffs'!$B$21:$F$122,5,FALSE)*$B1788</f>
        <v>539.0903329438512</v>
      </c>
      <c r="J1788" s="119"/>
    </row>
    <row r="1789" spans="1:10" ht="12.75">
      <c r="A1789" s="97"/>
      <c r="B1789" s="78">
        <v>1</v>
      </c>
      <c r="C1789" s="78" t="str">
        <f>'Unit tariffs'!B$115</f>
        <v>hour-panel van</v>
      </c>
      <c r="D1789" s="78"/>
      <c r="E1789" s="78"/>
      <c r="F1789" s="78"/>
      <c r="G1789" s="78"/>
      <c r="H1789" s="87">
        <v>151.79840000000002</v>
      </c>
      <c r="I1789" s="80">
        <f>VLOOKUP($C1789,'Unit tariffs'!$B$21:$F$122,5,FALSE)*$B1789</f>
        <v>196.316287132192</v>
      </c>
      <c r="J1789" s="101"/>
    </row>
    <row r="1790" spans="1:10" ht="12.75">
      <c r="A1790" s="97"/>
      <c r="B1790" s="78"/>
      <c r="C1790" s="78"/>
      <c r="D1790" s="78"/>
      <c r="E1790" s="78"/>
      <c r="F1790" s="78"/>
      <c r="G1790" s="78"/>
      <c r="H1790" s="146">
        <v>551.1646400000001</v>
      </c>
      <c r="I1790" s="525">
        <f>SUM(I1788:I1789)</f>
        <v>735.4066200760432</v>
      </c>
      <c r="J1790" s="101"/>
    </row>
    <row r="1791" spans="1:10" ht="13.5" thickBot="1">
      <c r="A1791" s="97"/>
      <c r="B1791" s="110"/>
      <c r="C1791" s="78"/>
      <c r="D1791" s="112"/>
      <c r="E1791" s="78"/>
      <c r="F1791" s="78"/>
      <c r="G1791" s="78"/>
      <c r="H1791" s="114"/>
      <c r="I1791" s="114"/>
      <c r="J1791" s="101"/>
    </row>
    <row r="1792" spans="1:10" ht="13.5" thickTop="1">
      <c r="A1792" s="97"/>
      <c r="B1792" s="78"/>
      <c r="C1792" s="78"/>
      <c r="D1792" s="78"/>
      <c r="E1792" s="78"/>
      <c r="F1792" s="78"/>
      <c r="G1792" s="80"/>
      <c r="H1792" s="80">
        <v>625.9092934492309</v>
      </c>
      <c r="I1792" s="80">
        <f>I1790+I1785</f>
        <v>863.9424277683509</v>
      </c>
      <c r="J1792" s="101"/>
    </row>
    <row r="1793" spans="1:10" ht="13.5" thickBot="1">
      <c r="A1793" s="97"/>
      <c r="B1793" s="110" t="str">
        <f>'Unit tariffs'!$B$7</f>
        <v>Administration Levy (Indirect Cost)</v>
      </c>
      <c r="C1793" s="78"/>
      <c r="D1793" s="112">
        <f>'Unit tariffs'!$C$7</f>
        <v>0.1</v>
      </c>
      <c r="E1793" s="78" t="s">
        <v>312</v>
      </c>
      <c r="F1793" s="196">
        <f>+'Unit tariffs'!$F$7</f>
        <v>10000</v>
      </c>
      <c r="G1793" s="80"/>
      <c r="H1793" s="114">
        <v>166.86741763356494</v>
      </c>
      <c r="I1793" s="114">
        <f>IF(I1792*$D1793&gt;='Unit tariffs'!$E$7,'Unit tariffs'!$E$7,I1792*$D1793)</f>
        <v>86.39424277683509</v>
      </c>
      <c r="J1793" s="101"/>
    </row>
    <row r="1794" spans="1:10" ht="13.5" thickTop="1">
      <c r="A1794" s="97"/>
      <c r="B1794" s="110" t="s">
        <v>44</v>
      </c>
      <c r="C1794" s="78"/>
      <c r="D1794" s="78"/>
      <c r="E1794" s="78"/>
      <c r="F1794" s="78"/>
      <c r="G1794" s="80"/>
      <c r="H1794" s="115">
        <v>792.7767110827958</v>
      </c>
      <c r="I1794" s="115">
        <f>SUM(I1792:I1793)</f>
        <v>950.3366705451859</v>
      </c>
      <c r="J1794" s="101"/>
    </row>
    <row r="1795" spans="1:10" ht="12.75">
      <c r="A1795" s="97"/>
      <c r="B1795" s="78"/>
      <c r="C1795" s="78"/>
      <c r="D1795" s="78"/>
      <c r="E1795" s="78"/>
      <c r="F1795" s="78"/>
      <c r="G1795" s="78"/>
      <c r="H1795" s="78"/>
      <c r="I1795" s="78"/>
      <c r="J1795" s="101"/>
    </row>
    <row r="1796" spans="1:10" ht="12.75">
      <c r="A1796" s="97"/>
      <c r="B1796" s="110" t="s">
        <v>45</v>
      </c>
      <c r="C1796" s="78"/>
      <c r="D1796" s="78"/>
      <c r="E1796" s="78"/>
      <c r="F1796" s="78"/>
      <c r="G1796" s="78"/>
      <c r="H1796" s="90">
        <v>793</v>
      </c>
      <c r="I1796" s="90">
        <f>ROUND(I1794,0)</f>
        <v>950</v>
      </c>
      <c r="J1796" s="464"/>
    </row>
    <row r="1797" spans="1:10" ht="12.75">
      <c r="A1797" s="97"/>
      <c r="B1797" s="78"/>
      <c r="C1797" s="78"/>
      <c r="D1797" s="78"/>
      <c r="E1797" s="78"/>
      <c r="F1797" s="78"/>
      <c r="G1797" s="78"/>
      <c r="H1797" s="78"/>
      <c r="I1797" s="80"/>
      <c r="J1797" s="464"/>
    </row>
    <row r="1798" spans="1:10" ht="12.75">
      <c r="A1798" s="97"/>
      <c r="B1798" s="78"/>
      <c r="C1798" s="78"/>
      <c r="D1798" s="78"/>
      <c r="E1798" s="78"/>
      <c r="F1798" s="78"/>
      <c r="G1798" s="78"/>
      <c r="H1798" s="118">
        <v>2.9849246231155777</v>
      </c>
      <c r="I1798" s="118">
        <f>(I1796-H1796)/H1796</f>
        <v>0.19798234552332913</v>
      </c>
      <c r="J1798" s="111"/>
    </row>
    <row r="1799" spans="1:10" ht="13.5" thickBot="1">
      <c r="A1799" s="462"/>
      <c r="B1799" s="130"/>
      <c r="C1799" s="130"/>
      <c r="D1799" s="130"/>
      <c r="E1799" s="130"/>
      <c r="F1799" s="130"/>
      <c r="G1799" s="130"/>
      <c r="H1799" s="130"/>
      <c r="I1799" s="130"/>
      <c r="J1799" s="464"/>
    </row>
    <row r="1800" spans="1:10" ht="13.5" thickTop="1">
      <c r="A1800" s="97"/>
      <c r="B1800" s="78"/>
      <c r="C1800" s="78"/>
      <c r="D1800" s="78"/>
      <c r="E1800" s="78"/>
      <c r="F1800" s="78"/>
      <c r="G1800" s="78"/>
      <c r="H1800" s="78"/>
      <c r="I1800" s="78"/>
      <c r="J1800" s="101"/>
    </row>
    <row r="1801" spans="1:10" ht="13.5" thickBot="1">
      <c r="A1801" s="97"/>
      <c r="B1801" s="78"/>
      <c r="C1801" s="78"/>
      <c r="D1801" s="78"/>
      <c r="E1801" s="78"/>
      <c r="F1801" s="78"/>
      <c r="G1801" s="78"/>
      <c r="H1801" s="78"/>
      <c r="I1801" s="78"/>
      <c r="J1801" s="101"/>
    </row>
    <row r="1802" spans="1:10" ht="13.5" thickTop="1">
      <c r="A1802" s="459"/>
      <c r="B1802" s="127" t="s">
        <v>1</v>
      </c>
      <c r="C1802" s="127"/>
      <c r="D1802" s="127"/>
      <c r="E1802" s="127"/>
      <c r="F1802" s="127"/>
      <c r="G1802" s="127"/>
      <c r="H1802" s="127"/>
      <c r="I1802" s="127"/>
      <c r="J1802" s="101"/>
    </row>
    <row r="1803" spans="1:10" ht="12.75" customHeight="1">
      <c r="A1803" s="97"/>
      <c r="B1803" s="823" t="s">
        <v>531</v>
      </c>
      <c r="C1803" s="824"/>
      <c r="D1803" s="824"/>
      <c r="E1803" s="824"/>
      <c r="F1803" s="824"/>
      <c r="G1803" s="825"/>
      <c r="H1803" s="78"/>
      <c r="I1803" s="78"/>
      <c r="J1803" s="101"/>
    </row>
    <row r="1804" spans="1:10" ht="12.75">
      <c r="A1804" s="97"/>
      <c r="B1804" s="110"/>
      <c r="C1804" s="78"/>
      <c r="D1804" s="78"/>
      <c r="E1804" s="78"/>
      <c r="F1804" s="78"/>
      <c r="G1804" s="78"/>
      <c r="H1804" s="78"/>
      <c r="I1804" s="78"/>
      <c r="J1804" s="111"/>
    </row>
    <row r="1805" spans="1:10" ht="12.75">
      <c r="A1805" s="97"/>
      <c r="B1805" s="78" t="s">
        <v>101</v>
      </c>
      <c r="C1805" s="78"/>
      <c r="D1805" s="78"/>
      <c r="E1805" s="78"/>
      <c r="F1805" s="78"/>
      <c r="G1805" s="78"/>
      <c r="H1805" s="78"/>
      <c r="I1805" s="78"/>
      <c r="J1805" s="111"/>
    </row>
    <row r="1806" spans="1:10" ht="12.75">
      <c r="A1806" s="97"/>
      <c r="B1806" s="78"/>
      <c r="C1806" s="78"/>
      <c r="D1806" s="78"/>
      <c r="E1806" s="78"/>
      <c r="F1806" s="78"/>
      <c r="G1806" s="78"/>
      <c r="H1806" s="78"/>
      <c r="I1806" s="78"/>
      <c r="J1806" s="111"/>
    </row>
    <row r="1807" spans="1:10" ht="12.75">
      <c r="A1807" s="97"/>
      <c r="B1807" s="78"/>
      <c r="C1807" s="78"/>
      <c r="D1807" s="78"/>
      <c r="E1807" s="78"/>
      <c r="F1807" s="78"/>
      <c r="G1807" s="78"/>
      <c r="H1807" s="109" t="str">
        <f>+H$11</f>
        <v>2020/2021</v>
      </c>
      <c r="I1807" s="109" t="str">
        <f>+'Unit tariffs'!$F$11</f>
        <v>2021/2022</v>
      </c>
      <c r="J1807" s="101"/>
    </row>
    <row r="1808" spans="1:10" ht="12.75">
      <c r="A1808" s="97"/>
      <c r="B1808" s="110" t="s">
        <v>62</v>
      </c>
      <c r="C1808" s="78"/>
      <c r="D1808" s="78"/>
      <c r="E1808" s="78"/>
      <c r="F1808" s="78"/>
      <c r="G1808" s="78"/>
      <c r="H1808" s="145"/>
      <c r="I1808" s="78"/>
      <c r="J1808" s="101"/>
    </row>
    <row r="1809" spans="1:10" ht="12.75">
      <c r="A1809" s="97"/>
      <c r="B1809" s="78"/>
      <c r="C1809" s="78"/>
      <c r="D1809" s="78"/>
      <c r="E1809" s="78"/>
      <c r="F1809" s="78"/>
      <c r="G1809" s="78"/>
      <c r="H1809" s="145"/>
      <c r="I1809" s="78"/>
      <c r="J1809" s="111"/>
    </row>
    <row r="1810" spans="1:10" ht="12.75">
      <c r="A1810" s="97"/>
      <c r="B1810" s="110" t="s">
        <v>42</v>
      </c>
      <c r="C1810" s="78"/>
      <c r="D1810" s="78"/>
      <c r="E1810" s="78"/>
      <c r="F1810" s="78"/>
      <c r="G1810" s="78"/>
      <c r="H1810" s="78"/>
      <c r="I1810" s="78"/>
      <c r="J1810" s="111"/>
    </row>
    <row r="1811" spans="1:10" ht="12.75">
      <c r="A1811" s="97"/>
      <c r="B1811" s="78"/>
      <c r="C1811" s="78"/>
      <c r="D1811" s="78"/>
      <c r="E1811" s="78"/>
      <c r="F1811" s="78"/>
      <c r="G1811" s="78"/>
      <c r="H1811" s="78"/>
      <c r="I1811" s="78"/>
      <c r="J1811" s="111"/>
    </row>
    <row r="1812" spans="1:10" ht="12.75">
      <c r="A1812" s="97"/>
      <c r="B1812" s="78">
        <v>1</v>
      </c>
      <c r="C1812" s="78" t="str">
        <f>'Unit tariffs'!B86</f>
        <v>hour-artisan </v>
      </c>
      <c r="D1812" s="78"/>
      <c r="E1812" s="78"/>
      <c r="F1812" s="78"/>
      <c r="G1812" s="78"/>
      <c r="H1812" s="80">
        <v>169.06923245384615</v>
      </c>
      <c r="I1812" s="80">
        <f>VLOOKUP($C1812,'Unit tariffs'!$B$21:$F$122,5,FALSE)*$B1812</f>
        <v>322.85223173076923</v>
      </c>
      <c r="J1812" s="111"/>
    </row>
    <row r="1813" spans="1:10" ht="12.75">
      <c r="A1813" s="97"/>
      <c r="B1813" s="78">
        <v>1</v>
      </c>
      <c r="C1813" s="78" t="str">
        <f>'Unit tariffs'!B$84</f>
        <v>hour-artisan assistant</v>
      </c>
      <c r="D1813" s="78"/>
      <c r="E1813" s="78"/>
      <c r="F1813" s="78"/>
      <c r="G1813" s="78"/>
      <c r="H1813" s="87">
        <v>74.74465344923078</v>
      </c>
      <c r="I1813" s="87">
        <f>VLOOKUP($C1813,'Unit tariffs'!$B$21:$F$122,5,FALSE)*$B1813</f>
        <v>128.5358076923077</v>
      </c>
      <c r="J1813" s="111"/>
    </row>
    <row r="1814" spans="1:10" ht="12.75">
      <c r="A1814" s="97"/>
      <c r="B1814" s="78"/>
      <c r="C1814" s="78"/>
      <c r="D1814" s="78"/>
      <c r="E1814" s="78"/>
      <c r="F1814" s="78"/>
      <c r="G1814" s="78"/>
      <c r="H1814" s="80">
        <v>243.81388590307694</v>
      </c>
      <c r="I1814" s="80">
        <f>SUM(I1812:I1813)</f>
        <v>451.388039423077</v>
      </c>
      <c r="J1814" s="111"/>
    </row>
    <row r="1815" spans="1:10" ht="12.75">
      <c r="A1815" s="97"/>
      <c r="B1815" s="110" t="s">
        <v>43</v>
      </c>
      <c r="C1815" s="78"/>
      <c r="D1815" s="78"/>
      <c r="E1815" s="78"/>
      <c r="F1815" s="78"/>
      <c r="G1815" s="78"/>
      <c r="H1815" s="78"/>
      <c r="I1815" s="78"/>
      <c r="J1815" s="111"/>
    </row>
    <row r="1816" spans="1:10" ht="12.75">
      <c r="A1816" s="97"/>
      <c r="B1816" s="78"/>
      <c r="C1816" s="78"/>
      <c r="D1816" s="78"/>
      <c r="E1816" s="78"/>
      <c r="F1816" s="78"/>
      <c r="G1816" s="78"/>
      <c r="H1816" s="78"/>
      <c r="I1816" s="78"/>
      <c r="J1816" s="101"/>
    </row>
    <row r="1817" spans="1:11" ht="12.75">
      <c r="A1817" s="97"/>
      <c r="B1817" s="78">
        <v>24</v>
      </c>
      <c r="C1817" s="78" t="str">
        <f>'Unit tariffs'!B$110</f>
        <v>km-truck with platform</v>
      </c>
      <c r="D1817" s="78"/>
      <c r="E1817" s="78"/>
      <c r="F1817" s="78"/>
      <c r="G1817" s="78"/>
      <c r="H1817" s="80">
        <v>730.93488</v>
      </c>
      <c r="I1817" s="80">
        <f>VLOOKUP($C1817,'Unit tariffs'!$B$21:$F$122,5,FALSE)*$B1817</f>
        <v>970.1459533764145</v>
      </c>
      <c r="J1817" s="116"/>
      <c r="K1817" s="117"/>
    </row>
    <row r="1818" spans="1:10" ht="12.75">
      <c r="A1818" s="97"/>
      <c r="B1818" s="78">
        <v>1</v>
      </c>
      <c r="C1818" s="78" t="str">
        <f>'Unit tariffs'!B$111</f>
        <v>hour-truck with platform</v>
      </c>
      <c r="D1818" s="78"/>
      <c r="E1818" s="78"/>
      <c r="F1818" s="78"/>
      <c r="G1818" s="78"/>
      <c r="H1818" s="87">
        <v>157.235</v>
      </c>
      <c r="I1818" s="80">
        <f>VLOOKUP($C1818,'Unit tariffs'!$B$21:$F$122,5,FALSE)*$B1818</f>
        <v>196.72208955055</v>
      </c>
      <c r="J1818" s="111"/>
    </row>
    <row r="1819" spans="1:10" ht="12.75">
      <c r="A1819" s="97"/>
      <c r="B1819" s="78"/>
      <c r="C1819" s="78"/>
      <c r="D1819" s="78"/>
      <c r="E1819" s="78"/>
      <c r="F1819" s="78"/>
      <c r="G1819" s="78"/>
      <c r="H1819" s="146">
        <v>888.16988</v>
      </c>
      <c r="I1819" s="146">
        <f>SUM(I1817:I1818)</f>
        <v>1166.8680429269646</v>
      </c>
      <c r="J1819" s="119"/>
    </row>
    <row r="1820" spans="1:10" ht="13.5" thickBot="1">
      <c r="A1820" s="97"/>
      <c r="B1820" s="110"/>
      <c r="C1820" s="78"/>
      <c r="D1820" s="112"/>
      <c r="E1820" s="78"/>
      <c r="F1820" s="78"/>
      <c r="G1820" s="78"/>
      <c r="H1820" s="114"/>
      <c r="I1820" s="114"/>
      <c r="J1820" s="101"/>
    </row>
    <row r="1821" spans="1:10" ht="13.5" thickTop="1">
      <c r="A1821" s="97"/>
      <c r="B1821" s="78"/>
      <c r="C1821" s="78"/>
      <c r="D1821" s="78"/>
      <c r="E1821" s="78"/>
      <c r="F1821" s="78"/>
      <c r="G1821" s="80"/>
      <c r="H1821" s="80">
        <v>1131.983765903077</v>
      </c>
      <c r="I1821" s="80">
        <f>I1819+I1814</f>
        <v>1618.2560823500417</v>
      </c>
      <c r="J1821" s="101"/>
    </row>
    <row r="1822" spans="1:10" ht="13.5" thickBot="1">
      <c r="A1822" s="97"/>
      <c r="B1822" s="110" t="str">
        <f>'Unit tariffs'!$B$7</f>
        <v>Administration Levy (Indirect Cost)</v>
      </c>
      <c r="C1822" s="78"/>
      <c r="D1822" s="112">
        <f>'Unit tariffs'!$C$7</f>
        <v>0.1</v>
      </c>
      <c r="E1822" s="78" t="s">
        <v>312</v>
      </c>
      <c r="F1822" s="196">
        <f>+'Unit tariffs'!$F$7</f>
        <v>10000</v>
      </c>
      <c r="G1822" s="80"/>
      <c r="H1822" s="114">
        <v>301.78687198976036</v>
      </c>
      <c r="I1822" s="114">
        <f>IF(I1821*$D1822&gt;='Unit tariffs'!$E$7,'Unit tariffs'!$E$7,I1821*$D1822)</f>
        <v>161.82560823500418</v>
      </c>
      <c r="J1822" s="101"/>
    </row>
    <row r="1823" spans="1:10" ht="13.5" thickTop="1">
      <c r="A1823" s="97"/>
      <c r="B1823" s="110" t="s">
        <v>44</v>
      </c>
      <c r="C1823" s="78"/>
      <c r="D1823" s="78"/>
      <c r="E1823" s="78"/>
      <c r="F1823" s="78"/>
      <c r="G1823" s="80"/>
      <c r="H1823" s="115">
        <v>1433.7706378928374</v>
      </c>
      <c r="I1823" s="115">
        <f>SUM(I1821:I1822)</f>
        <v>1780.0816905850459</v>
      </c>
      <c r="J1823" s="101"/>
    </row>
    <row r="1824" spans="1:10" ht="12.75">
      <c r="A1824" s="97"/>
      <c r="B1824" s="78"/>
      <c r="C1824" s="78"/>
      <c r="D1824" s="78"/>
      <c r="E1824" s="78"/>
      <c r="F1824" s="78"/>
      <c r="G1824" s="78"/>
      <c r="H1824" s="78"/>
      <c r="I1824" s="78"/>
      <c r="J1824" s="101"/>
    </row>
    <row r="1825" spans="1:10" ht="12.75">
      <c r="A1825" s="97"/>
      <c r="B1825" s="110" t="s">
        <v>45</v>
      </c>
      <c r="C1825" s="78"/>
      <c r="D1825" s="78"/>
      <c r="E1825" s="78"/>
      <c r="F1825" s="78"/>
      <c r="G1825" s="78"/>
      <c r="H1825" s="90">
        <v>1430</v>
      </c>
      <c r="I1825" s="90">
        <f>ROUND(I1823,-1)</f>
        <v>1780</v>
      </c>
      <c r="J1825" s="101"/>
    </row>
    <row r="1826" spans="1:10" ht="12.75">
      <c r="A1826" s="97"/>
      <c r="B1826" s="78"/>
      <c r="C1826" s="78"/>
      <c r="D1826" s="78"/>
      <c r="E1826" s="78"/>
      <c r="F1826" s="78"/>
      <c r="G1826" s="78"/>
      <c r="H1826" s="78"/>
      <c r="I1826" s="80"/>
      <c r="J1826" s="101"/>
    </row>
    <row r="1827" spans="1:10" ht="12.75">
      <c r="A1827" s="97"/>
      <c r="B1827" s="78"/>
      <c r="C1827" s="78"/>
      <c r="D1827" s="78"/>
      <c r="E1827" s="78"/>
      <c r="F1827" s="78"/>
      <c r="G1827" s="78"/>
      <c r="H1827" s="118">
        <v>0.9066666666666666</v>
      </c>
      <c r="I1827" s="118">
        <f>(I1825-H1825)/H1825</f>
        <v>0.24475524475524477</v>
      </c>
      <c r="J1827" s="458"/>
    </row>
    <row r="1828" spans="1:10" ht="13.5" thickBot="1">
      <c r="A1828" s="462"/>
      <c r="B1828" s="130"/>
      <c r="C1828" s="130"/>
      <c r="D1828" s="130"/>
      <c r="E1828" s="130"/>
      <c r="F1828" s="130"/>
      <c r="G1828" s="130"/>
      <c r="H1828" s="130"/>
      <c r="I1828" s="130"/>
      <c r="J1828" s="101"/>
    </row>
    <row r="1829" spans="1:10" ht="13.5" thickTop="1">
      <c r="A1829" s="97"/>
      <c r="B1829" s="78"/>
      <c r="C1829" s="78"/>
      <c r="D1829" s="78"/>
      <c r="E1829" s="78"/>
      <c r="F1829" s="78"/>
      <c r="G1829" s="78"/>
      <c r="H1829" s="78"/>
      <c r="I1829" s="78"/>
      <c r="J1829" s="101"/>
    </row>
    <row r="1830" spans="1:10" ht="13.5" thickBot="1">
      <c r="A1830" s="97"/>
      <c r="B1830" s="78"/>
      <c r="C1830" s="78"/>
      <c r="D1830" s="78"/>
      <c r="E1830" s="78"/>
      <c r="F1830" s="78"/>
      <c r="G1830" s="78"/>
      <c r="H1830" s="78"/>
      <c r="I1830" s="78"/>
      <c r="J1830" s="461"/>
    </row>
    <row r="1831" spans="1:10" ht="13.5" thickTop="1">
      <c r="A1831" s="459"/>
      <c r="B1831" s="127" t="s">
        <v>1</v>
      </c>
      <c r="C1831" s="127"/>
      <c r="D1831" s="127"/>
      <c r="E1831" s="127"/>
      <c r="F1831" s="127"/>
      <c r="G1831" s="127"/>
      <c r="H1831" s="127"/>
      <c r="I1831" s="127"/>
      <c r="J1831" s="461"/>
    </row>
    <row r="1832" spans="1:10" ht="12.75">
      <c r="A1832" s="97"/>
      <c r="B1832" s="102" t="s">
        <v>532</v>
      </c>
      <c r="C1832" s="103"/>
      <c r="D1832" s="103"/>
      <c r="E1832" s="103"/>
      <c r="F1832" s="103"/>
      <c r="G1832" s="103"/>
      <c r="H1832" s="103"/>
      <c r="I1832" s="104"/>
      <c r="J1832" s="111"/>
    </row>
    <row r="1833" spans="1:10" ht="12.75">
      <c r="A1833" s="97"/>
      <c r="B1833" s="105" t="s">
        <v>65</v>
      </c>
      <c r="C1833" s="106"/>
      <c r="D1833" s="106"/>
      <c r="E1833" s="106"/>
      <c r="F1833" s="106"/>
      <c r="G1833" s="106"/>
      <c r="H1833" s="106"/>
      <c r="I1833" s="128"/>
      <c r="J1833" s="111"/>
    </row>
    <row r="1834" spans="1:10" ht="12.75">
      <c r="A1834" s="97"/>
      <c r="B1834" s="78"/>
      <c r="C1834" s="78"/>
      <c r="D1834" s="78"/>
      <c r="E1834" s="78"/>
      <c r="F1834" s="78"/>
      <c r="G1834" s="78"/>
      <c r="H1834" s="78"/>
      <c r="I1834" s="78"/>
      <c r="J1834" s="111"/>
    </row>
    <row r="1835" spans="1:10" ht="12.75">
      <c r="A1835" s="97"/>
      <c r="B1835" s="78"/>
      <c r="C1835" s="78"/>
      <c r="D1835" s="78"/>
      <c r="E1835" s="78"/>
      <c r="F1835" s="78"/>
      <c r="G1835" s="78"/>
      <c r="H1835" s="109" t="str">
        <f>+H$11</f>
        <v>2020/2021</v>
      </c>
      <c r="I1835" s="109" t="str">
        <f>+'Unit tariffs'!$F$11</f>
        <v>2021/2022</v>
      </c>
      <c r="J1835" s="101"/>
    </row>
    <row r="1836" spans="1:10" ht="13.5">
      <c r="A1836" s="97"/>
      <c r="B1836" s="78"/>
      <c r="C1836" s="78"/>
      <c r="D1836" s="78"/>
      <c r="E1836" s="78"/>
      <c r="F1836" s="78"/>
      <c r="G1836" s="78"/>
      <c r="H1836" s="144"/>
      <c r="I1836" s="134"/>
      <c r="J1836" s="101"/>
    </row>
    <row r="1837" spans="1:10" ht="12.75">
      <c r="A1837" s="97"/>
      <c r="B1837" s="110" t="s">
        <v>66</v>
      </c>
      <c r="C1837" s="78"/>
      <c r="D1837" s="78"/>
      <c r="E1837" s="78"/>
      <c r="F1837" s="78"/>
      <c r="G1837" s="78"/>
      <c r="H1837" s="80">
        <v>388.28143546779455</v>
      </c>
      <c r="I1837" s="80">
        <f>(H1837*1.07)</f>
        <v>415.4611359505402</v>
      </c>
      <c r="J1837" s="111"/>
    </row>
    <row r="1838" spans="1:10" ht="12.75">
      <c r="A1838" s="97"/>
      <c r="B1838" s="78"/>
      <c r="C1838" s="78"/>
      <c r="D1838" s="78"/>
      <c r="E1838" s="78"/>
      <c r="F1838" s="78"/>
      <c r="G1838" s="78"/>
      <c r="H1838" s="110"/>
      <c r="I1838" s="134"/>
      <c r="J1838" s="111"/>
    </row>
    <row r="1839" spans="1:10" ht="12.75">
      <c r="A1839" s="97"/>
      <c r="B1839" s="110" t="s">
        <v>62</v>
      </c>
      <c r="C1839" s="78"/>
      <c r="D1839" s="78"/>
      <c r="E1839" s="78"/>
      <c r="F1839" s="78"/>
      <c r="G1839" s="78"/>
      <c r="H1839" s="78"/>
      <c r="I1839" s="78"/>
      <c r="J1839" s="111"/>
    </row>
    <row r="1840" spans="1:10" ht="12.75">
      <c r="A1840" s="97"/>
      <c r="B1840" s="78"/>
      <c r="C1840" s="78"/>
      <c r="D1840" s="78"/>
      <c r="E1840" s="78"/>
      <c r="F1840" s="78"/>
      <c r="G1840" s="78"/>
      <c r="H1840" s="78"/>
      <c r="I1840" s="78"/>
      <c r="J1840" s="111"/>
    </row>
    <row r="1841" spans="1:10" ht="12.75">
      <c r="A1841" s="97"/>
      <c r="B1841" s="110" t="s">
        <v>42</v>
      </c>
      <c r="C1841" s="78"/>
      <c r="D1841" s="78"/>
      <c r="E1841" s="78"/>
      <c r="F1841" s="78"/>
      <c r="G1841" s="78"/>
      <c r="H1841" s="78"/>
      <c r="I1841" s="78"/>
      <c r="J1841" s="101"/>
    </row>
    <row r="1842" spans="1:10" ht="12.75">
      <c r="A1842" s="97"/>
      <c r="B1842" s="78"/>
      <c r="C1842" s="78"/>
      <c r="D1842" s="78"/>
      <c r="E1842" s="78"/>
      <c r="F1842" s="78"/>
      <c r="G1842" s="78"/>
      <c r="H1842" s="78"/>
      <c r="I1842" s="78"/>
      <c r="J1842" s="101"/>
    </row>
    <row r="1843" spans="1:10" ht="12.75">
      <c r="A1843" s="97"/>
      <c r="B1843" s="78">
        <v>2.5</v>
      </c>
      <c r="C1843" s="78" t="str">
        <f>'Unit tariffs'!B$86</f>
        <v>hour-artisan </v>
      </c>
      <c r="D1843" s="78"/>
      <c r="E1843" s="78"/>
      <c r="F1843" s="78"/>
      <c r="G1843" s="78"/>
      <c r="H1843" s="80">
        <v>450.1468314083654</v>
      </c>
      <c r="I1843" s="80">
        <f>VLOOKUP($C1843,'Unit tariffs'!$B$21:$F$122,5,FALSE)*$B1843</f>
        <v>807.1305793269231</v>
      </c>
      <c r="J1843" s="111"/>
    </row>
    <row r="1844" spans="1:10" ht="12.75">
      <c r="A1844" s="97"/>
      <c r="B1844" s="78">
        <v>2.5</v>
      </c>
      <c r="C1844" s="78" t="str">
        <f>'Unit tariffs'!B$84</f>
        <v>hour-artisan assistant</v>
      </c>
      <c r="D1844" s="78"/>
      <c r="E1844" s="78"/>
      <c r="F1844" s="78"/>
      <c r="G1844" s="78"/>
      <c r="H1844" s="87">
        <v>199.00763980857693</v>
      </c>
      <c r="I1844" s="87">
        <f>VLOOKUP($C1844,'Unit tariffs'!$B$21:$F$122,5,FALSE)*$B1844</f>
        <v>321.33951923076927</v>
      </c>
      <c r="J1844" s="111"/>
    </row>
    <row r="1845" spans="1:10" ht="12.75">
      <c r="A1845" s="97"/>
      <c r="B1845" s="78"/>
      <c r="C1845" s="78"/>
      <c r="D1845" s="78"/>
      <c r="E1845" s="78"/>
      <c r="F1845" s="78"/>
      <c r="G1845" s="78"/>
      <c r="H1845" s="80">
        <v>649.1544712169423</v>
      </c>
      <c r="I1845" s="80">
        <f>SUM(I1843:I1844)</f>
        <v>1128.4700985576924</v>
      </c>
      <c r="J1845" s="111"/>
    </row>
    <row r="1846" spans="1:10" ht="12.75">
      <c r="A1846" s="97"/>
      <c r="B1846" s="110" t="s">
        <v>43</v>
      </c>
      <c r="C1846" s="78"/>
      <c r="D1846" s="78"/>
      <c r="E1846" s="78"/>
      <c r="F1846" s="78"/>
      <c r="G1846" s="78"/>
      <c r="H1846" s="78"/>
      <c r="I1846" s="78"/>
      <c r="J1846" s="111"/>
    </row>
    <row r="1847" spans="1:10" ht="12.75">
      <c r="A1847" s="97"/>
      <c r="B1847" s="78"/>
      <c r="C1847" s="78"/>
      <c r="D1847" s="78"/>
      <c r="E1847" s="78"/>
      <c r="F1847" s="78"/>
      <c r="G1847" s="78"/>
      <c r="H1847" s="78"/>
      <c r="I1847" s="78"/>
      <c r="J1847" s="111"/>
    </row>
    <row r="1848" spans="1:10" ht="12.75">
      <c r="A1848" s="97"/>
      <c r="B1848" s="78">
        <v>24</v>
      </c>
      <c r="C1848" s="82" t="s">
        <v>48</v>
      </c>
      <c r="D1848" s="78"/>
      <c r="E1848" s="78"/>
      <c r="F1848" s="78"/>
      <c r="G1848" s="78"/>
      <c r="H1848" s="80">
        <v>425.72441184000013</v>
      </c>
      <c r="I1848" s="80">
        <f>VLOOKUP($C1848,'Unit tariffs'!$B$21:$F$122,5,FALSE)*$B1848</f>
        <v>539.0903329438512</v>
      </c>
      <c r="J1848" s="111"/>
    </row>
    <row r="1849" spans="1:10" ht="12.75">
      <c r="A1849" s="97"/>
      <c r="B1849" s="78">
        <f>+B1843</f>
        <v>2.5</v>
      </c>
      <c r="C1849" s="78" t="str">
        <f>'Unit tariffs'!B$115</f>
        <v>hour-panel van</v>
      </c>
      <c r="D1849" s="78"/>
      <c r="E1849" s="78"/>
      <c r="F1849" s="78"/>
      <c r="G1849" s="78"/>
      <c r="H1849" s="87">
        <v>404.5427360000001</v>
      </c>
      <c r="I1849" s="80">
        <f>VLOOKUP($C1849,'Unit tariffs'!$B$21:$F$123,5,FALSE)*$B1849</f>
        <v>490.79071783048</v>
      </c>
      <c r="J1849" s="111"/>
    </row>
    <row r="1850" spans="1:10" ht="12.75">
      <c r="A1850" s="97"/>
      <c r="B1850" s="78"/>
      <c r="C1850" s="78"/>
      <c r="D1850" s="78"/>
      <c r="E1850" s="78"/>
      <c r="F1850" s="78"/>
      <c r="G1850" s="78"/>
      <c r="H1850" s="146">
        <v>830.2671478400002</v>
      </c>
      <c r="I1850" s="146">
        <f>SUM(I1848:I1849)</f>
        <v>1029.8810507743312</v>
      </c>
      <c r="J1850" s="101"/>
    </row>
    <row r="1851" spans="1:10" ht="13.5" thickBot="1">
      <c r="A1851" s="97"/>
      <c r="B1851" s="110"/>
      <c r="C1851" s="78"/>
      <c r="D1851" s="112"/>
      <c r="E1851" s="78"/>
      <c r="F1851" s="78"/>
      <c r="G1851" s="78"/>
      <c r="H1851" s="114"/>
      <c r="I1851" s="114"/>
      <c r="J1851" s="116"/>
    </row>
    <row r="1852" spans="1:10" ht="13.5" thickTop="1">
      <c r="A1852" s="97"/>
      <c r="B1852" s="78"/>
      <c r="C1852" s="78"/>
      <c r="D1852" s="78"/>
      <c r="E1852" s="78"/>
      <c r="F1852" s="78"/>
      <c r="G1852" s="80"/>
      <c r="H1852" s="80">
        <v>1867.7030545247371</v>
      </c>
      <c r="I1852" s="80">
        <f>I1850+I1845+I1837</f>
        <v>2573.812285282564</v>
      </c>
      <c r="J1852" s="111"/>
    </row>
    <row r="1853" spans="1:10" ht="13.5" thickBot="1">
      <c r="A1853" s="97"/>
      <c r="B1853" s="110" t="str">
        <f>'Unit tariffs'!$B$7</f>
        <v>Administration Levy (Indirect Cost)</v>
      </c>
      <c r="C1853" s="78"/>
      <c r="D1853" s="112">
        <f>'Unit tariffs'!$C$7</f>
        <v>0.1</v>
      </c>
      <c r="E1853" s="78" t="s">
        <v>312</v>
      </c>
      <c r="F1853" s="196">
        <f>+'Unit tariffs'!$F$7</f>
        <v>10000</v>
      </c>
      <c r="G1853" s="80"/>
      <c r="H1853" s="114">
        <v>497.92963433629495</v>
      </c>
      <c r="I1853" s="114">
        <f>IF(I1852*$D1853&gt;='Unit tariffs'!$E$7,'Unit tariffs'!$E$7,I1852*$D1853)</f>
        <v>257.38122852825643</v>
      </c>
      <c r="J1853" s="119"/>
    </row>
    <row r="1854" spans="1:10" ht="13.5" thickTop="1">
      <c r="A1854" s="97"/>
      <c r="B1854" s="110" t="s">
        <v>44</v>
      </c>
      <c r="C1854" s="78"/>
      <c r="D1854" s="78"/>
      <c r="E1854" s="78"/>
      <c r="F1854" s="78"/>
      <c r="G1854" s="80"/>
      <c r="H1854" s="115">
        <v>2365.632688861032</v>
      </c>
      <c r="I1854" s="115">
        <f>SUM(I1852:I1853)</f>
        <v>2831.1935138108206</v>
      </c>
      <c r="J1854" s="101"/>
    </row>
    <row r="1855" spans="1:10" ht="12.75">
      <c r="A1855" s="97"/>
      <c r="B1855" s="78"/>
      <c r="C1855" s="78"/>
      <c r="D1855" s="78"/>
      <c r="E1855" s="78"/>
      <c r="F1855" s="78"/>
      <c r="G1855" s="78"/>
      <c r="H1855" s="78"/>
      <c r="I1855" s="78"/>
      <c r="J1855" s="101"/>
    </row>
    <row r="1856" spans="1:10" ht="12.75">
      <c r="A1856" s="97"/>
      <c r="B1856" s="110" t="s">
        <v>45</v>
      </c>
      <c r="C1856" s="78"/>
      <c r="D1856" s="78"/>
      <c r="E1856" s="78"/>
      <c r="F1856" s="78"/>
      <c r="G1856" s="78"/>
      <c r="H1856" s="90">
        <v>2370</v>
      </c>
      <c r="I1856" s="90">
        <f>ROUND(I1854,-1)</f>
        <v>2830</v>
      </c>
      <c r="J1856" s="101"/>
    </row>
    <row r="1857" spans="1:10" ht="12.75">
      <c r="A1857" s="97"/>
      <c r="B1857" s="78"/>
      <c r="C1857" s="78"/>
      <c r="D1857" s="78"/>
      <c r="E1857" s="78"/>
      <c r="F1857" s="78"/>
      <c r="G1857" s="78"/>
      <c r="H1857" s="78"/>
      <c r="I1857" s="80"/>
      <c r="J1857" s="101"/>
    </row>
    <row r="1858" spans="1:10" ht="12.75">
      <c r="A1858" s="97"/>
      <c r="B1858" s="78"/>
      <c r="C1858" s="78"/>
      <c r="D1858" s="78"/>
      <c r="E1858" s="78"/>
      <c r="F1858" s="78"/>
      <c r="G1858" s="78"/>
      <c r="H1858" s="118">
        <v>0.06756756756756757</v>
      </c>
      <c r="I1858" s="118">
        <f>(I1856-H1856)/H1856</f>
        <v>0.1940928270042194</v>
      </c>
      <c r="J1858" s="101"/>
    </row>
    <row r="1859" spans="1:10" ht="13.5" thickBot="1">
      <c r="A1859" s="462"/>
      <c r="B1859" s="130"/>
      <c r="C1859" s="130"/>
      <c r="D1859" s="130"/>
      <c r="E1859" s="130"/>
      <c r="F1859" s="130"/>
      <c r="G1859" s="130"/>
      <c r="H1859" s="130"/>
      <c r="I1859" s="130"/>
      <c r="J1859" s="101"/>
    </row>
    <row r="1860" spans="1:10" ht="13.5" thickTop="1">
      <c r="A1860" s="97"/>
      <c r="B1860" s="78"/>
      <c r="C1860" s="78"/>
      <c r="D1860" s="78"/>
      <c r="E1860" s="78"/>
      <c r="F1860" s="78"/>
      <c r="G1860" s="78"/>
      <c r="H1860" s="78"/>
      <c r="I1860" s="78"/>
      <c r="J1860" s="101"/>
    </row>
    <row r="1861" spans="1:10" ht="13.5" thickBot="1">
      <c r="A1861" s="97"/>
      <c r="B1861" s="78"/>
      <c r="C1861" s="78"/>
      <c r="D1861" s="78"/>
      <c r="E1861" s="78"/>
      <c r="F1861" s="78"/>
      <c r="G1861" s="78"/>
      <c r="H1861" s="78"/>
      <c r="I1861" s="78"/>
      <c r="J1861" s="458"/>
    </row>
    <row r="1862" spans="1:10" ht="13.5" thickTop="1">
      <c r="A1862" s="459"/>
      <c r="B1862" s="127" t="s">
        <v>1</v>
      </c>
      <c r="C1862" s="127"/>
      <c r="D1862" s="127"/>
      <c r="E1862" s="127"/>
      <c r="F1862" s="127"/>
      <c r="G1862" s="127"/>
      <c r="H1862" s="127"/>
      <c r="I1862" s="127"/>
      <c r="J1862" s="101"/>
    </row>
    <row r="1863" spans="1:10" ht="12.75">
      <c r="A1863" s="97"/>
      <c r="B1863" s="102" t="s">
        <v>533</v>
      </c>
      <c r="C1863" s="103"/>
      <c r="D1863" s="103"/>
      <c r="E1863" s="103"/>
      <c r="F1863" s="103"/>
      <c r="G1863" s="103"/>
      <c r="H1863" s="103"/>
      <c r="I1863" s="104"/>
      <c r="J1863" s="101"/>
    </row>
    <row r="1864" spans="1:10" ht="12.75">
      <c r="A1864" s="97"/>
      <c r="B1864" s="105" t="s">
        <v>67</v>
      </c>
      <c r="C1864" s="106"/>
      <c r="D1864" s="106"/>
      <c r="E1864" s="106"/>
      <c r="F1864" s="106"/>
      <c r="G1864" s="106"/>
      <c r="H1864" s="106"/>
      <c r="I1864" s="128"/>
      <c r="J1864" s="461"/>
    </row>
    <row r="1865" spans="1:10" ht="12.75">
      <c r="A1865" s="97"/>
      <c r="B1865" s="78"/>
      <c r="C1865" s="78"/>
      <c r="D1865" s="78"/>
      <c r="E1865" s="78"/>
      <c r="F1865" s="78"/>
      <c r="G1865" s="78"/>
      <c r="H1865" s="78"/>
      <c r="I1865" s="78"/>
      <c r="J1865" s="461" t="e">
        <f>IF(+I1933*0.12&gt;'Unit tariffs'!#REF!,'Unit tariffs'!#REF!,+I1933*0.12)</f>
        <v>#REF!</v>
      </c>
    </row>
    <row r="1866" spans="1:10" ht="12.75">
      <c r="A1866" s="97"/>
      <c r="B1866" s="78"/>
      <c r="C1866" s="78"/>
      <c r="D1866" s="78"/>
      <c r="E1866" s="78"/>
      <c r="F1866" s="78"/>
      <c r="G1866" s="78"/>
      <c r="H1866" s="109" t="str">
        <f>+H$11</f>
        <v>2020/2021</v>
      </c>
      <c r="I1866" s="109" t="str">
        <f>+'Unit tariffs'!$F$11</f>
        <v>2021/2022</v>
      </c>
      <c r="J1866" s="111"/>
    </row>
    <row r="1867" spans="1:10" ht="13.5">
      <c r="A1867" s="97"/>
      <c r="B1867" s="78"/>
      <c r="C1867" s="78"/>
      <c r="D1867" s="78"/>
      <c r="E1867" s="78"/>
      <c r="F1867" s="78"/>
      <c r="G1867" s="78"/>
      <c r="H1867" s="144"/>
      <c r="I1867" s="134"/>
      <c r="J1867" s="111"/>
    </row>
    <row r="1868" spans="1:10" ht="12.75">
      <c r="A1868" s="97"/>
      <c r="B1868" s="110" t="s">
        <v>66</v>
      </c>
      <c r="C1868" s="78"/>
      <c r="D1868" s="78"/>
      <c r="E1868" s="78"/>
      <c r="F1868" s="78"/>
      <c r="G1868" s="78"/>
      <c r="H1868" s="80">
        <v>492.8928069259593</v>
      </c>
      <c r="I1868" s="80">
        <f>(H1868*1.07)</f>
        <v>527.3953034107765</v>
      </c>
      <c r="J1868" s="111"/>
    </row>
    <row r="1869" spans="1:10" ht="12.75">
      <c r="A1869" s="97"/>
      <c r="B1869" s="78"/>
      <c r="C1869" s="78"/>
      <c r="D1869" s="78"/>
      <c r="E1869" s="78"/>
      <c r="F1869" s="78"/>
      <c r="G1869" s="78"/>
      <c r="H1869" s="110"/>
      <c r="I1869" s="134"/>
      <c r="J1869" s="101"/>
    </row>
    <row r="1870" spans="1:10" ht="12.75">
      <c r="A1870" s="97"/>
      <c r="B1870" s="110" t="s">
        <v>62</v>
      </c>
      <c r="C1870" s="78"/>
      <c r="D1870" s="78"/>
      <c r="E1870" s="78"/>
      <c r="F1870" s="78"/>
      <c r="G1870" s="78"/>
      <c r="H1870" s="78"/>
      <c r="I1870" s="78"/>
      <c r="J1870" s="101"/>
    </row>
    <row r="1871" spans="1:10" ht="12.75">
      <c r="A1871" s="97"/>
      <c r="B1871" s="78"/>
      <c r="C1871" s="78"/>
      <c r="D1871" s="78"/>
      <c r="E1871" s="78"/>
      <c r="F1871" s="78"/>
      <c r="G1871" s="78"/>
      <c r="H1871" s="78"/>
      <c r="I1871" s="78"/>
      <c r="J1871" s="111"/>
    </row>
    <row r="1872" spans="1:10" ht="12.75">
      <c r="A1872" s="97"/>
      <c r="B1872" s="110" t="s">
        <v>42</v>
      </c>
      <c r="C1872" s="78"/>
      <c r="D1872" s="78"/>
      <c r="E1872" s="78"/>
      <c r="F1872" s="78"/>
      <c r="G1872" s="78"/>
      <c r="H1872" s="78"/>
      <c r="I1872" s="78"/>
      <c r="J1872" s="111"/>
    </row>
    <row r="1873" spans="1:10" ht="12.75">
      <c r="A1873" s="97"/>
      <c r="B1873" s="78"/>
      <c r="C1873" s="78"/>
      <c r="D1873" s="78"/>
      <c r="E1873" s="78"/>
      <c r="F1873" s="78"/>
      <c r="G1873" s="78"/>
      <c r="H1873" s="78"/>
      <c r="I1873" s="78"/>
      <c r="J1873" s="111"/>
    </row>
    <row r="1874" spans="1:10" ht="12.75">
      <c r="A1874" s="97"/>
      <c r="B1874" s="78">
        <v>2.5</v>
      </c>
      <c r="C1874" s="78" t="str">
        <f>'Unit tariffs'!B$86</f>
        <v>hour-artisan </v>
      </c>
      <c r="D1874" s="78"/>
      <c r="E1874" s="78"/>
      <c r="F1874" s="78"/>
      <c r="G1874" s="78"/>
      <c r="H1874" s="80">
        <v>450.1468314083654</v>
      </c>
      <c r="I1874" s="80">
        <f>VLOOKUP($C1874,'Unit tariffs'!$B$21:$F$122,5,FALSE)*$B1874</f>
        <v>807.1305793269231</v>
      </c>
      <c r="J1874" s="111"/>
    </row>
    <row r="1875" spans="1:10" ht="12.75">
      <c r="A1875" s="97"/>
      <c r="B1875" s="78">
        <v>2.5</v>
      </c>
      <c r="C1875" s="78" t="str">
        <f>'Unit tariffs'!B$84</f>
        <v>hour-artisan assistant</v>
      </c>
      <c r="D1875" s="78"/>
      <c r="E1875" s="78"/>
      <c r="F1875" s="78"/>
      <c r="G1875" s="78"/>
      <c r="H1875" s="87">
        <v>199.00763980857693</v>
      </c>
      <c r="I1875" s="87">
        <f>VLOOKUP($C1875,'Unit tariffs'!$B$21:$F$122,5,FALSE)*$B1875</f>
        <v>321.33951923076927</v>
      </c>
      <c r="J1875" s="101"/>
    </row>
    <row r="1876" spans="1:10" ht="12.75">
      <c r="A1876" s="97"/>
      <c r="B1876" s="78"/>
      <c r="C1876" s="78"/>
      <c r="D1876" s="78"/>
      <c r="E1876" s="78"/>
      <c r="F1876" s="78"/>
      <c r="G1876" s="78"/>
      <c r="H1876" s="80">
        <v>649.1544712169423</v>
      </c>
      <c r="I1876" s="80">
        <f>SUM(I1874:I1875)</f>
        <v>1128.4700985576924</v>
      </c>
      <c r="J1876" s="101"/>
    </row>
    <row r="1877" spans="1:10" ht="12.75">
      <c r="A1877" s="97"/>
      <c r="B1877" s="110" t="s">
        <v>43</v>
      </c>
      <c r="C1877" s="78"/>
      <c r="D1877" s="78"/>
      <c r="E1877" s="78"/>
      <c r="F1877" s="78"/>
      <c r="G1877" s="78"/>
      <c r="H1877" s="78"/>
      <c r="I1877" s="78"/>
      <c r="J1877" s="111"/>
    </row>
    <row r="1878" spans="1:10" ht="12.75">
      <c r="A1878" s="97"/>
      <c r="B1878" s="78"/>
      <c r="C1878" s="78"/>
      <c r="D1878" s="78"/>
      <c r="E1878" s="78"/>
      <c r="F1878" s="78"/>
      <c r="G1878" s="78"/>
      <c r="H1878" s="78"/>
      <c r="I1878" s="78"/>
      <c r="J1878" s="111"/>
    </row>
    <row r="1879" spans="1:10" ht="12.75">
      <c r="A1879" s="97"/>
      <c r="B1879" s="78">
        <v>24</v>
      </c>
      <c r="C1879" s="78" t="str">
        <f>'Unit tariffs'!B$114</f>
        <v>km-panel van</v>
      </c>
      <c r="D1879" s="78"/>
      <c r="E1879" s="78"/>
      <c r="F1879" s="78"/>
      <c r="G1879" s="78"/>
      <c r="H1879" s="80">
        <v>425.72441184000013</v>
      </c>
      <c r="I1879" s="80">
        <f>VLOOKUP($C1879,'Unit tariffs'!$B$21:$F$122,5,FALSE)*$B1879</f>
        <v>539.0903329438512</v>
      </c>
      <c r="J1879" s="111"/>
    </row>
    <row r="1880" spans="1:10" ht="12.75">
      <c r="A1880" s="97"/>
      <c r="B1880" s="78">
        <f>+B1874</f>
        <v>2.5</v>
      </c>
      <c r="C1880" s="78" t="str">
        <f>'Unit tariffs'!B$115</f>
        <v>hour-panel van</v>
      </c>
      <c r="D1880" s="78"/>
      <c r="E1880" s="78"/>
      <c r="F1880" s="78"/>
      <c r="G1880" s="78"/>
      <c r="H1880" s="87">
        <v>404.5427360000001</v>
      </c>
      <c r="I1880" s="80">
        <f>VLOOKUP($C1880,'Unit tariffs'!$B$21:$F$122,5,FALSE)*$B1880</f>
        <v>490.79071783048</v>
      </c>
      <c r="J1880" s="111"/>
    </row>
    <row r="1881" spans="1:10" ht="12.75">
      <c r="A1881" s="97"/>
      <c r="B1881" s="78"/>
      <c r="C1881" s="78"/>
      <c r="D1881" s="78"/>
      <c r="E1881" s="78"/>
      <c r="F1881" s="78"/>
      <c r="G1881" s="78"/>
      <c r="H1881" s="146">
        <v>830.2671478400002</v>
      </c>
      <c r="I1881" s="146">
        <f>SUM(I1879:I1880)</f>
        <v>1029.8810507743312</v>
      </c>
      <c r="J1881" s="111"/>
    </row>
    <row r="1882" spans="1:10" ht="13.5" thickBot="1">
      <c r="A1882" s="97"/>
      <c r="B1882" s="110"/>
      <c r="C1882" s="78"/>
      <c r="D1882" s="112"/>
      <c r="E1882" s="78"/>
      <c r="F1882" s="78"/>
      <c r="G1882" s="78"/>
      <c r="H1882" s="114"/>
      <c r="I1882" s="114"/>
      <c r="J1882" s="111"/>
    </row>
    <row r="1883" spans="1:10" ht="13.5" thickTop="1">
      <c r="A1883" s="97"/>
      <c r="B1883" s="78"/>
      <c r="C1883" s="78"/>
      <c r="D1883" s="78"/>
      <c r="E1883" s="78"/>
      <c r="F1883" s="78"/>
      <c r="G1883" s="80"/>
      <c r="H1883" s="80">
        <v>1972.3144259829019</v>
      </c>
      <c r="I1883" s="80">
        <f>I1881+I1876+I1868</f>
        <v>2685.7464527428</v>
      </c>
      <c r="J1883" s="111"/>
    </row>
    <row r="1884" spans="1:10" ht="13.5" thickBot="1">
      <c r="A1884" s="97"/>
      <c r="B1884" s="110" t="str">
        <f>'Unit tariffs'!$B$7</f>
        <v>Administration Levy (Indirect Cost)</v>
      </c>
      <c r="C1884" s="78"/>
      <c r="D1884" s="112">
        <f>'Unit tariffs'!$C$7</f>
        <v>0.1</v>
      </c>
      <c r="E1884" s="78" t="s">
        <v>312</v>
      </c>
      <c r="F1884" s="196">
        <f>+'Unit tariffs'!$F$7</f>
        <v>10000</v>
      </c>
      <c r="G1884" s="80"/>
      <c r="H1884" s="114">
        <v>525.8190259670416</v>
      </c>
      <c r="I1884" s="114">
        <f>IF(I1883*$D1884&gt;='Unit tariffs'!$E$7,'Unit tariffs'!$E$7,I1883*$D1884)</f>
        <v>268.57464527428004</v>
      </c>
      <c r="J1884" s="101"/>
    </row>
    <row r="1885" spans="1:10" ht="13.5" thickTop="1">
      <c r="A1885" s="97"/>
      <c r="B1885" s="110" t="s">
        <v>44</v>
      </c>
      <c r="C1885" s="78"/>
      <c r="D1885" s="78"/>
      <c r="E1885" s="78"/>
      <c r="F1885" s="78"/>
      <c r="G1885" s="80"/>
      <c r="H1885" s="115">
        <v>2498.1334519499433</v>
      </c>
      <c r="I1885" s="115">
        <f>SUM(I1883:I1884)</f>
        <v>2954.32109801708</v>
      </c>
      <c r="J1885" s="116"/>
    </row>
    <row r="1886" spans="1:10" ht="12.75">
      <c r="A1886" s="97"/>
      <c r="B1886" s="78"/>
      <c r="C1886" s="78"/>
      <c r="D1886" s="78"/>
      <c r="E1886" s="78"/>
      <c r="F1886" s="78"/>
      <c r="G1886" s="78"/>
      <c r="H1886" s="78"/>
      <c r="I1886" s="78"/>
      <c r="J1886" s="111"/>
    </row>
    <row r="1887" spans="1:10" ht="12.75">
      <c r="A1887" s="97"/>
      <c r="B1887" s="110" t="s">
        <v>45</v>
      </c>
      <c r="C1887" s="78"/>
      <c r="D1887" s="78"/>
      <c r="E1887" s="78"/>
      <c r="F1887" s="78"/>
      <c r="G1887" s="78"/>
      <c r="H1887" s="90">
        <v>2500</v>
      </c>
      <c r="I1887" s="90">
        <f>ROUND(I1885,-1)</f>
        <v>2950</v>
      </c>
      <c r="J1887" s="119"/>
    </row>
    <row r="1888" spans="1:10" ht="13.5" thickBot="1">
      <c r="A1888" s="97"/>
      <c r="B1888" s="78"/>
      <c r="C1888" s="78"/>
      <c r="D1888" s="78"/>
      <c r="E1888" s="78"/>
      <c r="F1888" s="78"/>
      <c r="G1888" s="78"/>
      <c r="H1888" s="78"/>
      <c r="I1888" s="80"/>
      <c r="J1888" s="463"/>
    </row>
    <row r="1889" spans="1:10" ht="13.5" thickTop="1">
      <c r="A1889" s="97"/>
      <c r="B1889" s="78"/>
      <c r="C1889" s="78"/>
      <c r="D1889" s="78"/>
      <c r="E1889" s="78"/>
      <c r="F1889" s="78"/>
      <c r="G1889" s="78"/>
      <c r="H1889" s="118">
        <v>0.06837606837606838</v>
      </c>
      <c r="I1889" s="118">
        <f>(I1887-H1887)/H1887</f>
        <v>0.18</v>
      </c>
      <c r="J1889" s="101"/>
    </row>
    <row r="1890" spans="1:10" ht="13.5" thickBot="1">
      <c r="A1890" s="462"/>
      <c r="B1890" s="130"/>
      <c r="C1890" s="130"/>
      <c r="D1890" s="130"/>
      <c r="E1890" s="130"/>
      <c r="F1890" s="130"/>
      <c r="G1890" s="130"/>
      <c r="H1890" s="130"/>
      <c r="I1890" s="130"/>
      <c r="J1890" s="101"/>
    </row>
    <row r="1891" spans="1:10" ht="13.5" thickTop="1">
      <c r="A1891" s="97"/>
      <c r="B1891" s="78"/>
      <c r="C1891" s="78"/>
      <c r="D1891" s="78"/>
      <c r="E1891" s="78"/>
      <c r="F1891" s="78"/>
      <c r="G1891" s="78"/>
      <c r="H1891" s="78"/>
      <c r="I1891" s="78"/>
      <c r="J1891" s="460"/>
    </row>
    <row r="1892" spans="1:10" ht="13.5" thickBot="1">
      <c r="A1892" s="97"/>
      <c r="B1892" s="78"/>
      <c r="C1892" s="78"/>
      <c r="D1892" s="78"/>
      <c r="E1892" s="78"/>
      <c r="F1892" s="78"/>
      <c r="G1892" s="78"/>
      <c r="H1892" s="78"/>
      <c r="I1892" s="78"/>
      <c r="J1892" s="101"/>
    </row>
    <row r="1893" spans="1:10" ht="13.5" thickTop="1">
      <c r="A1893" s="459"/>
      <c r="B1893" s="127" t="s">
        <v>1</v>
      </c>
      <c r="C1893" s="127"/>
      <c r="D1893" s="127"/>
      <c r="E1893" s="127"/>
      <c r="F1893" s="127"/>
      <c r="G1893" s="127"/>
      <c r="H1893" s="127"/>
      <c r="I1893" s="127"/>
      <c r="J1893" s="101"/>
    </row>
    <row r="1894" spans="1:10" ht="12.75">
      <c r="A1894" s="97"/>
      <c r="B1894" s="98" t="s">
        <v>534</v>
      </c>
      <c r="C1894" s="99"/>
      <c r="D1894" s="99"/>
      <c r="E1894" s="99"/>
      <c r="F1894" s="99"/>
      <c r="G1894" s="99"/>
      <c r="H1894" s="99"/>
      <c r="I1894" s="100"/>
      <c r="J1894" s="101"/>
    </row>
    <row r="1895" spans="1:10" ht="12.75">
      <c r="A1895" s="97"/>
      <c r="B1895" s="110"/>
      <c r="C1895" s="78"/>
      <c r="D1895" s="78"/>
      <c r="E1895" s="78"/>
      <c r="F1895" s="78"/>
      <c r="G1895" s="78"/>
      <c r="H1895" s="78"/>
      <c r="I1895" s="78"/>
      <c r="J1895" s="458"/>
    </row>
    <row r="1896" spans="1:10" ht="12.75">
      <c r="A1896" s="97"/>
      <c r="B1896" s="110"/>
      <c r="C1896" s="78"/>
      <c r="D1896" s="78"/>
      <c r="E1896" s="78"/>
      <c r="F1896" s="78"/>
      <c r="G1896" s="78"/>
      <c r="H1896" s="78"/>
      <c r="I1896" s="78"/>
      <c r="J1896" s="101"/>
    </row>
    <row r="1897" spans="1:10" ht="12.75">
      <c r="A1897" s="97"/>
      <c r="B1897" s="78"/>
      <c r="C1897" s="78"/>
      <c r="D1897" s="78"/>
      <c r="E1897" s="78"/>
      <c r="F1897" s="78"/>
      <c r="G1897" s="78"/>
      <c r="H1897" s="109" t="str">
        <f>+H$11</f>
        <v>2020/2021</v>
      </c>
      <c r="I1897" s="109" t="str">
        <f>+'Unit tariffs'!$F$11</f>
        <v>2021/2022</v>
      </c>
      <c r="J1897" s="111"/>
    </row>
    <row r="1898" spans="1:10" ht="12.75">
      <c r="A1898" s="97"/>
      <c r="B1898" s="110" t="s">
        <v>41</v>
      </c>
      <c r="C1898" s="78"/>
      <c r="D1898" s="78"/>
      <c r="E1898" s="78"/>
      <c r="F1898" s="78"/>
      <c r="G1898" s="78"/>
      <c r="H1898" s="145"/>
      <c r="I1898" s="78"/>
      <c r="J1898" s="101"/>
    </row>
    <row r="1899" spans="1:10" ht="12.75">
      <c r="A1899" s="97"/>
      <c r="B1899" s="78"/>
      <c r="C1899" s="78"/>
      <c r="D1899" s="78"/>
      <c r="E1899" s="78"/>
      <c r="F1899" s="78"/>
      <c r="G1899" s="78"/>
      <c r="H1899" s="145"/>
      <c r="I1899" s="78"/>
      <c r="J1899" s="458" t="s">
        <v>315</v>
      </c>
    </row>
    <row r="1900" spans="1:10" ht="12.75">
      <c r="A1900" s="97"/>
      <c r="B1900" s="78">
        <v>1</v>
      </c>
      <c r="C1900" s="78" t="str">
        <f>'Unit tariffs'!B34</f>
        <v>Prepaid meter (Split) 1 phase 59A Unique Mbani</v>
      </c>
      <c r="D1900" s="78"/>
      <c r="E1900" s="78"/>
      <c r="F1900" s="78"/>
      <c r="G1900" s="78"/>
      <c r="H1900" s="88">
        <v>2017.4489999999998</v>
      </c>
      <c r="I1900" s="80">
        <f>VLOOKUP($C1900,'Unit tariffs'!$B$21:$F$122,5,FALSE)*$B1900</f>
        <v>2171.5538593139995</v>
      </c>
      <c r="J1900" s="461" t="e">
        <f>IF(+I1900*'Unit tariffs'!#REF!&gt;'Unit tariffs'!#REF!,'Unit tariffs'!#REF!,+I1900*'Unit tariffs'!#REF!)</f>
        <v>#REF!</v>
      </c>
    </row>
    <row r="1901" spans="1:10" ht="12.75">
      <c r="A1901" s="97"/>
      <c r="B1901" s="78">
        <v>1.6</v>
      </c>
      <c r="C1901" s="78" t="str">
        <f>'Unit tariffs'!B21</f>
        <v>Installation material</v>
      </c>
      <c r="D1901" s="78"/>
      <c r="E1901" s="78"/>
      <c r="F1901" s="78"/>
      <c r="G1901" s="78"/>
      <c r="H1901" s="89">
        <v>176.0232</v>
      </c>
      <c r="I1901" s="87">
        <f>VLOOKUP($C1901,'Unit tariffs'!$B$21:$F$122,5,FALSE)*$B1901</f>
        <v>416.8</v>
      </c>
      <c r="J1901" s="461" t="e">
        <f>IF(+I1901*'Unit tariffs'!#REF!&gt;'Unit tariffs'!#REF!,'Unit tariffs'!#REF!,+I1901*'Unit tariffs'!#REF!)</f>
        <v>#REF!</v>
      </c>
    </row>
    <row r="1902" spans="1:10" ht="12.75">
      <c r="A1902" s="97"/>
      <c r="B1902" s="78"/>
      <c r="C1902" s="78"/>
      <c r="D1902" s="78"/>
      <c r="E1902" s="78"/>
      <c r="F1902" s="78"/>
      <c r="G1902" s="80"/>
      <c r="H1902" s="88">
        <v>2193.4721999999997</v>
      </c>
      <c r="I1902" s="80">
        <f>SUM(I1900:I1901)</f>
        <v>2588.3538593139997</v>
      </c>
      <c r="J1902" s="111"/>
    </row>
    <row r="1903" spans="1:10" ht="12.75">
      <c r="A1903" s="97"/>
      <c r="B1903" s="110" t="s">
        <v>42</v>
      </c>
      <c r="C1903" s="78"/>
      <c r="D1903" s="78"/>
      <c r="E1903" s="78"/>
      <c r="F1903" s="78"/>
      <c r="G1903" s="78"/>
      <c r="H1903" s="78"/>
      <c r="I1903" s="78"/>
      <c r="J1903" s="101"/>
    </row>
    <row r="1904" spans="1:10" ht="12.75">
      <c r="A1904" s="97"/>
      <c r="B1904" s="78"/>
      <c r="C1904" s="78"/>
      <c r="D1904" s="78"/>
      <c r="E1904" s="78"/>
      <c r="F1904" s="78"/>
      <c r="G1904" s="78"/>
      <c r="H1904" s="78"/>
      <c r="I1904" s="78"/>
      <c r="J1904" s="101"/>
    </row>
    <row r="1905" spans="1:10" ht="12.75">
      <c r="A1905" s="97"/>
      <c r="B1905" s="78">
        <v>0.75</v>
      </c>
      <c r="C1905" s="78" t="str">
        <f>'Unit tariffs'!B85</f>
        <v>hour-meter assistant</v>
      </c>
      <c r="D1905" s="78"/>
      <c r="E1905" s="78"/>
      <c r="F1905" s="78"/>
      <c r="G1905" s="78"/>
      <c r="H1905" s="80">
        <v>56.058490086923086</v>
      </c>
      <c r="I1905" s="80">
        <f>VLOOKUP($C1905,'Unit tariffs'!$B$21:$F$122,5,FALSE)*$B1905</f>
        <v>96.40185576923079</v>
      </c>
      <c r="J1905" s="111"/>
    </row>
    <row r="1906" spans="1:10" ht="12.75">
      <c r="A1906" s="97"/>
      <c r="B1906" s="78">
        <v>1</v>
      </c>
      <c r="C1906" s="78" t="str">
        <f>'Unit tariffs'!B$86</f>
        <v>hour-artisan </v>
      </c>
      <c r="D1906" s="78"/>
      <c r="E1906" s="78"/>
      <c r="F1906" s="78"/>
      <c r="G1906" s="78"/>
      <c r="H1906" s="88">
        <v>169.06923245384615</v>
      </c>
      <c r="I1906" s="80">
        <f>VLOOKUP($C1906,'Unit tariffs'!$B$21:$F$122,5,FALSE)*$B1906</f>
        <v>322.85223173076923</v>
      </c>
      <c r="J1906" s="111"/>
    </row>
    <row r="1907" spans="1:10" ht="12.75">
      <c r="A1907" s="97"/>
      <c r="B1907" s="78">
        <v>1</v>
      </c>
      <c r="C1907" s="78" t="str">
        <f>'Unit tariffs'!B$84</f>
        <v>hour-artisan assistant</v>
      </c>
      <c r="D1907" s="78"/>
      <c r="E1907" s="78"/>
      <c r="F1907" s="78"/>
      <c r="G1907" s="78"/>
      <c r="H1907" s="89">
        <v>74.74465344923078</v>
      </c>
      <c r="I1907" s="87">
        <f>VLOOKUP($C1907,'Unit tariffs'!$B$21:$F$122,5,FALSE)*$B1907</f>
        <v>128.5358076923077</v>
      </c>
      <c r="J1907" s="111"/>
    </row>
    <row r="1908" spans="1:10" ht="12.75">
      <c r="A1908" s="97"/>
      <c r="B1908" s="78"/>
      <c r="C1908" s="78"/>
      <c r="D1908" s="78"/>
      <c r="E1908" s="78"/>
      <c r="F1908" s="78"/>
      <c r="G1908" s="78"/>
      <c r="H1908" s="88">
        <v>299.87237599</v>
      </c>
      <c r="I1908" s="80">
        <f>SUM(I1905:I1907)</f>
        <v>547.7898951923078</v>
      </c>
      <c r="J1908" s="111"/>
    </row>
    <row r="1909" spans="1:10" ht="12.75">
      <c r="A1909" s="97"/>
      <c r="B1909" s="110" t="s">
        <v>43</v>
      </c>
      <c r="C1909" s="78"/>
      <c r="D1909" s="78"/>
      <c r="E1909" s="78"/>
      <c r="F1909" s="78"/>
      <c r="G1909" s="78"/>
      <c r="H1909" s="145"/>
      <c r="I1909" s="78"/>
      <c r="J1909" s="111"/>
    </row>
    <row r="1910" spans="1:10" ht="12.75">
      <c r="A1910" s="97"/>
      <c r="B1910" s="78"/>
      <c r="C1910" s="78"/>
      <c r="D1910" s="78"/>
      <c r="E1910" s="78"/>
      <c r="F1910" s="78"/>
      <c r="G1910" s="78"/>
      <c r="H1910" s="145"/>
      <c r="I1910" s="78"/>
      <c r="J1910" s="111"/>
    </row>
    <row r="1911" spans="1:10" ht="12.75">
      <c r="A1911" s="97"/>
      <c r="B1911" s="78">
        <v>24</v>
      </c>
      <c r="C1911" s="78" t="str">
        <f>'Unit tariffs'!B$114</f>
        <v>km-panel van</v>
      </c>
      <c r="D1911" s="78"/>
      <c r="E1911" s="78"/>
      <c r="F1911" s="78"/>
      <c r="G1911" s="78"/>
      <c r="H1911" s="88">
        <v>399.36624000000006</v>
      </c>
      <c r="I1911" s="80">
        <f>VLOOKUP($C1911,'Unit tariffs'!$B$21:$F$122,5,FALSE)*$B1911</f>
        <v>539.0903329438512</v>
      </c>
      <c r="J1911" s="111"/>
    </row>
    <row r="1912" spans="1:10" ht="12.75">
      <c r="A1912" s="97"/>
      <c r="B1912" s="78">
        <v>1.25</v>
      </c>
      <c r="C1912" s="78" t="str">
        <f>'Unit tariffs'!B$115</f>
        <v>hour-panel van</v>
      </c>
      <c r="D1912" s="78"/>
      <c r="E1912" s="78"/>
      <c r="F1912" s="78"/>
      <c r="G1912" s="78"/>
      <c r="H1912" s="89">
        <v>189.74800000000002</v>
      </c>
      <c r="I1912" s="80">
        <f>VLOOKUP($C1912,'Unit tariffs'!$B$21:$F$122,5,FALSE)*$B1912</f>
        <v>245.39535891524</v>
      </c>
      <c r="J1912" s="461"/>
    </row>
    <row r="1913" spans="1:10" ht="12.75">
      <c r="A1913" s="97"/>
      <c r="B1913" s="78"/>
      <c r="C1913" s="78"/>
      <c r="D1913" s="78"/>
      <c r="E1913" s="78"/>
      <c r="F1913" s="78"/>
      <c r="G1913" s="78"/>
      <c r="H1913" s="155">
        <v>589.1142400000001</v>
      </c>
      <c r="I1913" s="146">
        <f>SUM(I1911:I1912)</f>
        <v>784.4856918590912</v>
      </c>
      <c r="J1913" s="461"/>
    </row>
    <row r="1914" spans="1:10" ht="13.5" thickBot="1">
      <c r="A1914" s="97"/>
      <c r="B1914" s="110"/>
      <c r="C1914" s="78"/>
      <c r="D1914" s="112"/>
      <c r="E1914" s="78"/>
      <c r="F1914" s="78"/>
      <c r="G1914" s="78"/>
      <c r="H1914" s="136"/>
      <c r="I1914" s="114"/>
      <c r="J1914" s="461"/>
    </row>
    <row r="1915" spans="1:10" ht="13.5" thickTop="1">
      <c r="A1915" s="97"/>
      <c r="B1915" s="78"/>
      <c r="C1915" s="78"/>
      <c r="D1915" s="78"/>
      <c r="E1915" s="78"/>
      <c r="F1915" s="78"/>
      <c r="G1915" s="80"/>
      <c r="H1915" s="88">
        <v>3082.45881599</v>
      </c>
      <c r="I1915" s="80">
        <f>I1913+I1908+I1902</f>
        <v>3920.6294463653985</v>
      </c>
      <c r="J1915" s="111"/>
    </row>
    <row r="1916" spans="1:10" ht="13.5" thickBot="1">
      <c r="A1916" s="97"/>
      <c r="B1916" s="110" t="str">
        <f>'Unit tariffs'!$B$7</f>
        <v>Administration Levy (Indirect Cost)</v>
      </c>
      <c r="C1916" s="78"/>
      <c r="D1916" s="112">
        <f>'Unit tariffs'!$C$7</f>
        <v>0.1</v>
      </c>
      <c r="E1916" s="78" t="s">
        <v>312</v>
      </c>
      <c r="F1916" s="196">
        <f>+'Unit tariffs'!$F$7</f>
        <v>10000</v>
      </c>
      <c r="G1916" s="80"/>
      <c r="H1916" s="136">
        <v>821.783520342934</v>
      </c>
      <c r="I1916" s="114">
        <f>IF(I1915*$D1916&gt;='Unit tariffs'!$E$7,'Unit tariffs'!$E$7,I1915*$D1916)</f>
        <v>392.0629446365399</v>
      </c>
      <c r="J1916" s="111"/>
    </row>
    <row r="1917" spans="1:10" ht="13.5" thickTop="1">
      <c r="A1917" s="97"/>
      <c r="B1917" s="110" t="s">
        <v>44</v>
      </c>
      <c r="C1917" s="78"/>
      <c r="D1917" s="78"/>
      <c r="E1917" s="78"/>
      <c r="F1917" s="78"/>
      <c r="G1917" s="80"/>
      <c r="H1917" s="137">
        <v>3904.242336332934</v>
      </c>
      <c r="I1917" s="115">
        <f>SUM(I1915:I1916)</f>
        <v>4312.692391001939</v>
      </c>
      <c r="J1917" s="111"/>
    </row>
    <row r="1918" spans="1:10" ht="12.75">
      <c r="A1918" s="97"/>
      <c r="B1918" s="78"/>
      <c r="C1918" s="78"/>
      <c r="D1918" s="78"/>
      <c r="E1918" s="78"/>
      <c r="F1918" s="78"/>
      <c r="G1918" s="78"/>
      <c r="H1918" s="145"/>
      <c r="I1918" s="78"/>
      <c r="J1918" s="111"/>
    </row>
    <row r="1919" spans="1:10" ht="13.5">
      <c r="A1919" s="97"/>
      <c r="B1919" s="110" t="s">
        <v>45</v>
      </c>
      <c r="C1919" s="78"/>
      <c r="D1919" s="78"/>
      <c r="E1919" s="78"/>
      <c r="F1919" s="78"/>
      <c r="G1919" s="78"/>
      <c r="H1919" s="81">
        <v>3900</v>
      </c>
      <c r="I1919" s="90">
        <f>ROUND(I1917,-1)</f>
        <v>4310</v>
      </c>
      <c r="J1919" s="101"/>
    </row>
    <row r="1920" spans="1:10" ht="12.75">
      <c r="A1920" s="97"/>
      <c r="B1920" s="78"/>
      <c r="C1920" s="78"/>
      <c r="D1920" s="78"/>
      <c r="E1920" s="78"/>
      <c r="F1920" s="78"/>
      <c r="G1920" s="78"/>
      <c r="H1920" s="78"/>
      <c r="I1920" s="80"/>
      <c r="J1920" s="101"/>
    </row>
    <row r="1921" spans="1:10" ht="12.75">
      <c r="A1921" s="97"/>
      <c r="B1921" s="78"/>
      <c r="C1921" s="78"/>
      <c r="D1921" s="78"/>
      <c r="E1921" s="78"/>
      <c r="F1921" s="78"/>
      <c r="G1921" s="78"/>
      <c r="H1921" s="118">
        <v>0.4942528735632184</v>
      </c>
      <c r="I1921" s="118">
        <f>(I1919-H1919)/H1919</f>
        <v>0.10512820512820513</v>
      </c>
      <c r="J1921" s="111"/>
    </row>
    <row r="1922" spans="1:10" ht="13.5" thickBot="1">
      <c r="A1922" s="462"/>
      <c r="B1922" s="130"/>
      <c r="C1922" s="130"/>
      <c r="D1922" s="130"/>
      <c r="E1922" s="130"/>
      <c r="F1922" s="130"/>
      <c r="G1922" s="130"/>
      <c r="H1922" s="130"/>
      <c r="I1922" s="130"/>
      <c r="J1922" s="111"/>
    </row>
    <row r="1923" spans="1:10" ht="13.5" thickTop="1">
      <c r="A1923" s="97"/>
      <c r="B1923" s="78"/>
      <c r="C1923" s="78"/>
      <c r="D1923" s="78"/>
      <c r="E1923" s="78"/>
      <c r="F1923" s="78"/>
      <c r="G1923" s="78"/>
      <c r="H1923" s="78"/>
      <c r="I1923" s="78"/>
      <c r="J1923" s="111"/>
    </row>
    <row r="1924" spans="1:10" ht="13.5" thickBot="1">
      <c r="A1924" s="97"/>
      <c r="B1924" s="78"/>
      <c r="C1924" s="78"/>
      <c r="D1924" s="78"/>
      <c r="E1924" s="78"/>
      <c r="F1924" s="78"/>
      <c r="G1924" s="78"/>
      <c r="H1924" s="78"/>
      <c r="I1924" s="78"/>
      <c r="J1924" s="111"/>
    </row>
    <row r="1925" spans="1:10" ht="13.5" thickTop="1">
      <c r="A1925" s="459"/>
      <c r="B1925" s="127" t="s">
        <v>1</v>
      </c>
      <c r="C1925" s="127"/>
      <c r="D1925" s="127"/>
      <c r="E1925" s="127"/>
      <c r="F1925" s="127"/>
      <c r="G1925" s="127"/>
      <c r="H1925" s="127"/>
      <c r="I1925" s="127"/>
      <c r="J1925" s="111"/>
    </row>
    <row r="1926" spans="1:10" ht="12.75">
      <c r="A1926" s="97"/>
      <c r="B1926" s="98" t="s">
        <v>535</v>
      </c>
      <c r="C1926" s="99"/>
      <c r="D1926" s="99"/>
      <c r="E1926" s="99"/>
      <c r="F1926" s="99"/>
      <c r="G1926" s="99"/>
      <c r="H1926" s="99"/>
      <c r="I1926" s="100"/>
      <c r="J1926" s="111"/>
    </row>
    <row r="1927" spans="1:10" ht="12.75">
      <c r="A1927" s="97"/>
      <c r="B1927" s="110"/>
      <c r="C1927" s="78"/>
      <c r="D1927" s="78"/>
      <c r="E1927" s="78"/>
      <c r="F1927" s="78"/>
      <c r="G1927" s="78"/>
      <c r="H1927" s="78"/>
      <c r="I1927" s="78"/>
      <c r="J1927" s="111"/>
    </row>
    <row r="1928" spans="1:10" ht="12.75">
      <c r="A1928" s="97"/>
      <c r="B1928" s="110"/>
      <c r="C1928" s="78"/>
      <c r="D1928" s="78"/>
      <c r="E1928" s="78"/>
      <c r="F1928" s="78"/>
      <c r="G1928" s="78"/>
      <c r="H1928" s="78"/>
      <c r="I1928" s="78"/>
      <c r="J1928" s="111"/>
    </row>
    <row r="1929" spans="1:10" ht="12.75">
      <c r="A1929" s="97"/>
      <c r="B1929" s="78"/>
      <c r="C1929" s="78"/>
      <c r="D1929" s="78"/>
      <c r="E1929" s="78"/>
      <c r="F1929" s="78"/>
      <c r="G1929" s="78"/>
      <c r="H1929" s="109" t="str">
        <f>+H$11</f>
        <v>2020/2021</v>
      </c>
      <c r="I1929" s="109" t="str">
        <f>+'Unit tariffs'!$F$11</f>
        <v>2021/2022</v>
      </c>
      <c r="J1929" s="111"/>
    </row>
    <row r="1930" spans="1:10" ht="12.75">
      <c r="A1930" s="97"/>
      <c r="B1930" s="110" t="s">
        <v>41</v>
      </c>
      <c r="C1930" s="78"/>
      <c r="D1930" s="78"/>
      <c r="E1930" s="78"/>
      <c r="F1930" s="78"/>
      <c r="G1930" s="78"/>
      <c r="H1930" s="145"/>
      <c r="I1930" s="78"/>
      <c r="J1930" s="111"/>
    </row>
    <row r="1931" spans="1:10" ht="12.75">
      <c r="A1931" s="97"/>
      <c r="B1931" s="78"/>
      <c r="C1931" s="78"/>
      <c r="D1931" s="78"/>
      <c r="E1931" s="78"/>
      <c r="F1931" s="78"/>
      <c r="G1931" s="78"/>
      <c r="H1931" s="145"/>
      <c r="I1931" s="78"/>
      <c r="J1931" s="458" t="s">
        <v>315</v>
      </c>
    </row>
    <row r="1932" spans="1:10" ht="12.75">
      <c r="A1932" s="97"/>
      <c r="B1932" s="78">
        <v>1</v>
      </c>
      <c r="C1932" s="78" t="str">
        <f>+'Unit tariffs'!B35</f>
        <v>Prepaid meter (Split) 3 phase - </v>
      </c>
      <c r="D1932" s="78"/>
      <c r="E1932" s="78"/>
      <c r="F1932" s="78"/>
      <c r="G1932" s="78"/>
      <c r="H1932" s="80">
        <v>6529.593</v>
      </c>
      <c r="I1932" s="199">
        <f>VLOOKUP($C1932,'Unit tariffs'!$B$21:$F$122,5,FALSE)*$B1932</f>
        <v>7028.362490897999</v>
      </c>
      <c r="J1932" s="461" t="e">
        <f>IF(+I1932*'Unit tariffs'!#REF!&gt;'Unit tariffs'!#REF!,'Unit tariffs'!#REF!,+I1932*'Unit tariffs'!#REF!)</f>
        <v>#REF!</v>
      </c>
    </row>
    <row r="1933" spans="1:10" ht="12.75">
      <c r="A1933" s="97"/>
      <c r="B1933" s="78">
        <v>1</v>
      </c>
      <c r="C1933" s="78" t="str">
        <f>'Unit tariffs'!B21</f>
        <v>Installation material</v>
      </c>
      <c r="D1933" s="78"/>
      <c r="E1933" s="78"/>
      <c r="F1933" s="78"/>
      <c r="G1933" s="78"/>
      <c r="H1933" s="87">
        <v>110.0145</v>
      </c>
      <c r="I1933" s="87">
        <f>VLOOKUP($C1933,'Unit tariffs'!$B$21:$F$122,5,FALSE)*$B1933</f>
        <v>260.5</v>
      </c>
      <c r="J1933" s="461" t="e">
        <f>IF(+I1933*'Unit tariffs'!#REF!&gt;'Unit tariffs'!#REF!,'Unit tariffs'!#REF!,+I1933*'Unit tariffs'!#REF!)</f>
        <v>#REF!</v>
      </c>
    </row>
    <row r="1934" spans="1:10" ht="12.75">
      <c r="A1934" s="97"/>
      <c r="B1934" s="78"/>
      <c r="C1934" s="78"/>
      <c r="D1934" s="78"/>
      <c r="E1934" s="78"/>
      <c r="F1934" s="78"/>
      <c r="G1934" s="80"/>
      <c r="H1934" s="80">
        <v>6639.6075</v>
      </c>
      <c r="I1934" s="80">
        <f>SUM(I1932:I1933)</f>
        <v>7288.862490897999</v>
      </c>
      <c r="J1934" s="111"/>
    </row>
    <row r="1935" spans="1:10" ht="12.75">
      <c r="A1935" s="97"/>
      <c r="B1935" s="110" t="s">
        <v>42</v>
      </c>
      <c r="C1935" s="78"/>
      <c r="D1935" s="78"/>
      <c r="E1935" s="78"/>
      <c r="F1935" s="78"/>
      <c r="G1935" s="78"/>
      <c r="H1935" s="78"/>
      <c r="I1935" s="78"/>
      <c r="J1935" s="101"/>
    </row>
    <row r="1936" spans="1:10" ht="12.75">
      <c r="A1936" s="97"/>
      <c r="B1936" s="78"/>
      <c r="C1936" s="78"/>
      <c r="D1936" s="78"/>
      <c r="E1936" s="78"/>
      <c r="F1936" s="78"/>
      <c r="G1936" s="78"/>
      <c r="H1936" s="78"/>
      <c r="I1936" s="78"/>
      <c r="J1936" s="116"/>
    </row>
    <row r="1937" spans="1:10" ht="12.75">
      <c r="A1937" s="97"/>
      <c r="B1937" s="78">
        <v>0.75</v>
      </c>
      <c r="C1937" s="78" t="str">
        <f>'Unit tariffs'!B85</f>
        <v>hour-meter assistant</v>
      </c>
      <c r="D1937" s="78"/>
      <c r="E1937" s="78"/>
      <c r="F1937" s="78"/>
      <c r="G1937" s="78"/>
      <c r="H1937" s="80">
        <v>56.058490086923086</v>
      </c>
      <c r="I1937" s="80">
        <f>VLOOKUP($C1937,'Unit tariffs'!$B$21:$F$122,5,FALSE)*$B1937</f>
        <v>96.40185576923079</v>
      </c>
      <c r="J1937" s="111"/>
    </row>
    <row r="1938" spans="1:10" ht="12.75">
      <c r="A1938" s="97"/>
      <c r="B1938" s="78">
        <v>2</v>
      </c>
      <c r="C1938" s="78" t="str">
        <f>'Unit tariffs'!B$86</f>
        <v>hour-artisan </v>
      </c>
      <c r="D1938" s="78"/>
      <c r="E1938" s="78"/>
      <c r="F1938" s="78"/>
      <c r="G1938" s="78"/>
      <c r="H1938" s="80">
        <v>338.1384649076923</v>
      </c>
      <c r="I1938" s="80">
        <f>VLOOKUP($C1938,'Unit tariffs'!$B$21:$F$122,5,FALSE)*$B1938</f>
        <v>645.7044634615385</v>
      </c>
      <c r="J1938" s="119"/>
    </row>
    <row r="1939" spans="1:10" ht="12.75">
      <c r="A1939" s="97"/>
      <c r="B1939" s="78">
        <v>2</v>
      </c>
      <c r="C1939" s="78" t="str">
        <f>'Unit tariffs'!B$84</f>
        <v>hour-artisan assistant</v>
      </c>
      <c r="D1939" s="78"/>
      <c r="E1939" s="78"/>
      <c r="F1939" s="78"/>
      <c r="G1939" s="78"/>
      <c r="H1939" s="87">
        <v>149.48930689846156</v>
      </c>
      <c r="I1939" s="87">
        <f>VLOOKUP($C1939,'Unit tariffs'!$B$21:$F$122,5,FALSE)*$B1939</f>
        <v>257.0716153846154</v>
      </c>
      <c r="J1939" s="101"/>
    </row>
    <row r="1940" spans="1:10" ht="12.75">
      <c r="A1940" s="97"/>
      <c r="B1940" s="78"/>
      <c r="C1940" s="78"/>
      <c r="D1940" s="78"/>
      <c r="E1940" s="78"/>
      <c r="F1940" s="78"/>
      <c r="G1940" s="78"/>
      <c r="H1940" s="80">
        <v>543.686261893077</v>
      </c>
      <c r="I1940" s="80">
        <f>SUM(I1937:I1939)</f>
        <v>999.1779346153846</v>
      </c>
      <c r="J1940" s="101"/>
    </row>
    <row r="1941" spans="1:10" ht="12.75">
      <c r="A1941" s="97"/>
      <c r="B1941" s="110" t="s">
        <v>43</v>
      </c>
      <c r="C1941" s="78"/>
      <c r="D1941" s="78"/>
      <c r="E1941" s="78"/>
      <c r="F1941" s="78"/>
      <c r="G1941" s="78"/>
      <c r="H1941" s="78"/>
      <c r="I1941" s="78"/>
      <c r="J1941" s="101"/>
    </row>
    <row r="1942" spans="1:10" ht="12.75">
      <c r="A1942" s="97"/>
      <c r="B1942" s="78"/>
      <c r="C1942" s="78"/>
      <c r="D1942" s="78"/>
      <c r="E1942" s="78"/>
      <c r="F1942" s="78"/>
      <c r="G1942" s="78"/>
      <c r="H1942" s="78"/>
      <c r="I1942" s="78"/>
      <c r="J1942" s="101"/>
    </row>
    <row r="1943" spans="1:10" ht="12.75">
      <c r="A1943" s="97"/>
      <c r="B1943" s="78">
        <v>24</v>
      </c>
      <c r="C1943" s="78" t="str">
        <f>'Unit tariffs'!B$114</f>
        <v>km-panel van</v>
      </c>
      <c r="D1943" s="78"/>
      <c r="E1943" s="78"/>
      <c r="F1943" s="78"/>
      <c r="G1943" s="78"/>
      <c r="H1943" s="80">
        <v>399.36624000000006</v>
      </c>
      <c r="I1943" s="80">
        <f>VLOOKUP($C1943,'Unit tariffs'!$B$21:$F$122,5,FALSE)*$B1943</f>
        <v>539.0903329438512</v>
      </c>
      <c r="J1943" s="101"/>
    </row>
    <row r="1944" spans="1:10" ht="12.75">
      <c r="A1944" s="97"/>
      <c r="B1944" s="78">
        <f>+B1938</f>
        <v>2</v>
      </c>
      <c r="C1944" s="78" t="str">
        <f>'Unit tariffs'!B$115</f>
        <v>hour-panel van</v>
      </c>
      <c r="D1944" s="78"/>
      <c r="E1944" s="78"/>
      <c r="F1944" s="78"/>
      <c r="G1944" s="78"/>
      <c r="H1944" s="80">
        <v>303.59680000000003</v>
      </c>
      <c r="I1944" s="80">
        <f>VLOOKUP($C1944,'Unit tariffs'!$B$21:$F$122,5,FALSE)*$B1944</f>
        <v>392.632574264384</v>
      </c>
      <c r="J1944" s="101"/>
    </row>
    <row r="1945" spans="1:10" ht="12.75">
      <c r="A1945" s="97"/>
      <c r="B1945" s="78"/>
      <c r="C1945" s="78"/>
      <c r="D1945" s="78"/>
      <c r="E1945" s="78"/>
      <c r="F1945" s="78"/>
      <c r="G1945" s="78"/>
      <c r="H1945" s="146">
        <v>702.9630400000001</v>
      </c>
      <c r="I1945" s="146">
        <f>SUM(I1943:I1944)</f>
        <v>931.7229072082353</v>
      </c>
      <c r="J1945" s="101"/>
    </row>
    <row r="1946" spans="1:10" ht="13.5" thickBot="1">
      <c r="A1946" s="97"/>
      <c r="B1946" s="110"/>
      <c r="C1946" s="78"/>
      <c r="D1946" s="112"/>
      <c r="E1946" s="78"/>
      <c r="F1946" s="78"/>
      <c r="G1946" s="78"/>
      <c r="H1946" s="114"/>
      <c r="I1946" s="114"/>
      <c r="J1946" s="458"/>
    </row>
    <row r="1947" spans="1:10" ht="13.5" thickTop="1">
      <c r="A1947" s="97"/>
      <c r="B1947" s="78"/>
      <c r="C1947" s="78"/>
      <c r="D1947" s="78"/>
      <c r="E1947" s="78"/>
      <c r="F1947" s="78"/>
      <c r="G1947" s="80"/>
      <c r="H1947" s="80">
        <v>7886.256801893077</v>
      </c>
      <c r="I1947" s="80">
        <f>I1945+I1940+I1934</f>
        <v>9219.763332721619</v>
      </c>
      <c r="J1947" s="101"/>
    </row>
    <row r="1948" spans="1:10" ht="13.5" thickBot="1">
      <c r="A1948" s="97"/>
      <c r="B1948" s="110" t="str">
        <f>'Unit tariffs'!$B$7</f>
        <v>Administration Levy (Indirect Cost)</v>
      </c>
      <c r="C1948" s="78"/>
      <c r="D1948" s="112">
        <f>'Unit tariffs'!$C$7</f>
        <v>0.1</v>
      </c>
      <c r="E1948" s="78" t="s">
        <v>312</v>
      </c>
      <c r="F1948" s="196">
        <f>+'Unit tariffs'!$F$7</f>
        <v>10000</v>
      </c>
      <c r="G1948" s="80"/>
      <c r="H1948" s="114">
        <v>2102.4760633846945</v>
      </c>
      <c r="I1948" s="114">
        <f>IF(I1947*$D1948&gt;='Unit tariffs'!$E$7,'Unit tariffs'!$E$7,I1947*$D1948)</f>
        <v>921.9763332721619</v>
      </c>
      <c r="J1948" s="111"/>
    </row>
    <row r="1949" spans="1:10" ht="13.5" thickTop="1">
      <c r="A1949" s="97"/>
      <c r="B1949" s="110" t="s">
        <v>44</v>
      </c>
      <c r="C1949" s="78"/>
      <c r="D1949" s="78"/>
      <c r="E1949" s="78"/>
      <c r="F1949" s="78"/>
      <c r="G1949" s="80"/>
      <c r="H1949" s="115">
        <v>9988.732865277772</v>
      </c>
      <c r="I1949" s="115">
        <f>SUM(I1947:I1948)</f>
        <v>10141.73966599378</v>
      </c>
      <c r="J1949" s="101"/>
    </row>
    <row r="1950" spans="1:10" ht="12.75">
      <c r="A1950" s="97"/>
      <c r="B1950" s="78"/>
      <c r="C1950" s="78"/>
      <c r="D1950" s="78"/>
      <c r="E1950" s="78"/>
      <c r="F1950" s="78"/>
      <c r="G1950" s="78"/>
      <c r="H1950" s="78"/>
      <c r="I1950" s="78"/>
      <c r="J1950" s="101"/>
    </row>
    <row r="1951" spans="1:10" ht="12.75">
      <c r="A1951" s="97"/>
      <c r="B1951" s="110" t="s">
        <v>45</v>
      </c>
      <c r="C1951" s="78"/>
      <c r="D1951" s="78"/>
      <c r="E1951" s="78"/>
      <c r="F1951" s="78"/>
      <c r="G1951" s="78"/>
      <c r="H1951" s="90">
        <v>9990</v>
      </c>
      <c r="I1951" s="90">
        <f>ROUND(I1949,-1)</f>
        <v>10140</v>
      </c>
      <c r="J1951" s="111"/>
    </row>
    <row r="1952" spans="1:10" ht="12.75">
      <c r="A1952" s="97"/>
      <c r="B1952" s="78"/>
      <c r="C1952" s="78"/>
      <c r="D1952" s="78"/>
      <c r="E1952" s="78"/>
      <c r="F1952" s="78"/>
      <c r="G1952" s="78"/>
      <c r="H1952" s="78"/>
      <c r="I1952" s="80"/>
      <c r="J1952" s="111"/>
    </row>
    <row r="1953" spans="1:10" ht="12.75">
      <c r="A1953" s="97"/>
      <c r="B1953" s="78"/>
      <c r="C1953" s="78"/>
      <c r="D1953" s="78"/>
      <c r="E1953" s="78"/>
      <c r="F1953" s="78"/>
      <c r="G1953" s="78"/>
      <c r="H1953" s="118">
        <v>0.2629582806573957</v>
      </c>
      <c r="I1953" s="118">
        <f>(I1951-H1951)/H1951</f>
        <v>0.015015015015015015</v>
      </c>
      <c r="J1953" s="111"/>
    </row>
    <row r="1954" spans="1:10" ht="13.5" thickBot="1">
      <c r="A1954" s="462"/>
      <c r="B1954" s="130"/>
      <c r="C1954" s="130"/>
      <c r="D1954" s="130"/>
      <c r="E1954" s="130"/>
      <c r="F1954" s="130"/>
      <c r="G1954" s="130"/>
      <c r="H1954" s="130"/>
      <c r="I1954" s="130"/>
      <c r="J1954" s="111"/>
    </row>
    <row r="1955" spans="1:10" ht="13.5" thickTop="1">
      <c r="A1955" s="97"/>
      <c r="B1955" s="78"/>
      <c r="C1955" s="78"/>
      <c r="D1955" s="78"/>
      <c r="E1955" s="78"/>
      <c r="F1955" s="78"/>
      <c r="G1955" s="78"/>
      <c r="H1955" s="78"/>
      <c r="I1955" s="78"/>
      <c r="J1955" s="111"/>
    </row>
    <row r="1956" spans="1:10" ht="13.5" thickBot="1">
      <c r="A1956" s="97"/>
      <c r="B1956" s="78"/>
      <c r="C1956" s="78"/>
      <c r="D1956" s="78"/>
      <c r="E1956" s="78"/>
      <c r="F1956" s="78"/>
      <c r="G1956" s="78"/>
      <c r="H1956" s="78"/>
      <c r="I1956" s="78"/>
      <c r="J1956" s="101"/>
    </row>
    <row r="1957" spans="1:10" ht="13.5" thickTop="1">
      <c r="A1957" s="459"/>
      <c r="B1957" s="127" t="s">
        <v>1</v>
      </c>
      <c r="C1957" s="127"/>
      <c r="D1957" s="127"/>
      <c r="E1957" s="127"/>
      <c r="F1957" s="127"/>
      <c r="G1957" s="127"/>
      <c r="H1957" s="127"/>
      <c r="I1957" s="127"/>
      <c r="J1957" s="101"/>
    </row>
    <row r="1958" spans="1:10" ht="12.75">
      <c r="A1958" s="97"/>
      <c r="B1958" s="98" t="s">
        <v>536</v>
      </c>
      <c r="C1958" s="99"/>
      <c r="D1958" s="99"/>
      <c r="E1958" s="99"/>
      <c r="F1958" s="99"/>
      <c r="G1958" s="99"/>
      <c r="H1958" s="99"/>
      <c r="I1958" s="100"/>
      <c r="J1958" s="111"/>
    </row>
    <row r="1959" spans="1:10" ht="12.75">
      <c r="A1959" s="97"/>
      <c r="B1959" s="110"/>
      <c r="C1959" s="78"/>
      <c r="D1959" s="78"/>
      <c r="E1959" s="78"/>
      <c r="F1959" s="78"/>
      <c r="G1959" s="78"/>
      <c r="H1959" s="78"/>
      <c r="I1959" s="78"/>
      <c r="J1959" s="111"/>
    </row>
    <row r="1960" spans="1:10" ht="12.75">
      <c r="A1960" s="97"/>
      <c r="B1960" s="110" t="s">
        <v>248</v>
      </c>
      <c r="C1960" s="78"/>
      <c r="D1960" s="78"/>
      <c r="E1960" s="78"/>
      <c r="F1960" s="78"/>
      <c r="G1960" s="78"/>
      <c r="H1960" s="78"/>
      <c r="I1960" s="78"/>
      <c r="J1960" s="111"/>
    </row>
    <row r="1961" spans="1:10" ht="12.75">
      <c r="A1961" s="97"/>
      <c r="B1961" s="121"/>
      <c r="C1961" s="78"/>
      <c r="D1961" s="78"/>
      <c r="E1961" s="78"/>
      <c r="F1961" s="78"/>
      <c r="G1961" s="78"/>
      <c r="H1961" s="109" t="str">
        <f>+H$11</f>
        <v>2020/2021</v>
      </c>
      <c r="I1961" s="109" t="str">
        <f>+'Unit tariffs'!$F$11</f>
        <v>2021/2022</v>
      </c>
      <c r="J1961" s="111"/>
    </row>
    <row r="1962" spans="1:10" ht="12.75">
      <c r="A1962" s="97"/>
      <c r="B1962" s="110" t="s">
        <v>62</v>
      </c>
      <c r="C1962" s="78"/>
      <c r="D1962" s="78"/>
      <c r="E1962" s="78"/>
      <c r="F1962" s="78"/>
      <c r="G1962" s="78"/>
      <c r="H1962" s="145"/>
      <c r="I1962" s="78"/>
      <c r="J1962" s="111"/>
    </row>
    <row r="1963" spans="1:10" ht="12.75">
      <c r="A1963" s="97"/>
      <c r="B1963" s="78"/>
      <c r="C1963" s="78"/>
      <c r="D1963" s="78"/>
      <c r="E1963" s="78"/>
      <c r="F1963" s="78"/>
      <c r="G1963" s="80"/>
      <c r="H1963" s="88"/>
      <c r="I1963" s="80"/>
      <c r="J1963" s="111"/>
    </row>
    <row r="1964" spans="1:10" ht="12.75">
      <c r="A1964" s="97"/>
      <c r="B1964" s="110" t="s">
        <v>42</v>
      </c>
      <c r="C1964" s="78"/>
      <c r="D1964" s="78"/>
      <c r="E1964" s="78"/>
      <c r="F1964" s="78"/>
      <c r="G1964" s="78"/>
      <c r="H1964" s="78"/>
      <c r="I1964" s="78"/>
      <c r="J1964" s="111"/>
    </row>
    <row r="1965" spans="1:10" ht="12.75">
      <c r="A1965" s="97"/>
      <c r="B1965" s="78"/>
      <c r="C1965" s="78"/>
      <c r="D1965" s="78"/>
      <c r="E1965" s="78"/>
      <c r="F1965" s="78"/>
      <c r="G1965" s="78"/>
      <c r="H1965" s="78"/>
      <c r="I1965" s="78"/>
      <c r="J1965" s="461"/>
    </row>
    <row r="1966" spans="1:10" ht="12.75">
      <c r="A1966" s="97"/>
      <c r="B1966" s="78">
        <v>2</v>
      </c>
      <c r="C1966" s="78" t="str">
        <f>'Unit tariffs'!B90</f>
        <v>hour-First Eng Assistant</v>
      </c>
      <c r="D1966" s="78"/>
      <c r="E1966" s="78"/>
      <c r="F1966" s="78"/>
      <c r="G1966" s="78"/>
      <c r="H1966" s="80">
        <v>548.5125169843845</v>
      </c>
      <c r="I1966" s="80">
        <f>VLOOKUP($C1966,'Unit tariffs'!$B$21:$F$122,5,FALSE)*$B1966</f>
        <v>684.6411461538462</v>
      </c>
      <c r="J1966" s="461"/>
    </row>
    <row r="1967" spans="1:10" ht="12.75">
      <c r="A1967" s="97"/>
      <c r="B1967" s="78">
        <v>2</v>
      </c>
      <c r="C1967" s="78" t="s">
        <v>68</v>
      </c>
      <c r="D1967" s="78"/>
      <c r="E1967" s="78"/>
      <c r="F1967" s="78"/>
      <c r="G1967" s="78"/>
      <c r="H1967" s="80">
        <v>548.5125169843845</v>
      </c>
      <c r="I1967" s="80">
        <f>VLOOKUP($C1967,'Unit tariffs'!$B$21:$F$122,5,FALSE)*$B1967</f>
        <v>684.6411461538462</v>
      </c>
      <c r="J1967" s="461"/>
    </row>
    <row r="1968" spans="1:10" ht="12.75">
      <c r="A1968" s="97"/>
      <c r="B1968" s="78">
        <v>16</v>
      </c>
      <c r="C1968" s="78" t="s">
        <v>69</v>
      </c>
      <c r="D1968" s="78"/>
      <c r="E1968" s="78"/>
      <c r="F1968" s="78"/>
      <c r="G1968" s="78"/>
      <c r="H1968" s="88">
        <v>2353.1747752412307</v>
      </c>
      <c r="I1968" s="214">
        <f>VLOOKUP($C1968,'Unit tariffs'!$B$21:$F$122,5,FALSE)*$B1968</f>
        <v>3058.078107692308</v>
      </c>
      <c r="J1968" s="111"/>
    </row>
    <row r="1969" spans="1:10" ht="12.75">
      <c r="A1969" s="97"/>
      <c r="B1969" s="78">
        <v>2</v>
      </c>
      <c r="C1969" s="78" t="str">
        <f>'Unit tariffs'!B88</f>
        <v>hour-Eng asst </v>
      </c>
      <c r="D1969" s="78"/>
      <c r="E1969" s="78"/>
      <c r="F1969" s="78"/>
      <c r="G1969" s="78"/>
      <c r="H1969" s="89">
        <v>472.275750666923</v>
      </c>
      <c r="I1969" s="87">
        <f>VLOOKUP($C1969,'Unit tariffs'!$B$21:$F$122,5,FALSE)*$B1969</f>
        <v>531.1321557692308</v>
      </c>
      <c r="J1969" s="111"/>
    </row>
    <row r="1970" spans="1:10" ht="12.75">
      <c r="A1970" s="97"/>
      <c r="B1970" s="78"/>
      <c r="C1970" s="78"/>
      <c r="D1970" s="78"/>
      <c r="E1970" s="78"/>
      <c r="F1970" s="78"/>
      <c r="G1970" s="78" t="s">
        <v>44</v>
      </c>
      <c r="H1970" s="88">
        <v>3922.475559876923</v>
      </c>
      <c r="I1970" s="80">
        <f>SUM(I1966:I1969)</f>
        <v>4958.492555769231</v>
      </c>
      <c r="J1970" s="111"/>
    </row>
    <row r="1971" spans="1:10" ht="12.75">
      <c r="A1971" s="97"/>
      <c r="B1971" s="110" t="s">
        <v>70</v>
      </c>
      <c r="C1971" s="78"/>
      <c r="D1971" s="78"/>
      <c r="E1971" s="78"/>
      <c r="F1971" s="78"/>
      <c r="G1971" s="78"/>
      <c r="H1971" s="145"/>
      <c r="I1971" s="78"/>
      <c r="J1971" s="111"/>
    </row>
    <row r="1972" spans="1:10" ht="12.75">
      <c r="A1972" s="97"/>
      <c r="B1972" s="78"/>
      <c r="C1972" s="78"/>
      <c r="D1972" s="78"/>
      <c r="E1972" s="78"/>
      <c r="F1972" s="78"/>
      <c r="G1972" s="78"/>
      <c r="H1972" s="145"/>
      <c r="I1972" s="78"/>
      <c r="J1972" s="101"/>
    </row>
    <row r="1973" spans="1:10" ht="12.75">
      <c r="A1973" s="97"/>
      <c r="B1973" s="78">
        <v>1</v>
      </c>
      <c r="C1973" s="78" t="s">
        <v>71</v>
      </c>
      <c r="D1973" s="78"/>
      <c r="E1973" s="78"/>
      <c r="F1973" s="78"/>
      <c r="G1973" s="78"/>
      <c r="H1973" s="88">
        <v>88.51318513403325</v>
      </c>
      <c r="I1973" s="80">
        <f>H1973*1.07</f>
        <v>94.70910809341558</v>
      </c>
      <c r="J1973" s="101"/>
    </row>
    <row r="1974" spans="1:10" ht="12.75">
      <c r="A1974" s="97"/>
      <c r="B1974" s="78">
        <v>1</v>
      </c>
      <c r="C1974" s="78" t="s">
        <v>72</v>
      </c>
      <c r="D1974" s="78"/>
      <c r="E1974" s="78"/>
      <c r="F1974" s="78"/>
      <c r="G1974" s="78"/>
      <c r="H1974" s="88">
        <v>737.6098761169438</v>
      </c>
      <c r="I1974" s="80">
        <f>H1974*1.07</f>
        <v>789.2425674451299</v>
      </c>
      <c r="J1974" s="111"/>
    </row>
    <row r="1975" spans="1:10" ht="12.75">
      <c r="A1975" s="97"/>
      <c r="B1975" s="78">
        <v>1</v>
      </c>
      <c r="C1975" s="78" t="s">
        <v>73</v>
      </c>
      <c r="D1975" s="78"/>
      <c r="E1975" s="78"/>
      <c r="F1975" s="78"/>
      <c r="G1975" s="78"/>
      <c r="H1975" s="89">
        <v>59.00879008935551</v>
      </c>
      <c r="I1975" s="80">
        <f>H1975*1.07</f>
        <v>63.139405395610396</v>
      </c>
      <c r="J1975" s="111"/>
    </row>
    <row r="1976" spans="1:10" ht="12.75">
      <c r="A1976" s="97"/>
      <c r="B1976" s="78"/>
      <c r="C1976" s="78"/>
      <c r="D1976" s="78"/>
      <c r="E1976" s="78"/>
      <c r="F1976" s="78"/>
      <c r="G1976" s="78" t="s">
        <v>44</v>
      </c>
      <c r="H1976" s="146">
        <v>885.1318513403327</v>
      </c>
      <c r="I1976" s="146">
        <f>SUM(I1973:I1975)</f>
        <v>947.0910809341559</v>
      </c>
      <c r="J1976" s="111"/>
    </row>
    <row r="1977" spans="1:10" ht="12.75">
      <c r="A1977" s="97"/>
      <c r="B1977" s="78"/>
      <c r="C1977" s="78"/>
      <c r="D1977" s="78"/>
      <c r="E1977" s="78"/>
      <c r="F1977" s="78"/>
      <c r="G1977" s="78"/>
      <c r="H1977" s="88"/>
      <c r="I1977" s="80"/>
      <c r="J1977" s="111"/>
    </row>
    <row r="1978" spans="1:10" ht="12.75">
      <c r="A1978" s="97"/>
      <c r="B1978" s="110" t="s">
        <v>442</v>
      </c>
      <c r="C1978" s="78"/>
      <c r="D1978" s="78"/>
      <c r="E1978" s="78"/>
      <c r="F1978" s="78"/>
      <c r="G1978" s="78"/>
      <c r="H1978" s="88"/>
      <c r="I1978" s="80"/>
      <c r="J1978" s="111"/>
    </row>
    <row r="1979" spans="1:10" ht="12.75">
      <c r="A1979" s="97"/>
      <c r="B1979" s="110" t="s">
        <v>41</v>
      </c>
      <c r="C1979" s="78"/>
      <c r="D1979" s="78"/>
      <c r="E1979" s="78"/>
      <c r="F1979" s="78"/>
      <c r="G1979" s="78"/>
      <c r="H1979" s="88"/>
      <c r="I1979" s="80"/>
      <c r="J1979" s="458" t="s">
        <v>315</v>
      </c>
    </row>
    <row r="1980" spans="1:10" ht="12.75">
      <c r="A1980" s="97"/>
      <c r="B1980" s="78">
        <v>1</v>
      </c>
      <c r="C1980" s="78" t="str">
        <f>+'Unit tariffs'!B34</f>
        <v>Prepaid meter (Split) 1 phase 59A Unique Mbani</v>
      </c>
      <c r="D1980" s="78"/>
      <c r="E1980" s="78"/>
      <c r="F1980" s="91"/>
      <c r="G1980" s="78"/>
      <c r="H1980" s="88">
        <v>2084.0248169999995</v>
      </c>
      <c r="I1980" s="80">
        <f>VLOOKUP($C1980,'Unit tariffs'!$B$21:$F$122,5,FALSE)*$B1980</f>
        <v>2171.5538593139995</v>
      </c>
      <c r="J1980" s="461" t="e">
        <f>IF(+I1980*'Unit tariffs'!#REF!&gt;'Unit tariffs'!#REF!,'Unit tariffs'!#REF!,+I1980*'Unit tariffs'!#REF!)</f>
        <v>#REF!</v>
      </c>
    </row>
    <row r="1981" spans="1:10" ht="12.75">
      <c r="A1981" s="97"/>
      <c r="B1981" s="78">
        <v>1</v>
      </c>
      <c r="C1981" s="78" t="str">
        <f>'Unit tariffs'!B21</f>
        <v>Installation material</v>
      </c>
      <c r="D1981" s="78"/>
      <c r="E1981" s="78"/>
      <c r="F1981" s="78"/>
      <c r="G1981" s="78"/>
      <c r="H1981" s="89">
        <v>113.6449785</v>
      </c>
      <c r="I1981" s="87">
        <f>VLOOKUP($C1981,'Unit tariffs'!$B$21:$F$122,5,FALSE)*$B1981</f>
        <v>260.5</v>
      </c>
      <c r="J1981" s="461" t="e">
        <f>IF(+I1981*'Unit tariffs'!#REF!&gt;'Unit tariffs'!#REF!,'Unit tariffs'!#REF!,+I1981*'Unit tariffs'!#REF!)</f>
        <v>#REF!</v>
      </c>
    </row>
    <row r="1982" spans="1:10" ht="12.75">
      <c r="A1982" s="97"/>
      <c r="B1982" s="110"/>
      <c r="C1982" s="78"/>
      <c r="D1982" s="78"/>
      <c r="E1982" s="78"/>
      <c r="F1982" s="78"/>
      <c r="G1982" s="78"/>
      <c r="H1982" s="80">
        <v>2197.6697954999995</v>
      </c>
      <c r="I1982" s="80">
        <f>SUM(I1980:I1981)</f>
        <v>2432.0538593139995</v>
      </c>
      <c r="J1982" s="111"/>
    </row>
    <row r="1983" spans="1:10" ht="12.75">
      <c r="A1983" s="97"/>
      <c r="B1983" s="110"/>
      <c r="C1983" s="78"/>
      <c r="D1983" s="78"/>
      <c r="E1983" s="78"/>
      <c r="F1983" s="78"/>
      <c r="G1983" s="78"/>
      <c r="H1983" s="88"/>
      <c r="I1983" s="80"/>
      <c r="J1983" s="111"/>
    </row>
    <row r="1984" spans="1:10" ht="12.75">
      <c r="A1984" s="97"/>
      <c r="B1984" s="110" t="s">
        <v>42</v>
      </c>
      <c r="C1984" s="78"/>
      <c r="D1984" s="78"/>
      <c r="E1984" s="78"/>
      <c r="F1984" s="78"/>
      <c r="G1984" s="78"/>
      <c r="H1984" s="78"/>
      <c r="I1984" s="78"/>
      <c r="J1984" s="111"/>
    </row>
    <row r="1985" spans="1:10" ht="12.75">
      <c r="A1985" s="97"/>
      <c r="B1985" s="78"/>
      <c r="C1985" s="78"/>
      <c r="D1985" s="78"/>
      <c r="E1985" s="78"/>
      <c r="F1985" s="78"/>
      <c r="G1985" s="78"/>
      <c r="H1985" s="78"/>
      <c r="I1985" s="78"/>
      <c r="J1985" s="111"/>
    </row>
    <row r="1986" spans="1:10" ht="12.75">
      <c r="A1986" s="97"/>
      <c r="B1986" s="78">
        <v>0</v>
      </c>
      <c r="C1986" s="78" t="str">
        <f>'Unit tariffs'!B$85</f>
        <v>hour-meter assistant</v>
      </c>
      <c r="D1986" s="78"/>
      <c r="E1986" s="78"/>
      <c r="F1986" s="78"/>
      <c r="G1986" s="78"/>
      <c r="H1986" s="80">
        <v>0</v>
      </c>
      <c r="I1986" s="80">
        <f>VLOOKUP($C1986,'Unit tariffs'!$B$21:$F$122,5,FALSE)*$B1986</f>
        <v>0</v>
      </c>
      <c r="J1986" s="111"/>
    </row>
    <row r="1987" spans="1:10" ht="12.75">
      <c r="A1987" s="97"/>
      <c r="B1987" s="78">
        <v>0.5</v>
      </c>
      <c r="C1987" s="78" t="str">
        <f>'Unit tariffs'!B$86</f>
        <v>hour-artisan </v>
      </c>
      <c r="D1987" s="78"/>
      <c r="E1987" s="78"/>
      <c r="F1987" s="78"/>
      <c r="G1987" s="78"/>
      <c r="H1987" s="88">
        <v>90.02936628167308</v>
      </c>
      <c r="I1987" s="80">
        <f>VLOOKUP($C1987,'Unit tariffs'!$B$21:$F$122,5,FALSE)*$B1987</f>
        <v>161.42611586538462</v>
      </c>
      <c r="J1987" s="101"/>
    </row>
    <row r="1988" spans="1:10" ht="12.75">
      <c r="A1988" s="97"/>
      <c r="B1988" s="78">
        <v>0.5</v>
      </c>
      <c r="C1988" s="78" t="str">
        <f>'Unit tariffs'!B$84</f>
        <v>hour-artisan assistant</v>
      </c>
      <c r="D1988" s="78"/>
      <c r="E1988" s="78"/>
      <c r="F1988" s="78"/>
      <c r="G1988" s="78"/>
      <c r="H1988" s="89">
        <v>39.80152796171539</v>
      </c>
      <c r="I1988" s="87">
        <f>VLOOKUP($C1988,'Unit tariffs'!$B$21:$F$122,5,FALSE)*$B1988</f>
        <v>64.26790384615386</v>
      </c>
      <c r="J1988" s="116"/>
    </row>
    <row r="1989" spans="1:10" ht="12.75">
      <c r="A1989" s="97"/>
      <c r="B1989" s="78"/>
      <c r="C1989" s="78"/>
      <c r="D1989" s="78"/>
      <c r="E1989" s="78"/>
      <c r="F1989" s="78"/>
      <c r="G1989" s="78"/>
      <c r="H1989" s="88">
        <v>129.83089424338846</v>
      </c>
      <c r="I1989" s="80">
        <f>SUM(I1986:I1988)</f>
        <v>225.6940197115385</v>
      </c>
      <c r="J1989" s="111"/>
    </row>
    <row r="1990" spans="1:10" ht="13.5" thickBot="1">
      <c r="A1990" s="97"/>
      <c r="B1990" s="110"/>
      <c r="C1990" s="78"/>
      <c r="D1990" s="78"/>
      <c r="E1990" s="78"/>
      <c r="F1990" s="78"/>
      <c r="G1990" s="78"/>
      <c r="H1990" s="136"/>
      <c r="I1990" s="114"/>
      <c r="J1990" s="119"/>
    </row>
    <row r="1991" spans="1:10" ht="13.5" thickTop="1">
      <c r="A1991" s="97"/>
      <c r="B1991" s="78"/>
      <c r="C1991" s="78"/>
      <c r="D1991" s="78"/>
      <c r="E1991" s="78"/>
      <c r="F1991" s="78"/>
      <c r="G1991" s="78" t="s">
        <v>44</v>
      </c>
      <c r="H1991" s="80">
        <v>2327.5006897433877</v>
      </c>
      <c r="I1991" s="80">
        <f>I1989+I1982</f>
        <v>2657.747879025538</v>
      </c>
      <c r="J1991" s="101"/>
    </row>
    <row r="1992" spans="1:10" ht="12.75">
      <c r="A1992" s="97"/>
      <c r="B1992" s="110"/>
      <c r="C1992" s="78"/>
      <c r="D1992" s="78"/>
      <c r="E1992" s="78"/>
      <c r="F1992" s="78"/>
      <c r="G1992" s="78"/>
      <c r="H1992" s="88"/>
      <c r="I1992" s="80"/>
      <c r="J1992" s="101"/>
    </row>
    <row r="1993" spans="1:10" ht="12.75">
      <c r="A1993" s="97"/>
      <c r="B1993" s="110" t="s">
        <v>43</v>
      </c>
      <c r="C1993" s="78"/>
      <c r="D1993" s="78"/>
      <c r="E1993" s="78"/>
      <c r="F1993" s="78"/>
      <c r="G1993" s="78"/>
      <c r="H1993" s="78"/>
      <c r="I1993" s="78"/>
      <c r="J1993" s="101"/>
    </row>
    <row r="1994" spans="1:10" ht="12.75">
      <c r="A1994" s="97"/>
      <c r="B1994" s="78"/>
      <c r="C1994" s="78"/>
      <c r="D1994" s="78"/>
      <c r="E1994" s="78"/>
      <c r="F1994" s="78"/>
      <c r="G1994" s="78"/>
      <c r="H1994" s="78"/>
      <c r="I1994" s="78"/>
      <c r="J1994" s="101"/>
    </row>
    <row r="1995" spans="1:10" ht="12.75">
      <c r="A1995" s="97"/>
      <c r="B1995" s="78">
        <v>24</v>
      </c>
      <c r="C1995" s="78" t="str">
        <f>'Unit tariffs'!B$114</f>
        <v>km-panel van</v>
      </c>
      <c r="D1995" s="78"/>
      <c r="E1995" s="78"/>
      <c r="F1995" s="78"/>
      <c r="G1995" s="78"/>
      <c r="H1995" s="80">
        <v>425.72441184000013</v>
      </c>
      <c r="I1995" s="80">
        <f>VLOOKUP($C1995,'Unit tariffs'!$B$21:$F$122,5,FALSE)*$B1995</f>
        <v>539.0903329438512</v>
      </c>
      <c r="J1995" s="101"/>
    </row>
    <row r="1996" spans="1:10" ht="12.75">
      <c r="A1996" s="97"/>
      <c r="B1996" s="78">
        <f>+B1988</f>
        <v>0.5</v>
      </c>
      <c r="C1996" s="78" t="str">
        <f>'Unit tariffs'!B$115</f>
        <v>hour-panel van</v>
      </c>
      <c r="D1996" s="78"/>
      <c r="E1996" s="78"/>
      <c r="F1996" s="78"/>
      <c r="G1996" s="78"/>
      <c r="H1996" s="80">
        <v>80.90854720000002</v>
      </c>
      <c r="I1996" s="80">
        <f>VLOOKUP($C1996,'Unit tariffs'!$B$21:$F$122,5,FALSE)*$B1996</f>
        <v>98.158143566096</v>
      </c>
      <c r="J1996" s="101"/>
    </row>
    <row r="1997" spans="1:10" ht="12.75">
      <c r="A1997" s="97"/>
      <c r="B1997" s="78"/>
      <c r="C1997" s="78"/>
      <c r="D1997" s="78"/>
      <c r="E1997" s="78"/>
      <c r="F1997" s="78"/>
      <c r="G1997" s="78"/>
      <c r="H1997" s="146">
        <v>506.6329590400002</v>
      </c>
      <c r="I1997" s="146">
        <f>SUM(I1995:I1996)</f>
        <v>637.2484765099472</v>
      </c>
      <c r="J1997" s="101"/>
    </row>
    <row r="1998" spans="1:10" ht="13.5" thickBot="1">
      <c r="A1998" s="97"/>
      <c r="B1998" s="110"/>
      <c r="C1998" s="78"/>
      <c r="D1998" s="112"/>
      <c r="E1998" s="78"/>
      <c r="F1998" s="78"/>
      <c r="G1998" s="78"/>
      <c r="H1998" s="136"/>
      <c r="I1998" s="114"/>
      <c r="J1998" s="458"/>
    </row>
    <row r="1999" spans="1:10" ht="13.5" thickTop="1">
      <c r="A1999" s="97"/>
      <c r="B1999" s="78"/>
      <c r="C1999" s="78"/>
      <c r="D1999" s="78"/>
      <c r="E1999" s="78"/>
      <c r="F1999" s="78"/>
      <c r="G1999" s="80"/>
      <c r="H1999" s="80">
        <v>7641.741060000643</v>
      </c>
      <c r="I1999" s="80">
        <f>+I1991+I1976+I1970+I1997</f>
        <v>9200.579992238872</v>
      </c>
      <c r="J1999" s="101"/>
    </row>
    <row r="2000" spans="1:10" ht="13.5" thickBot="1">
      <c r="A2000" s="97"/>
      <c r="B2000" s="110" t="str">
        <f>'Unit tariffs'!$B$7</f>
        <v>Administration Levy (Indirect Cost)</v>
      </c>
      <c r="C2000" s="78"/>
      <c r="D2000" s="112">
        <f>'Unit tariffs'!$C$7</f>
        <v>0.1</v>
      </c>
      <c r="E2000" s="78" t="s">
        <v>312</v>
      </c>
      <c r="F2000" s="196">
        <f>+'Unit tariffs'!$F$7</f>
        <v>10000</v>
      </c>
      <c r="G2000" s="80"/>
      <c r="H2000" s="114">
        <v>2037.2881665961715</v>
      </c>
      <c r="I2000" s="114">
        <f>IF(I1999*$D2000&gt;='Unit tariffs'!$E$7,'Unit tariffs'!$E$7,I1999*$D2000)</f>
        <v>920.0579992238872</v>
      </c>
      <c r="J2000" s="101"/>
    </row>
    <row r="2001" spans="1:10" ht="13.5" thickTop="1">
      <c r="A2001" s="97"/>
      <c r="B2001" s="110" t="s">
        <v>44</v>
      </c>
      <c r="C2001" s="78"/>
      <c r="D2001" s="78"/>
      <c r="E2001" s="78"/>
      <c r="F2001" s="78"/>
      <c r="G2001" s="80"/>
      <c r="H2001" s="115">
        <v>9679.029226596815</v>
      </c>
      <c r="I2001" s="115">
        <f>SUM(I1999:I2000)</f>
        <v>10120.63799146276</v>
      </c>
      <c r="J2001" s="111"/>
    </row>
    <row r="2002" spans="1:10" ht="12.75">
      <c r="A2002" s="97"/>
      <c r="B2002" s="78"/>
      <c r="C2002" s="78"/>
      <c r="D2002" s="78"/>
      <c r="E2002" s="78"/>
      <c r="F2002" s="78"/>
      <c r="G2002" s="78"/>
      <c r="H2002" s="78"/>
      <c r="I2002" s="78"/>
      <c r="J2002" s="461"/>
    </row>
    <row r="2003" spans="1:10" ht="12.75">
      <c r="A2003" s="97"/>
      <c r="B2003" s="110" t="s">
        <v>45</v>
      </c>
      <c r="C2003" s="78"/>
      <c r="D2003" s="78"/>
      <c r="E2003" s="78"/>
      <c r="F2003" s="78"/>
      <c r="G2003" s="78"/>
      <c r="H2003" s="90">
        <v>9680</v>
      </c>
      <c r="I2003" s="90">
        <f>ROUND(I2001,-1)</f>
        <v>10120</v>
      </c>
      <c r="J2003" s="461"/>
    </row>
    <row r="2004" spans="1:10" ht="12.75">
      <c r="A2004" s="97"/>
      <c r="B2004" s="78"/>
      <c r="C2004" s="78"/>
      <c r="D2004" s="78"/>
      <c r="E2004" s="78"/>
      <c r="F2004" s="78"/>
      <c r="G2004" s="78"/>
      <c r="H2004" s="78"/>
      <c r="I2004" s="80"/>
      <c r="J2004" s="111"/>
    </row>
    <row r="2005" spans="1:10" ht="12.75">
      <c r="A2005" s="97"/>
      <c r="B2005" s="78"/>
      <c r="C2005" s="78"/>
      <c r="D2005" s="78"/>
      <c r="E2005" s="78"/>
      <c r="F2005" s="78"/>
      <c r="G2005" s="78"/>
      <c r="H2005" s="118">
        <v>0.056768558951965066</v>
      </c>
      <c r="I2005" s="118">
        <f>(I2003-H2003)/H2003</f>
        <v>0.045454545454545456</v>
      </c>
      <c r="J2005" s="111"/>
    </row>
    <row r="2006" spans="1:10" ht="12.75">
      <c r="A2006" s="97"/>
      <c r="B2006" s="78"/>
      <c r="C2006" s="78"/>
      <c r="D2006" s="78"/>
      <c r="E2006" s="78"/>
      <c r="F2006" s="78"/>
      <c r="G2006" s="78"/>
      <c r="H2006" s="118"/>
      <c r="I2006" s="118"/>
      <c r="J2006" s="111"/>
    </row>
    <row r="2007" spans="1:10" ht="27.75" customHeight="1">
      <c r="A2007" s="97"/>
      <c r="B2007" s="832" t="s">
        <v>537</v>
      </c>
      <c r="C2007" s="833"/>
      <c r="D2007" s="833"/>
      <c r="E2007" s="833"/>
      <c r="F2007" s="833"/>
      <c r="G2007" s="834"/>
      <c r="H2007" s="118"/>
      <c r="I2007" s="90"/>
      <c r="J2007" s="101"/>
    </row>
    <row r="2008" spans="1:10" ht="12.75">
      <c r="A2008" s="97"/>
      <c r="B2008" s="78"/>
      <c r="C2008" s="78"/>
      <c r="D2008" s="78"/>
      <c r="E2008" s="78"/>
      <c r="F2008" s="78"/>
      <c r="G2008" s="78"/>
      <c r="H2008" s="118"/>
      <c r="I2008" s="118"/>
      <c r="J2008" s="101"/>
    </row>
    <row r="2009" spans="1:10" ht="12.75">
      <c r="A2009" s="97"/>
      <c r="B2009" s="110" t="s">
        <v>453</v>
      </c>
      <c r="C2009" s="78"/>
      <c r="D2009" s="78"/>
      <c r="E2009" s="78"/>
      <c r="F2009" s="78"/>
      <c r="G2009" s="78"/>
      <c r="H2009" s="118"/>
      <c r="I2009" s="90"/>
      <c r="J2009" s="101"/>
    </row>
    <row r="2010" spans="1:10" ht="12.75">
      <c r="A2010" s="97"/>
      <c r="B2010" s="110"/>
      <c r="C2010" s="78"/>
      <c r="D2010" s="78"/>
      <c r="E2010" s="78"/>
      <c r="F2010" s="78"/>
      <c r="G2010" s="78"/>
      <c r="H2010" s="118"/>
      <c r="I2010" s="90"/>
      <c r="J2010" s="101"/>
    </row>
    <row r="2011" spans="1:10" ht="12.75">
      <c r="A2011" s="97"/>
      <c r="C2011" s="78" t="s">
        <v>443</v>
      </c>
      <c r="D2011">
        <v>13.8</v>
      </c>
      <c r="E2011" s="78" t="s">
        <v>444</v>
      </c>
      <c r="F2011" s="78"/>
      <c r="G2011" s="78"/>
      <c r="H2011" s="118"/>
      <c r="I2011" s="90"/>
      <c r="J2011" s="101"/>
    </row>
    <row r="2012" spans="1:10" ht="12.75">
      <c r="A2012" s="97"/>
      <c r="B2012" s="78"/>
      <c r="C2012" s="78" t="s">
        <v>455</v>
      </c>
      <c r="D2012" s="1">
        <f>+D2011*0.7</f>
        <v>9.66</v>
      </c>
      <c r="E2012" s="78" t="s">
        <v>444</v>
      </c>
      <c r="F2012" s="78" t="s">
        <v>456</v>
      </c>
      <c r="G2012" s="78"/>
      <c r="H2012" s="118"/>
      <c r="I2012" s="90"/>
      <c r="J2012" s="101"/>
    </row>
    <row r="2013" spans="1:10" ht="12.75">
      <c r="A2013" s="97"/>
      <c r="B2013" s="78"/>
      <c r="C2013" s="78" t="s">
        <v>115</v>
      </c>
      <c r="D2013" s="611">
        <v>0</v>
      </c>
      <c r="E2013" s="78" t="s">
        <v>446</v>
      </c>
      <c r="F2013" s="78"/>
      <c r="G2013" s="78"/>
      <c r="H2013" s="118"/>
      <c r="I2013" s="90"/>
      <c r="J2013" s="101"/>
    </row>
    <row r="2014" spans="1:10" ht="12.75">
      <c r="A2014" s="97"/>
      <c r="B2014" s="78"/>
      <c r="C2014" s="78" t="s">
        <v>447</v>
      </c>
      <c r="D2014" s="615">
        <v>0</v>
      </c>
      <c r="E2014" s="78" t="s">
        <v>446</v>
      </c>
      <c r="F2014" s="78"/>
      <c r="G2014" s="78" t="s">
        <v>448</v>
      </c>
      <c r="H2014" s="118"/>
      <c r="I2014" s="90"/>
      <c r="J2014" s="101"/>
    </row>
    <row r="2015" spans="1:10" ht="12.75">
      <c r="A2015" s="97"/>
      <c r="B2015" s="78"/>
      <c r="C2015" s="78" t="s">
        <v>449</v>
      </c>
      <c r="D2015" s="200">
        <f>(D2012*26*24*0.33*F2015)</f>
        <v>4085.1021461932282</v>
      </c>
      <c r="E2015" s="78" t="s">
        <v>446</v>
      </c>
      <c r="F2015" s="196">
        <f>+'Unit tariffs'!F164</f>
        <v>2.0536539478</v>
      </c>
      <c r="G2015" s="78" t="s">
        <v>457</v>
      </c>
      <c r="H2015" s="118"/>
      <c r="I2015" s="90"/>
      <c r="J2015" s="101"/>
    </row>
    <row r="2016" spans="1:10" ht="12.75">
      <c r="A2016" s="97"/>
      <c r="B2016" s="78"/>
      <c r="C2016" s="78" t="s">
        <v>451</v>
      </c>
      <c r="D2016" s="616">
        <f>D2015+D2014+D2013</f>
        <v>4085.1021461932282</v>
      </c>
      <c r="E2016" s="78"/>
      <c r="F2016" s="78"/>
      <c r="G2016" s="78"/>
      <c r="H2016" s="118"/>
      <c r="I2016" s="90"/>
      <c r="J2016" s="101"/>
    </row>
    <row r="2017" spans="1:10" ht="12.75">
      <c r="A2017" s="97"/>
      <c r="B2017" s="78"/>
      <c r="C2017" s="78"/>
      <c r="D2017" s="617"/>
      <c r="E2017" s="78"/>
      <c r="F2017" s="78"/>
      <c r="G2017" s="78"/>
      <c r="H2017" s="118"/>
      <c r="I2017" s="90"/>
      <c r="J2017" s="101"/>
    </row>
    <row r="2018" spans="1:10" ht="12.75">
      <c r="A2018" s="97"/>
      <c r="B2018" s="110" t="s">
        <v>454</v>
      </c>
      <c r="D2018" s="110">
        <v>3</v>
      </c>
      <c r="E2018" s="78"/>
      <c r="F2018" s="78"/>
      <c r="G2018" s="78"/>
      <c r="H2018" s="610">
        <v>11428.990430457601</v>
      </c>
      <c r="I2018" s="608">
        <f>+D2016*D2018</f>
        <v>12255.306438579684</v>
      </c>
      <c r="J2018" s="101"/>
    </row>
    <row r="2019" spans="1:10" ht="12.75">
      <c r="A2019" s="97"/>
      <c r="B2019" s="78"/>
      <c r="C2019" s="78"/>
      <c r="D2019" s="78"/>
      <c r="E2019" s="78"/>
      <c r="F2019" s="78"/>
      <c r="G2019" s="78"/>
      <c r="H2019" s="609"/>
      <c r="I2019" s="618"/>
      <c r="J2019" s="101"/>
    </row>
    <row r="2020" spans="1:11" ht="12.75">
      <c r="A2020" s="97"/>
      <c r="B2020" s="78"/>
      <c r="C2020" s="78"/>
      <c r="D2020" s="78"/>
      <c r="E2020" s="78"/>
      <c r="F2020" s="135"/>
      <c r="G2020" s="655" t="s">
        <v>464</v>
      </c>
      <c r="H2020" s="610">
        <v>11400</v>
      </c>
      <c r="I2020" s="608">
        <f>+ROUND(I2018,-2)</f>
        <v>12300</v>
      </c>
      <c r="J2020" s="101"/>
      <c r="K2020" s="610"/>
    </row>
    <row r="2021" spans="1:10" ht="12.75">
      <c r="A2021" s="97"/>
      <c r="B2021" s="78"/>
      <c r="C2021" s="78"/>
      <c r="D2021" s="78"/>
      <c r="E2021" s="78"/>
      <c r="F2021" s="135"/>
      <c r="G2021" s="78"/>
      <c r="H2021" s="610"/>
      <c r="I2021" s="608"/>
      <c r="J2021" s="101"/>
    </row>
    <row r="2022" spans="1:10" ht="12.75">
      <c r="A2022" s="97"/>
      <c r="B2022" s="78"/>
      <c r="C2022" s="78"/>
      <c r="D2022" s="78"/>
      <c r="E2022" s="78"/>
      <c r="F2022" s="135"/>
      <c r="G2022" s="78"/>
      <c r="H2022" s="684">
        <v>0.08571428571428572</v>
      </c>
      <c r="I2022" s="619">
        <f>+(I2020-H2020)/H2020</f>
        <v>0.07894736842105263</v>
      </c>
      <c r="J2022" s="101"/>
    </row>
    <row r="2023" spans="1:10" ht="13.5" thickBot="1">
      <c r="A2023" s="97"/>
      <c r="B2023" s="78"/>
      <c r="C2023" s="78"/>
      <c r="D2023" s="78"/>
      <c r="E2023" s="78"/>
      <c r="F2023" s="78"/>
      <c r="G2023" s="130"/>
      <c r="H2023" s="130"/>
      <c r="I2023" s="130"/>
      <c r="J2023" s="101"/>
    </row>
    <row r="2024" spans="1:10" ht="13.5" thickTop="1">
      <c r="A2024" s="97"/>
      <c r="B2024" s="78"/>
      <c r="C2024" s="78"/>
      <c r="D2024" s="78"/>
      <c r="E2024" s="78"/>
      <c r="F2024" s="78"/>
      <c r="G2024" s="78"/>
      <c r="H2024" s="78"/>
      <c r="I2024" s="78"/>
      <c r="J2024" s="101"/>
    </row>
    <row r="2025" spans="1:10" ht="13.5" thickBot="1">
      <c r="A2025" s="97"/>
      <c r="B2025" s="78"/>
      <c r="C2025" s="78"/>
      <c r="D2025" s="78"/>
      <c r="E2025" s="78"/>
      <c r="F2025" s="78"/>
      <c r="G2025" s="78"/>
      <c r="H2025" s="78"/>
      <c r="I2025" s="78"/>
      <c r="J2025" s="111"/>
    </row>
    <row r="2026" spans="1:10" ht="13.5" thickTop="1">
      <c r="A2026" s="459"/>
      <c r="B2026" s="127" t="s">
        <v>1</v>
      </c>
      <c r="C2026" s="127"/>
      <c r="D2026" s="127"/>
      <c r="E2026" s="127"/>
      <c r="F2026" s="127"/>
      <c r="G2026" s="127"/>
      <c r="H2026" s="127"/>
      <c r="I2026" s="127"/>
      <c r="J2026" s="111"/>
    </row>
    <row r="2027" spans="1:10" ht="12.75">
      <c r="A2027" s="97"/>
      <c r="B2027" s="98" t="s">
        <v>538</v>
      </c>
      <c r="C2027" s="99"/>
      <c r="D2027" s="99"/>
      <c r="E2027" s="99"/>
      <c r="F2027" s="99"/>
      <c r="G2027" s="99"/>
      <c r="H2027" s="99"/>
      <c r="I2027" s="100"/>
      <c r="J2027" s="111"/>
    </row>
    <row r="2028" spans="1:10" ht="12.75">
      <c r="A2028" s="97"/>
      <c r="B2028" s="110"/>
      <c r="C2028" s="78"/>
      <c r="D2028" s="78"/>
      <c r="E2028" s="78"/>
      <c r="F2028" s="78"/>
      <c r="G2028" s="78"/>
      <c r="H2028" s="78"/>
      <c r="I2028" s="78"/>
      <c r="J2028" s="458"/>
    </row>
    <row r="2029" spans="1:10" ht="12.75">
      <c r="A2029" s="97"/>
      <c r="B2029" s="110" t="s">
        <v>248</v>
      </c>
      <c r="C2029" s="78"/>
      <c r="D2029" s="78"/>
      <c r="E2029" s="78"/>
      <c r="F2029" s="78"/>
      <c r="G2029" s="78"/>
      <c r="H2029" s="78"/>
      <c r="I2029" s="78"/>
      <c r="J2029" s="461"/>
    </row>
    <row r="2030" spans="1:10" ht="12.75">
      <c r="A2030" s="97"/>
      <c r="B2030" s="121"/>
      <c r="C2030" s="78"/>
      <c r="D2030" s="78"/>
      <c r="E2030" s="78"/>
      <c r="F2030" s="78"/>
      <c r="G2030" s="78"/>
      <c r="H2030" s="109" t="str">
        <f>+H$11</f>
        <v>2020/2021</v>
      </c>
      <c r="I2030" s="109" t="str">
        <f>+'Unit tariffs'!$F$11</f>
        <v>2021/2022</v>
      </c>
      <c r="J2030" s="461"/>
    </row>
    <row r="2031" spans="1:10" ht="12.75">
      <c r="A2031" s="97"/>
      <c r="B2031" s="110" t="s">
        <v>62</v>
      </c>
      <c r="C2031" s="78"/>
      <c r="D2031" s="78"/>
      <c r="E2031" s="78"/>
      <c r="F2031" s="78"/>
      <c r="G2031" s="78"/>
      <c r="H2031" s="145"/>
      <c r="I2031" s="78"/>
      <c r="J2031" s="461"/>
    </row>
    <row r="2032" spans="1:10" ht="12.75">
      <c r="A2032" s="97"/>
      <c r="B2032" s="78"/>
      <c r="C2032" s="78"/>
      <c r="D2032" s="78"/>
      <c r="E2032" s="78"/>
      <c r="F2032" s="78"/>
      <c r="G2032" s="80"/>
      <c r="H2032" s="88"/>
      <c r="I2032" s="80"/>
      <c r="J2032" s="461"/>
    </row>
    <row r="2033" spans="1:10" ht="12.75">
      <c r="A2033" s="97"/>
      <c r="B2033" s="110" t="s">
        <v>42</v>
      </c>
      <c r="C2033" s="78"/>
      <c r="D2033" s="78"/>
      <c r="E2033" s="78"/>
      <c r="F2033" s="78"/>
      <c r="G2033" s="78"/>
      <c r="H2033" s="78"/>
      <c r="I2033" s="78"/>
      <c r="J2033" s="116"/>
    </row>
    <row r="2034" spans="1:10" ht="12.75">
      <c r="A2034" s="97"/>
      <c r="B2034" s="78"/>
      <c r="C2034" s="78"/>
      <c r="D2034" s="78"/>
      <c r="E2034" s="78"/>
      <c r="F2034" s="78"/>
      <c r="G2034" s="78"/>
      <c r="H2034" s="78"/>
      <c r="I2034" s="78"/>
      <c r="J2034" s="111"/>
    </row>
    <row r="2035" spans="1:10" ht="12.75">
      <c r="A2035" s="97"/>
      <c r="B2035" s="78">
        <v>2</v>
      </c>
      <c r="C2035" s="78" t="s">
        <v>599</v>
      </c>
      <c r="D2035" s="78"/>
      <c r="E2035" s="78"/>
      <c r="F2035" s="78"/>
      <c r="G2035" s="78"/>
      <c r="H2035" s="80">
        <v>548.5125169843845</v>
      </c>
      <c r="I2035" s="80">
        <f>VLOOKUP($C2035,'Unit tariffs'!$B$21:$F$122,5,FALSE)*$B2035</f>
        <v>684.6411461538462</v>
      </c>
      <c r="J2035" s="119"/>
    </row>
    <row r="2036" spans="1:10" ht="12.75">
      <c r="A2036" s="97"/>
      <c r="B2036" s="78">
        <v>2</v>
      </c>
      <c r="C2036" s="78" t="s">
        <v>68</v>
      </c>
      <c r="D2036" s="78"/>
      <c r="E2036" s="78"/>
      <c r="F2036" s="78"/>
      <c r="G2036" s="78"/>
      <c r="H2036" s="80">
        <v>548.5125169843845</v>
      </c>
      <c r="I2036" s="80">
        <f>VLOOKUP($C2036,'Unit tariffs'!$B$21:$F$122,5,FALSE)*$B2036</f>
        <v>684.6411461538462</v>
      </c>
      <c r="J2036" s="101"/>
    </row>
    <row r="2037" spans="1:10" ht="12.75">
      <c r="A2037" s="97"/>
      <c r="B2037" s="78">
        <v>16</v>
      </c>
      <c r="C2037" s="78" t="s">
        <v>69</v>
      </c>
      <c r="D2037" s="78"/>
      <c r="E2037" s="78"/>
      <c r="F2037" s="78"/>
      <c r="G2037" s="78"/>
      <c r="H2037" s="88">
        <v>2353.1747752412307</v>
      </c>
      <c r="I2037" s="80">
        <f>VLOOKUP($C2037,'Unit tariffs'!$B$21:$F$122,5,FALSE)*$B2037</f>
        <v>3058.078107692308</v>
      </c>
      <c r="J2037" s="101"/>
    </row>
    <row r="2038" spans="1:10" ht="12.75">
      <c r="A2038" s="97"/>
      <c r="B2038" s="78">
        <v>2</v>
      </c>
      <c r="C2038" s="78" t="s">
        <v>91</v>
      </c>
      <c r="D2038" s="78"/>
      <c r="E2038" s="78"/>
      <c r="F2038" s="78"/>
      <c r="G2038" s="78"/>
      <c r="H2038" s="89">
        <v>472.275750666923</v>
      </c>
      <c r="I2038" s="87">
        <f>VLOOKUP($C2038,'Unit tariffs'!$B$21:$F$122,5,FALSE)*$B2038</f>
        <v>531.1321557692308</v>
      </c>
      <c r="J2038" s="122"/>
    </row>
    <row r="2039" spans="1:11" ht="12.75">
      <c r="A2039" s="97"/>
      <c r="B2039" s="78"/>
      <c r="C2039" s="78"/>
      <c r="D2039" s="78"/>
      <c r="E2039" s="78"/>
      <c r="F2039" s="78"/>
      <c r="G2039" s="78" t="s">
        <v>44</v>
      </c>
      <c r="H2039" s="88">
        <v>3922.475559876923</v>
      </c>
      <c r="I2039" s="80">
        <f>SUM(I2035:I2038)</f>
        <v>4958.492555769231</v>
      </c>
      <c r="J2039" s="122"/>
      <c r="K2039" s="667">
        <f>+(I2039-H2039)/H2039</f>
        <v>0.2641232507576965</v>
      </c>
    </row>
    <row r="2040" spans="1:10" ht="12.75">
      <c r="A2040" s="97"/>
      <c r="B2040" s="110" t="s">
        <v>70</v>
      </c>
      <c r="C2040" s="78"/>
      <c r="D2040" s="78"/>
      <c r="E2040" s="78"/>
      <c r="F2040" s="78"/>
      <c r="G2040" s="78"/>
      <c r="H2040" s="145"/>
      <c r="I2040" s="78"/>
      <c r="J2040" s="122"/>
    </row>
    <row r="2041" spans="1:10" ht="12.75">
      <c r="A2041" s="97"/>
      <c r="B2041" s="78"/>
      <c r="C2041" s="78"/>
      <c r="D2041" s="78"/>
      <c r="E2041" s="78"/>
      <c r="F2041" s="78"/>
      <c r="G2041" s="78"/>
      <c r="H2041" s="145"/>
      <c r="I2041" s="78"/>
      <c r="J2041" s="122"/>
    </row>
    <row r="2042" spans="1:10" ht="12.75">
      <c r="A2042" s="97"/>
      <c r="B2042" s="78">
        <v>1</v>
      </c>
      <c r="C2042" s="78" t="s">
        <v>71</v>
      </c>
      <c r="D2042" s="78"/>
      <c r="E2042" s="78"/>
      <c r="F2042" s="78"/>
      <c r="G2042" s="78"/>
      <c r="H2042" s="88">
        <v>88.18229472231724</v>
      </c>
      <c r="I2042" s="80">
        <f>H2042*(1+'Unit tariffs'!$F$2)</f>
        <v>91.88595110065457</v>
      </c>
      <c r="J2042" s="458" t="s">
        <v>315</v>
      </c>
    </row>
    <row r="2043" spans="1:10" ht="12.75">
      <c r="A2043" s="97"/>
      <c r="B2043" s="78">
        <v>1</v>
      </c>
      <c r="C2043" s="78" t="s">
        <v>72</v>
      </c>
      <c r="D2043" s="78"/>
      <c r="E2043" s="78"/>
      <c r="F2043" s="78"/>
      <c r="G2043" s="78"/>
      <c r="H2043" s="88">
        <v>734.8524560193104</v>
      </c>
      <c r="I2043" s="80">
        <f>H2043*(1+'Unit tariffs'!$F$2)</f>
        <v>765.7162591721215</v>
      </c>
      <c r="J2043" s="461" t="e">
        <f>IF(+I2122*'Unit tariffs'!#REF!&gt;'Unit tariffs'!#REF!,'Unit tariffs'!#REF!,+I2122*'Unit tariffs'!#REF!)</f>
        <v>#REF!</v>
      </c>
    </row>
    <row r="2044" spans="1:10" ht="12.75">
      <c r="A2044" s="97"/>
      <c r="B2044" s="78">
        <v>1</v>
      </c>
      <c r="C2044" s="78" t="s">
        <v>73</v>
      </c>
      <c r="D2044" s="78"/>
      <c r="E2044" s="78"/>
      <c r="F2044" s="78"/>
      <c r="G2044" s="78"/>
      <c r="H2044" s="89">
        <v>58.78819648154483</v>
      </c>
      <c r="I2044" s="80">
        <f>H2044*(1+'Unit tariffs'!$F$2)</f>
        <v>61.25730073376972</v>
      </c>
      <c r="J2044" s="461" t="e">
        <f>IF(+I2123*'Unit tariffs'!#REF!&gt;'Unit tariffs'!#REF!,'Unit tariffs'!#REF!,+I2123*'Unit tariffs'!#REF!)</f>
        <v>#REF!</v>
      </c>
    </row>
    <row r="2045" spans="1:11" ht="12.75">
      <c r="A2045" s="97"/>
      <c r="B2045" s="78"/>
      <c r="C2045" s="78"/>
      <c r="D2045" s="78"/>
      <c r="E2045" s="78"/>
      <c r="F2045" s="78"/>
      <c r="G2045" s="78" t="s">
        <v>44</v>
      </c>
      <c r="H2045" s="146">
        <v>881.8229472231724</v>
      </c>
      <c r="I2045" s="146">
        <f>SUM(I2042:I2044)</f>
        <v>918.8595110065457</v>
      </c>
      <c r="J2045" s="461" t="e">
        <f>IF(+I2124*'Unit tariffs'!#REF!&gt;'Unit tariffs'!#REF!,'Unit tariffs'!#REF!,+I2124*'Unit tariffs'!#REF!)</f>
        <v>#REF!</v>
      </c>
      <c r="K2045" s="667">
        <f>+(I2045-H2045)/H2045</f>
        <v>0.04200000000000014</v>
      </c>
    </row>
    <row r="2046" spans="1:10" ht="12.75">
      <c r="A2046" s="97"/>
      <c r="B2046" s="78"/>
      <c r="C2046" s="78"/>
      <c r="D2046" s="78"/>
      <c r="E2046" s="78"/>
      <c r="F2046" s="78"/>
      <c r="G2046" s="78"/>
      <c r="H2046" s="88"/>
      <c r="I2046" s="80"/>
      <c r="J2046" s="461"/>
    </row>
    <row r="2047" spans="1:10" ht="12.75">
      <c r="A2047" s="97"/>
      <c r="B2047" s="110" t="s">
        <v>247</v>
      </c>
      <c r="C2047" s="78"/>
      <c r="D2047" s="78"/>
      <c r="E2047" s="78"/>
      <c r="F2047" s="78"/>
      <c r="G2047" s="78"/>
      <c r="H2047" s="88"/>
      <c r="I2047" s="80"/>
      <c r="J2047" s="122"/>
    </row>
    <row r="2048" spans="1:10" ht="12.75">
      <c r="A2048" s="97"/>
      <c r="B2048" s="110" t="s">
        <v>41</v>
      </c>
      <c r="C2048" s="78"/>
      <c r="D2048" s="78"/>
      <c r="E2048" s="78"/>
      <c r="F2048" s="78"/>
      <c r="G2048" s="78"/>
      <c r="H2048" s="88"/>
      <c r="I2048" s="80"/>
      <c r="J2048" s="122"/>
    </row>
    <row r="2049" spans="1:11" ht="12.75">
      <c r="A2049" s="97"/>
      <c r="B2049" s="78">
        <v>1</v>
      </c>
      <c r="C2049" s="78" t="s">
        <v>314</v>
      </c>
      <c r="D2049" s="78"/>
      <c r="E2049" s="78"/>
      <c r="F2049" s="91"/>
      <c r="G2049" s="78"/>
      <c r="H2049" s="88">
        <v>4588.4827</v>
      </c>
      <c r="I2049" s="80">
        <f>VLOOKUP($C2049,'Unit tariffs'!$B$21:$F$122,5,FALSE)*$B2049</f>
        <v>5314.91420764</v>
      </c>
      <c r="J2049" s="122"/>
      <c r="K2049" s="667"/>
    </row>
    <row r="2050" spans="1:11" ht="12.75">
      <c r="A2050" s="97"/>
      <c r="B2050" s="78">
        <v>1</v>
      </c>
      <c r="C2050" s="78" t="s">
        <v>230</v>
      </c>
      <c r="D2050" s="78"/>
      <c r="E2050" s="78"/>
      <c r="F2050" s="78"/>
      <c r="G2050" s="78"/>
      <c r="H2050" s="88">
        <v>3414.6847999999995</v>
      </c>
      <c r="I2050" s="80">
        <f>VLOOKUP($C2050,'Unit tariffs'!$B$21:$F$122,5,FALSE)*$B2050</f>
        <v>3558.1015615999995</v>
      </c>
      <c r="J2050" s="122"/>
      <c r="K2050" s="667"/>
    </row>
    <row r="2051" spans="1:11" ht="12.75">
      <c r="A2051" s="97"/>
      <c r="B2051" s="78">
        <v>1</v>
      </c>
      <c r="C2051" s="78" t="s">
        <v>17</v>
      </c>
      <c r="D2051" s="78"/>
      <c r="E2051" s="78"/>
      <c r="F2051" s="78"/>
      <c r="G2051" s="78"/>
      <c r="H2051" s="89">
        <v>113.6449785</v>
      </c>
      <c r="I2051" s="87">
        <f>VLOOKUP($C2051,'Unit tariffs'!$B$21:$F$122,5,FALSE)*$B2051</f>
        <v>260.5</v>
      </c>
      <c r="J2051" s="122"/>
      <c r="K2051" s="667"/>
    </row>
    <row r="2052" spans="1:10" ht="12.75">
      <c r="A2052" s="97"/>
      <c r="B2052" s="110"/>
      <c r="C2052" s="78"/>
      <c r="D2052" s="78"/>
      <c r="E2052" s="78"/>
      <c r="F2052" s="78"/>
      <c r="G2052" s="78"/>
      <c r="H2052" s="80">
        <v>8116.8124785</v>
      </c>
      <c r="I2052" s="80">
        <f>SUM(I2049:I2051)</f>
        <v>9133.515769239999</v>
      </c>
      <c r="J2052" s="122"/>
    </row>
    <row r="2053" spans="1:10" ht="12.75">
      <c r="A2053" s="97"/>
      <c r="B2053" s="110" t="e">
        <f>'Unit tariffs'!#REF!</f>
        <v>#REF!</v>
      </c>
      <c r="C2053" s="78"/>
      <c r="D2053" s="112" t="e">
        <f>'Unit tariffs'!#REF!</f>
        <v>#REF!</v>
      </c>
      <c r="E2053" s="78" t="s">
        <v>311</v>
      </c>
      <c r="F2053" s="196" t="e">
        <f>+'Unit tariffs'!#REF!</f>
        <v>#REF!</v>
      </c>
      <c r="G2053" s="78"/>
      <c r="H2053" s="87">
        <v>0</v>
      </c>
      <c r="I2053" s="215">
        <f>+SUM(J2049:J2051)</f>
        <v>0</v>
      </c>
      <c r="J2053" s="122"/>
    </row>
    <row r="2054" spans="1:11" ht="12.75">
      <c r="A2054" s="97"/>
      <c r="B2054" s="110"/>
      <c r="C2054" s="78"/>
      <c r="D2054" s="78"/>
      <c r="E2054" s="78"/>
      <c r="F2054" s="78"/>
      <c r="G2054" s="78"/>
      <c r="H2054" s="80">
        <v>8116.8124785</v>
      </c>
      <c r="I2054" s="80">
        <f>I2053+I2052</f>
        <v>9133.515769239999</v>
      </c>
      <c r="J2054" s="122"/>
      <c r="K2054" s="667">
        <f>+(I2054-H2054)/H2054</f>
        <v>0.12525893550369263</v>
      </c>
    </row>
    <row r="2055" spans="1:10" ht="12.75">
      <c r="A2055" s="97"/>
      <c r="B2055" s="110"/>
      <c r="C2055" s="78"/>
      <c r="D2055" s="78"/>
      <c r="E2055" s="78"/>
      <c r="F2055" s="78"/>
      <c r="G2055" s="78"/>
      <c r="H2055" s="88"/>
      <c r="I2055" s="80"/>
      <c r="J2055" s="122"/>
    </row>
    <row r="2056" spans="1:10" ht="12.75">
      <c r="A2056" s="97"/>
      <c r="B2056" s="110" t="s">
        <v>42</v>
      </c>
      <c r="C2056" s="78"/>
      <c r="D2056" s="78"/>
      <c r="E2056" s="78"/>
      <c r="F2056" s="78"/>
      <c r="G2056" s="78"/>
      <c r="H2056" s="78"/>
      <c r="I2056" s="78"/>
      <c r="J2056" s="122"/>
    </row>
    <row r="2057" spans="1:10" ht="12.75">
      <c r="A2057" s="97"/>
      <c r="B2057" s="78"/>
      <c r="C2057" s="78"/>
      <c r="D2057" s="78"/>
      <c r="E2057" s="78"/>
      <c r="F2057" s="78"/>
      <c r="G2057" s="78"/>
      <c r="H2057" s="78"/>
      <c r="I2057" s="78"/>
      <c r="J2057" s="122"/>
    </row>
    <row r="2058" spans="1:10" ht="12.75">
      <c r="A2058" s="97"/>
      <c r="B2058" s="78">
        <v>0.75</v>
      </c>
      <c r="C2058" s="78" t="str">
        <f>'Unit tariffs'!B$85</f>
        <v>hour-meter assistant</v>
      </c>
      <c r="D2058" s="78"/>
      <c r="E2058" s="78"/>
      <c r="F2058" s="78"/>
      <c r="G2058" s="78"/>
      <c r="H2058" s="80">
        <v>59.70229194257308</v>
      </c>
      <c r="I2058" s="80">
        <f>VLOOKUP($C2058,'Unit tariffs'!$B$21:$F$122,5,FALSE)*$B2058</f>
        <v>96.40185576923079</v>
      </c>
      <c r="J2058" s="122"/>
    </row>
    <row r="2059" spans="1:10" ht="12.75">
      <c r="A2059" s="97"/>
      <c r="B2059" s="78">
        <v>2.85</v>
      </c>
      <c r="C2059" s="78" t="str">
        <f>'Unit tariffs'!B$86</f>
        <v>hour-artisan </v>
      </c>
      <c r="D2059" s="78"/>
      <c r="E2059" s="78"/>
      <c r="F2059" s="78"/>
      <c r="G2059" s="78"/>
      <c r="H2059" s="88">
        <v>513.1673878055366</v>
      </c>
      <c r="I2059" s="80">
        <f>VLOOKUP($C2059,'Unit tariffs'!$B$21:$F$122,5,FALSE)*$B2059</f>
        <v>920.1288604326924</v>
      </c>
      <c r="J2059" s="122"/>
    </row>
    <row r="2060" spans="1:10" ht="12.75">
      <c r="A2060" s="97"/>
      <c r="B2060" s="78">
        <v>2</v>
      </c>
      <c r="C2060" s="78" t="str">
        <f>'Unit tariffs'!B$84</f>
        <v>hour-artisan assistant</v>
      </c>
      <c r="D2060" s="78"/>
      <c r="E2060" s="78"/>
      <c r="F2060" s="78"/>
      <c r="G2060" s="78"/>
      <c r="H2060" s="89">
        <v>159.20611184686155</v>
      </c>
      <c r="I2060" s="87">
        <f>VLOOKUP($C2060,'Unit tariffs'!$B$21:$F$122,5,FALSE)*$B2060</f>
        <v>257.0716153846154</v>
      </c>
      <c r="J2060" s="122"/>
    </row>
    <row r="2061" spans="1:10" ht="12.75">
      <c r="A2061" s="97"/>
      <c r="B2061" s="78"/>
      <c r="C2061" s="78"/>
      <c r="D2061" s="78"/>
      <c r="E2061" s="78"/>
      <c r="F2061" s="78"/>
      <c r="G2061" s="78"/>
      <c r="H2061" s="88">
        <v>732.0757915949712</v>
      </c>
      <c r="I2061" s="80">
        <f>SUM(I2058:I2060)</f>
        <v>1273.6023315865386</v>
      </c>
      <c r="J2061" s="122"/>
    </row>
    <row r="2062" spans="1:10" ht="13.5" thickBot="1">
      <c r="A2062" s="97"/>
      <c r="B2062" s="110"/>
      <c r="C2062" s="78"/>
      <c r="D2062" s="78"/>
      <c r="E2062" s="78"/>
      <c r="F2062" s="78"/>
      <c r="G2062" s="78"/>
      <c r="H2062" s="136"/>
      <c r="I2062" s="114"/>
      <c r="J2062" s="122"/>
    </row>
    <row r="2063" spans="1:11" ht="13.5" thickTop="1">
      <c r="A2063" s="97"/>
      <c r="B2063" s="78"/>
      <c r="C2063" s="78"/>
      <c r="D2063" s="78"/>
      <c r="E2063" s="78"/>
      <c r="F2063" s="78"/>
      <c r="G2063" s="78" t="s">
        <v>44</v>
      </c>
      <c r="H2063" s="80">
        <v>8848.88827009497</v>
      </c>
      <c r="I2063" s="80">
        <f>I2061+I2054</f>
        <v>10407.118100826538</v>
      </c>
      <c r="J2063" s="122"/>
      <c r="K2063" s="667">
        <f>+(I2063-H2063)/H2063</f>
        <v>0.17609328801196888</v>
      </c>
    </row>
    <row r="2064" spans="1:10" ht="12.75">
      <c r="A2064" s="97"/>
      <c r="B2064" s="110"/>
      <c r="C2064" s="78"/>
      <c r="D2064" s="78"/>
      <c r="E2064" s="78"/>
      <c r="F2064" s="78"/>
      <c r="G2064" s="78"/>
      <c r="H2064" s="88"/>
      <c r="I2064" s="80"/>
      <c r="J2064" s="122"/>
    </row>
    <row r="2065" spans="1:10" ht="12.75">
      <c r="A2065" s="97"/>
      <c r="B2065" s="110" t="s">
        <v>43</v>
      </c>
      <c r="C2065" s="78"/>
      <c r="D2065" s="78"/>
      <c r="E2065" s="78"/>
      <c r="F2065" s="78"/>
      <c r="G2065" s="78"/>
      <c r="H2065" s="78"/>
      <c r="I2065" s="78"/>
      <c r="J2065" s="122"/>
    </row>
    <row r="2066" spans="1:10" ht="12.75">
      <c r="A2066" s="97"/>
      <c r="B2066" s="78"/>
      <c r="C2066" s="78"/>
      <c r="D2066" s="78"/>
      <c r="E2066" s="78"/>
      <c r="F2066" s="78"/>
      <c r="G2066" s="78"/>
      <c r="H2066" s="78"/>
      <c r="I2066" s="78"/>
      <c r="J2066" s="122"/>
    </row>
    <row r="2067" spans="1:10" ht="12.75">
      <c r="A2067" s="97"/>
      <c r="B2067" s="78">
        <v>24</v>
      </c>
      <c r="C2067" s="78" t="str">
        <f>'Unit tariffs'!B$114</f>
        <v>km-panel van</v>
      </c>
      <c r="D2067" s="78"/>
      <c r="E2067" s="78"/>
      <c r="F2067" s="78"/>
      <c r="G2067" s="78"/>
      <c r="H2067" s="80">
        <v>425.72441184000013</v>
      </c>
      <c r="I2067" s="80">
        <f>VLOOKUP($C2067,'Unit tariffs'!$B$21:$F$122,5,FALSE)*$B2067</f>
        <v>539.0903329438512</v>
      </c>
      <c r="J2067" s="122"/>
    </row>
    <row r="2068" spans="1:10" ht="12.75">
      <c r="A2068" s="97"/>
      <c r="B2068" s="78">
        <f>+B2060</f>
        <v>2</v>
      </c>
      <c r="C2068" s="78" t="str">
        <f>'Unit tariffs'!B$115</f>
        <v>hour-panel van</v>
      </c>
      <c r="D2068" s="78"/>
      <c r="E2068" s="78"/>
      <c r="F2068" s="78"/>
      <c r="G2068" s="78"/>
      <c r="H2068" s="80">
        <v>323.63418880000006</v>
      </c>
      <c r="I2068" s="80">
        <f>VLOOKUP($C2068,'Unit tariffs'!$B$21:$F$122,5,FALSE)*$B2068</f>
        <v>392.632574264384</v>
      </c>
      <c r="J2068" s="122"/>
    </row>
    <row r="2069" spans="1:11" ht="12.75">
      <c r="A2069" s="97"/>
      <c r="B2069" s="78"/>
      <c r="C2069" s="78"/>
      <c r="D2069" s="78"/>
      <c r="E2069" s="78"/>
      <c r="F2069" s="78"/>
      <c r="G2069" s="78"/>
      <c r="H2069" s="146">
        <v>749.3586006400002</v>
      </c>
      <c r="I2069" s="146">
        <f>SUM(I2067:I2068)</f>
        <v>931.7229072082353</v>
      </c>
      <c r="J2069" s="122"/>
      <c r="K2069" s="667">
        <f>+(I2069-H2069)/H2069</f>
        <v>0.2433605304756418</v>
      </c>
    </row>
    <row r="2070" spans="1:10" ht="13.5" thickBot="1">
      <c r="A2070" s="97"/>
      <c r="B2070" s="110"/>
      <c r="C2070" s="78"/>
      <c r="D2070" s="112"/>
      <c r="E2070" s="78"/>
      <c r="F2070" s="78"/>
      <c r="G2070" s="78"/>
      <c r="H2070" s="136"/>
      <c r="I2070" s="114"/>
      <c r="J2070" s="122"/>
    </row>
    <row r="2071" spans="1:10" ht="13.5" thickTop="1">
      <c r="A2071" s="97"/>
      <c r="B2071" s="78"/>
      <c r="C2071" s="78"/>
      <c r="D2071" s="78"/>
      <c r="E2071" s="78"/>
      <c r="F2071" s="78"/>
      <c r="G2071" s="80"/>
      <c r="H2071" s="80">
        <v>14402.545377835066</v>
      </c>
      <c r="I2071" s="80">
        <f>+I2063+I2045+I2039+I2069</f>
        <v>17216.193074810548</v>
      </c>
      <c r="J2071" s="122"/>
    </row>
    <row r="2072" spans="1:10" ht="13.5" thickBot="1">
      <c r="A2072" s="97"/>
      <c r="B2072" s="110" t="str">
        <f>'Unit tariffs'!$B$7</f>
        <v>Administration Levy (Indirect Cost)</v>
      </c>
      <c r="C2072" s="78"/>
      <c r="D2072" s="112">
        <f>'Unit tariffs'!$C$7</f>
        <v>0.1</v>
      </c>
      <c r="E2072" s="78" t="s">
        <v>312</v>
      </c>
      <c r="F2072" s="196">
        <f>+'Unit tariffs'!$F$7</f>
        <v>10000</v>
      </c>
      <c r="G2072" s="80"/>
      <c r="H2072" s="114">
        <v>3839.7185977308286</v>
      </c>
      <c r="I2072" s="114">
        <f>IF(I2071*$D2072&gt;='Unit tariffs'!$E$7,'Unit tariffs'!$E$7,I2071*$D2072)</f>
        <v>1721.6193074810549</v>
      </c>
      <c r="J2072" s="122"/>
    </row>
    <row r="2073" spans="1:10" ht="13.5" thickTop="1">
      <c r="A2073" s="97"/>
      <c r="B2073" s="110" t="s">
        <v>44</v>
      </c>
      <c r="C2073" s="78"/>
      <c r="D2073" s="78"/>
      <c r="E2073" s="78"/>
      <c r="F2073" s="78"/>
      <c r="G2073" s="80"/>
      <c r="H2073" s="115">
        <v>18242.263975565893</v>
      </c>
      <c r="I2073" s="115">
        <f>SUM(I2071:I2072)</f>
        <v>18937.812382291602</v>
      </c>
      <c r="J2073" s="122"/>
    </row>
    <row r="2074" spans="1:10" ht="12.75">
      <c r="A2074" s="97"/>
      <c r="B2074" s="78"/>
      <c r="C2074" s="78"/>
      <c r="D2074" s="78"/>
      <c r="E2074" s="78"/>
      <c r="F2074" s="78"/>
      <c r="G2074" s="78"/>
      <c r="H2074" s="145"/>
      <c r="I2074" s="78"/>
      <c r="J2074" s="122"/>
    </row>
    <row r="2075" spans="1:10" ht="12.75">
      <c r="A2075" s="97"/>
      <c r="B2075" s="110" t="s">
        <v>45</v>
      </c>
      <c r="C2075" s="78"/>
      <c r="D2075" s="78"/>
      <c r="E2075" s="78"/>
      <c r="F2075" s="78"/>
      <c r="G2075" s="78"/>
      <c r="H2075" s="90">
        <v>18240</v>
      </c>
      <c r="I2075" s="90">
        <f>ROUND(I2073,-1)</f>
        <v>18940</v>
      </c>
      <c r="J2075" s="122"/>
    </row>
    <row r="2076" spans="1:10" ht="12.75">
      <c r="A2076" s="97"/>
      <c r="B2076" s="78"/>
      <c r="C2076" s="78"/>
      <c r="D2076" s="78"/>
      <c r="E2076" s="78"/>
      <c r="F2076" s="78"/>
      <c r="G2076" s="78"/>
      <c r="H2076" s="78"/>
      <c r="I2076" s="80"/>
      <c r="J2076" s="122"/>
    </row>
    <row r="2077" spans="1:10" ht="12.75">
      <c r="A2077" s="97"/>
      <c r="B2077" s="78"/>
      <c r="C2077" s="78"/>
      <c r="D2077" s="78"/>
      <c r="E2077" s="78"/>
      <c r="F2077" s="78"/>
      <c r="G2077" s="78"/>
      <c r="H2077" s="118">
        <v>0.04647160068846816</v>
      </c>
      <c r="I2077" s="118">
        <f>(I2075-H2075)/H2075</f>
        <v>0.03837719298245614</v>
      </c>
      <c r="J2077" s="122"/>
    </row>
    <row r="2078" spans="1:10" ht="12.75">
      <c r="A2078" s="97"/>
      <c r="B2078" s="78"/>
      <c r="C2078" s="78"/>
      <c r="D2078" s="78"/>
      <c r="E2078" s="78"/>
      <c r="F2078" s="78"/>
      <c r="G2078" s="78"/>
      <c r="H2078" s="118"/>
      <c r="I2078" s="118"/>
      <c r="J2078" s="122"/>
    </row>
    <row r="2079" spans="1:10" ht="33.75" customHeight="1">
      <c r="A2079" s="97"/>
      <c r="B2079" s="832" t="s">
        <v>539</v>
      </c>
      <c r="C2079" s="833"/>
      <c r="D2079" s="833"/>
      <c r="E2079" s="833"/>
      <c r="F2079" s="833"/>
      <c r="G2079" s="834"/>
      <c r="H2079" s="118"/>
      <c r="I2079" s="609"/>
      <c r="J2079" s="101"/>
    </row>
    <row r="2080" spans="1:10" ht="12.75">
      <c r="A2080" s="97"/>
      <c r="B2080" s="78"/>
      <c r="C2080" s="78"/>
      <c r="D2080" s="78"/>
      <c r="E2080" s="78"/>
      <c r="F2080" s="78"/>
      <c r="G2080" s="78"/>
      <c r="H2080" s="118"/>
      <c r="I2080" s="90"/>
      <c r="J2080" s="101"/>
    </row>
    <row r="2081" spans="1:10" ht="12.75">
      <c r="A2081" s="97"/>
      <c r="B2081" s="110" t="s">
        <v>453</v>
      </c>
      <c r="C2081" s="78"/>
      <c r="D2081" s="78"/>
      <c r="E2081" s="78"/>
      <c r="F2081" s="78"/>
      <c r="G2081" s="78"/>
      <c r="H2081" s="118"/>
      <c r="I2081" s="90"/>
      <c r="J2081" s="101"/>
    </row>
    <row r="2082" spans="1:10" ht="12.75">
      <c r="A2082" s="97"/>
      <c r="B2082" s="110"/>
      <c r="C2082" s="78"/>
      <c r="D2082" s="78"/>
      <c r="E2082" s="78"/>
      <c r="F2082" s="78"/>
      <c r="G2082" s="78"/>
      <c r="H2082" s="118"/>
      <c r="I2082" s="90"/>
      <c r="J2082" s="101"/>
    </row>
    <row r="2083" spans="1:10" ht="12.75">
      <c r="A2083" s="97"/>
      <c r="C2083" s="78" t="s">
        <v>443</v>
      </c>
      <c r="D2083">
        <f>60*693/1000</f>
        <v>41.58</v>
      </c>
      <c r="E2083" s="78" t="s">
        <v>444</v>
      </c>
      <c r="F2083" s="78"/>
      <c r="G2083" s="78"/>
      <c r="H2083" s="118"/>
      <c r="I2083" s="90"/>
      <c r="J2083" s="101"/>
    </row>
    <row r="2084" spans="1:10" ht="12.75">
      <c r="A2084" s="97"/>
      <c r="B2084" s="78"/>
      <c r="C2084" s="78" t="s">
        <v>455</v>
      </c>
      <c r="D2084" s="1">
        <f>+D2083*0.7</f>
        <v>29.105999999999998</v>
      </c>
      <c r="E2084" s="78" t="s">
        <v>444</v>
      </c>
      <c r="F2084" s="78" t="s">
        <v>456</v>
      </c>
      <c r="G2084" s="78"/>
      <c r="H2084" s="118"/>
      <c r="I2084" s="90"/>
      <c r="J2084" s="101"/>
    </row>
    <row r="2085" spans="1:10" ht="12.75">
      <c r="A2085" s="97"/>
      <c r="B2085" s="78"/>
      <c r="C2085" s="78" t="s">
        <v>115</v>
      </c>
      <c r="D2085" s="611">
        <f>+F2085</f>
        <v>0</v>
      </c>
      <c r="E2085" s="78" t="s">
        <v>446</v>
      </c>
      <c r="F2085" s="78"/>
      <c r="G2085" s="78"/>
      <c r="H2085" s="118"/>
      <c r="I2085" s="90"/>
      <c r="J2085" s="101"/>
    </row>
    <row r="2086" spans="1:10" ht="12.75">
      <c r="A2086" s="97"/>
      <c r="B2086" s="78"/>
      <c r="C2086" s="78" t="s">
        <v>447</v>
      </c>
      <c r="D2086" s="615">
        <f>(F2086*D2084)</f>
        <v>0</v>
      </c>
      <c r="E2086" s="78" t="s">
        <v>446</v>
      </c>
      <c r="F2086" s="78"/>
      <c r="G2086" s="78" t="s">
        <v>448</v>
      </c>
      <c r="H2086" s="118"/>
      <c r="I2086" s="90"/>
      <c r="J2086" s="101"/>
    </row>
    <row r="2087" spans="1:10" ht="12.75">
      <c r="A2087" s="97"/>
      <c r="B2087" s="78"/>
      <c r="C2087" s="78" t="s">
        <v>449</v>
      </c>
      <c r="D2087" s="200">
        <f>(D2084*31*24*0.33*F2087)</f>
        <v>13686.12048035232</v>
      </c>
      <c r="E2087" s="78" t="s">
        <v>446</v>
      </c>
      <c r="F2087" s="658">
        <f>+'Unit tariffs'!E164</f>
        <v>1.915186</v>
      </c>
      <c r="G2087" s="78" t="s">
        <v>457</v>
      </c>
      <c r="H2087" s="118"/>
      <c r="I2087" s="90"/>
      <c r="J2087" s="101"/>
    </row>
    <row r="2088" spans="1:10" ht="12.75">
      <c r="A2088" s="97"/>
      <c r="B2088" s="78"/>
      <c r="C2088" s="78" t="s">
        <v>451</v>
      </c>
      <c r="D2088" s="616">
        <f>D2087+D2086+D2085</f>
        <v>13686.12048035232</v>
      </c>
      <c r="E2088" s="78"/>
      <c r="F2088" s="78"/>
      <c r="G2088" s="78"/>
      <c r="H2088" s="118"/>
      <c r="I2088" s="90"/>
      <c r="J2088" s="101"/>
    </row>
    <row r="2089" spans="1:10" ht="12.75">
      <c r="A2089" s="97"/>
      <c r="B2089" s="78"/>
      <c r="C2089" s="78"/>
      <c r="D2089" s="617"/>
      <c r="E2089" s="78"/>
      <c r="F2089" s="78"/>
      <c r="G2089" s="78"/>
      <c r="H2089" s="118"/>
      <c r="I2089" s="90"/>
      <c r="J2089" s="101"/>
    </row>
    <row r="2090" spans="1:10" ht="12.75">
      <c r="A2090" s="97"/>
      <c r="B2090" s="110" t="s">
        <v>454</v>
      </c>
      <c r="D2090" s="110">
        <v>3</v>
      </c>
      <c r="E2090" s="78"/>
      <c r="F2090" s="78"/>
      <c r="G2090" s="78"/>
      <c r="H2090" s="608">
        <v>39017.7339552</v>
      </c>
      <c r="I2090" s="608">
        <f>+D2088*D2090</f>
        <v>41058.36144105696</v>
      </c>
      <c r="J2090" s="101"/>
    </row>
    <row r="2091" spans="1:10" ht="12.75">
      <c r="A2091" s="97"/>
      <c r="B2091" s="78"/>
      <c r="C2091" s="78"/>
      <c r="D2091" s="78"/>
      <c r="E2091" s="78"/>
      <c r="F2091" s="78"/>
      <c r="G2091" s="78"/>
      <c r="H2091" s="618"/>
      <c r="I2091" s="618"/>
      <c r="J2091" s="101"/>
    </row>
    <row r="2092" spans="1:11" ht="12.75">
      <c r="A2092" s="97"/>
      <c r="B2092" s="78"/>
      <c r="C2092" s="78"/>
      <c r="D2092" s="78"/>
      <c r="E2092" s="78"/>
      <c r="F2092" s="135"/>
      <c r="G2092" s="655" t="s">
        <v>464</v>
      </c>
      <c r="H2092" s="608">
        <v>39000</v>
      </c>
      <c r="I2092" s="608">
        <f>+ROUND(I2090,-2)</f>
        <v>41100</v>
      </c>
      <c r="J2092" s="101"/>
      <c r="K2092" s="610"/>
    </row>
    <row r="2093" spans="1:10" ht="12.75">
      <c r="A2093" s="97"/>
      <c r="B2093" s="78"/>
      <c r="C2093" s="78"/>
      <c r="D2093" s="78"/>
      <c r="E2093" s="78"/>
      <c r="F2093" s="135"/>
      <c r="G2093" s="78"/>
      <c r="H2093" s="608"/>
      <c r="I2093" s="608"/>
      <c r="J2093" s="101"/>
    </row>
    <row r="2094" spans="1:10" ht="12.75">
      <c r="A2094" s="97"/>
      <c r="B2094" s="78"/>
      <c r="C2094" s="78"/>
      <c r="D2094" s="78"/>
      <c r="E2094" s="78"/>
      <c r="F2094" s="135"/>
      <c r="G2094" s="78"/>
      <c r="H2094" s="619">
        <v>0.031746031746031744</v>
      </c>
      <c r="I2094" s="619">
        <f>+(I2092-H2092)/H2092</f>
        <v>0.05384615384615385</v>
      </c>
      <c r="J2094" s="101"/>
    </row>
    <row r="2095" spans="1:10" ht="12.75">
      <c r="A2095" s="97"/>
      <c r="B2095" s="78"/>
      <c r="C2095" s="78"/>
      <c r="D2095" s="78"/>
      <c r="E2095" s="78"/>
      <c r="F2095" s="78"/>
      <c r="G2095" s="78"/>
      <c r="H2095" s="118"/>
      <c r="I2095" s="609"/>
      <c r="J2095" s="461" t="e">
        <f>IF(+I2192*'Unit tariffs'!#REF!&gt;'Unit tariffs'!#REF!,'Unit tariffs'!#REF!,+I2192*'Unit tariffs'!#REF!)</f>
        <v>#REF!</v>
      </c>
    </row>
    <row r="2096" spans="1:10" ht="13.5" thickBot="1">
      <c r="A2096" s="462"/>
      <c r="B2096" s="130"/>
      <c r="C2096" s="130"/>
      <c r="D2096" s="130"/>
      <c r="E2096" s="130"/>
      <c r="F2096" s="130"/>
      <c r="G2096" s="130"/>
      <c r="H2096" s="130"/>
      <c r="I2096" s="130"/>
      <c r="J2096" s="461" t="e">
        <f>IF(+I2193*'Unit tariffs'!#REF!&gt;'Unit tariffs'!#REF!,'Unit tariffs'!#REF!,+I2193*'Unit tariffs'!#REF!)</f>
        <v>#REF!</v>
      </c>
    </row>
    <row r="2097" spans="1:10" ht="13.5" thickTop="1">
      <c r="A2097" s="97"/>
      <c r="B2097" s="78"/>
      <c r="C2097" s="78"/>
      <c r="D2097" s="78"/>
      <c r="E2097" s="78"/>
      <c r="F2097" s="78"/>
      <c r="G2097" s="78"/>
      <c r="H2097" s="78"/>
      <c r="I2097" s="78"/>
      <c r="J2097" s="461"/>
    </row>
    <row r="2098" spans="1:10" ht="13.5" thickBot="1">
      <c r="A2098" s="97"/>
      <c r="B2098" s="78"/>
      <c r="C2098" s="78"/>
      <c r="D2098" s="78"/>
      <c r="E2098" s="78"/>
      <c r="F2098" s="78"/>
      <c r="G2098" s="78"/>
      <c r="H2098" s="78"/>
      <c r="I2098" s="78"/>
      <c r="J2098" s="122"/>
    </row>
    <row r="2099" spans="1:10" ht="13.5" thickTop="1">
      <c r="A2099" s="459"/>
      <c r="B2099" s="127" t="s">
        <v>1</v>
      </c>
      <c r="C2099" s="127"/>
      <c r="D2099" s="127"/>
      <c r="E2099" s="127"/>
      <c r="F2099" s="127"/>
      <c r="G2099" s="127"/>
      <c r="H2099" s="127"/>
      <c r="I2099" s="127"/>
      <c r="J2099" s="122"/>
    </row>
    <row r="2100" spans="1:10" ht="12.75">
      <c r="A2100" s="97"/>
      <c r="B2100" s="98" t="s">
        <v>540</v>
      </c>
      <c r="C2100" s="99"/>
      <c r="D2100" s="99"/>
      <c r="E2100" s="99"/>
      <c r="F2100" s="99"/>
      <c r="G2100" s="99"/>
      <c r="H2100" s="99"/>
      <c r="I2100" s="100"/>
      <c r="J2100" s="122"/>
    </row>
    <row r="2101" spans="1:10" ht="12.75">
      <c r="A2101" s="97"/>
      <c r="B2101" s="110"/>
      <c r="C2101" s="78"/>
      <c r="D2101" s="78"/>
      <c r="E2101" s="78"/>
      <c r="F2101" s="78"/>
      <c r="G2101" s="78"/>
      <c r="H2101" s="78"/>
      <c r="I2101" s="78"/>
      <c r="J2101" s="122"/>
    </row>
    <row r="2102" spans="1:10" ht="12.75">
      <c r="A2102" s="97"/>
      <c r="B2102" s="110" t="s">
        <v>248</v>
      </c>
      <c r="C2102" s="78"/>
      <c r="D2102" s="78"/>
      <c r="E2102" s="78"/>
      <c r="F2102" s="78"/>
      <c r="G2102" s="78"/>
      <c r="H2102" s="78"/>
      <c r="I2102" s="78"/>
      <c r="J2102" s="122"/>
    </row>
    <row r="2103" spans="1:10" ht="12.75">
      <c r="A2103" s="97"/>
      <c r="B2103" s="78"/>
      <c r="C2103" s="78"/>
      <c r="D2103" s="78"/>
      <c r="E2103" s="78"/>
      <c r="F2103" s="78"/>
      <c r="G2103" s="78"/>
      <c r="H2103" s="109" t="str">
        <f>+H$11</f>
        <v>2020/2021</v>
      </c>
      <c r="I2103" s="109" t="str">
        <f>+'Unit tariffs'!$F$11</f>
        <v>2021/2022</v>
      </c>
      <c r="J2103" s="122"/>
    </row>
    <row r="2104" spans="1:10" ht="12.75">
      <c r="A2104" s="97"/>
      <c r="B2104" s="110" t="s">
        <v>62</v>
      </c>
      <c r="C2104" s="78"/>
      <c r="D2104" s="78"/>
      <c r="E2104" s="78"/>
      <c r="F2104" s="78"/>
      <c r="G2104" s="78"/>
      <c r="H2104" s="145"/>
      <c r="I2104" s="78"/>
      <c r="J2104" s="122"/>
    </row>
    <row r="2105" spans="1:10" ht="12.75">
      <c r="A2105" s="97"/>
      <c r="B2105" s="78"/>
      <c r="C2105" s="78"/>
      <c r="D2105" s="78"/>
      <c r="E2105" s="78"/>
      <c r="F2105" s="78"/>
      <c r="G2105" s="80"/>
      <c r="H2105" s="88"/>
      <c r="I2105" s="80"/>
      <c r="J2105" s="122"/>
    </row>
    <row r="2106" spans="1:10" ht="12.75">
      <c r="A2106" s="97"/>
      <c r="B2106" s="110" t="s">
        <v>42</v>
      </c>
      <c r="C2106" s="78"/>
      <c r="D2106" s="78"/>
      <c r="E2106" s="78"/>
      <c r="F2106" s="78"/>
      <c r="G2106" s="78"/>
      <c r="H2106" s="78"/>
      <c r="I2106" s="78"/>
      <c r="J2106" s="122"/>
    </row>
    <row r="2107" spans="1:10" ht="12.75">
      <c r="A2107" s="97"/>
      <c r="B2107" s="78"/>
      <c r="C2107" s="78"/>
      <c r="D2107" s="78"/>
      <c r="E2107" s="78"/>
      <c r="F2107" s="78"/>
      <c r="G2107" s="78"/>
      <c r="H2107" s="78"/>
      <c r="I2107" s="78"/>
      <c r="J2107" s="122"/>
    </row>
    <row r="2108" spans="1:10" ht="12.75">
      <c r="A2108" s="97"/>
      <c r="B2108" s="78">
        <v>2</v>
      </c>
      <c r="C2108" s="78" t="str">
        <f>'Unit tariffs'!B90</f>
        <v>hour-First Eng Assistant</v>
      </c>
      <c r="D2108" s="78"/>
      <c r="E2108" s="78"/>
      <c r="F2108" s="78"/>
      <c r="G2108" s="78"/>
      <c r="H2108" s="80">
        <v>548.5125169843845</v>
      </c>
      <c r="I2108" s="80">
        <f>VLOOKUP($C2108,'Unit tariffs'!$B$21:$F$122,5,FALSE)*$B2108</f>
        <v>684.6411461538462</v>
      </c>
      <c r="J2108" s="122"/>
    </row>
    <row r="2109" spans="1:10" ht="12.75">
      <c r="A2109" s="97"/>
      <c r="B2109" s="78">
        <v>2</v>
      </c>
      <c r="C2109" s="78" t="s">
        <v>68</v>
      </c>
      <c r="D2109" s="78"/>
      <c r="E2109" s="78"/>
      <c r="F2109" s="78"/>
      <c r="G2109" s="78"/>
      <c r="H2109" s="80">
        <v>548.5125169843845</v>
      </c>
      <c r="I2109" s="80">
        <f>VLOOKUP($C2109,'Unit tariffs'!$B$21:$F$122,5,FALSE)*$B2109</f>
        <v>684.6411461538462</v>
      </c>
      <c r="J2109" s="122"/>
    </row>
    <row r="2110" spans="1:10" ht="12.75">
      <c r="A2110" s="97"/>
      <c r="B2110" s="78">
        <v>16</v>
      </c>
      <c r="C2110" s="78" t="s">
        <v>69</v>
      </c>
      <c r="D2110" s="78"/>
      <c r="E2110" s="78"/>
      <c r="F2110" s="78"/>
      <c r="G2110" s="78"/>
      <c r="H2110" s="80">
        <v>2353.1747752412307</v>
      </c>
      <c r="I2110" s="80">
        <f>VLOOKUP($C2110,'Unit tariffs'!$B$21:$F$122,5,FALSE)*$B2110</f>
        <v>3058.078107692308</v>
      </c>
      <c r="J2110" s="122"/>
    </row>
    <row r="2111" spans="1:10" ht="12.75">
      <c r="A2111" s="97"/>
      <c r="B2111" s="78">
        <v>18</v>
      </c>
      <c r="C2111" s="78" t="str">
        <f>'Unit tariffs'!B88</f>
        <v>hour-Eng asst </v>
      </c>
      <c r="D2111" s="78"/>
      <c r="E2111" s="78"/>
      <c r="F2111" s="78"/>
      <c r="G2111" s="78"/>
      <c r="H2111" s="87">
        <v>4250.481756002307</v>
      </c>
      <c r="I2111" s="87">
        <f>VLOOKUP($C2111,'Unit tariffs'!$B$21:$F$122,5,FALSE)*$B2111</f>
        <v>4780.189401923078</v>
      </c>
      <c r="J2111" s="122"/>
    </row>
    <row r="2112" spans="1:10" ht="12.75">
      <c r="A2112" s="97"/>
      <c r="B2112" s="78"/>
      <c r="C2112" s="78"/>
      <c r="D2112" s="78"/>
      <c r="E2112" s="78"/>
      <c r="F2112" s="78"/>
      <c r="G2112" s="78"/>
      <c r="H2112" s="80">
        <v>7700.681565212306</v>
      </c>
      <c r="I2112" s="80">
        <f>SUM(I2108:I2111)</f>
        <v>9207.549801923078</v>
      </c>
      <c r="J2112" s="122"/>
    </row>
    <row r="2113" spans="1:10" ht="12.75">
      <c r="A2113" s="97"/>
      <c r="B2113" s="110" t="s">
        <v>70</v>
      </c>
      <c r="C2113" s="78"/>
      <c r="D2113" s="78"/>
      <c r="E2113" s="78"/>
      <c r="F2113" s="78"/>
      <c r="G2113" s="78"/>
      <c r="H2113" s="78"/>
      <c r="I2113" s="78"/>
      <c r="J2113" s="122"/>
    </row>
    <row r="2114" spans="1:10" ht="12.75">
      <c r="A2114" s="97"/>
      <c r="B2114" s="78"/>
      <c r="C2114" s="78"/>
      <c r="D2114" s="78"/>
      <c r="E2114" s="78"/>
      <c r="F2114" s="78"/>
      <c r="G2114" s="78"/>
      <c r="H2114" s="78"/>
      <c r="I2114" s="78"/>
      <c r="J2114" s="122"/>
    </row>
    <row r="2115" spans="1:10" ht="12.75">
      <c r="A2115" s="97"/>
      <c r="B2115" s="78">
        <v>1</v>
      </c>
      <c r="C2115" s="78" t="s">
        <v>71</v>
      </c>
      <c r="D2115" s="78"/>
      <c r="E2115" s="78"/>
      <c r="F2115" s="78"/>
      <c r="G2115" s="78"/>
      <c r="H2115" s="80">
        <v>229.45433915359325</v>
      </c>
      <c r="I2115" s="80">
        <f>H2115*(1+'Unit tariffs'!$F$2)</f>
        <v>239.0914213980442</v>
      </c>
      <c r="J2115" s="122"/>
    </row>
    <row r="2116" spans="1:10" ht="12.75">
      <c r="A2116" s="97"/>
      <c r="B2116" s="78">
        <v>1</v>
      </c>
      <c r="C2116" s="78" t="s">
        <v>72</v>
      </c>
      <c r="D2116" s="78"/>
      <c r="E2116" s="78"/>
      <c r="F2116" s="78"/>
      <c r="G2116" s="78"/>
      <c r="H2116" s="80">
        <v>841.3325768965085</v>
      </c>
      <c r="I2116" s="80">
        <f>H2116*(1+'Unit tariffs'!$F$2)</f>
        <v>876.6685451261619</v>
      </c>
      <c r="J2116" s="122"/>
    </row>
    <row r="2117" spans="1:10" ht="12.75">
      <c r="A2117" s="97"/>
      <c r="B2117" s="78">
        <v>1</v>
      </c>
      <c r="C2117" s="78" t="s">
        <v>73</v>
      </c>
      <c r="D2117" s="78"/>
      <c r="E2117" s="78"/>
      <c r="F2117" s="78"/>
      <c r="G2117" s="78"/>
      <c r="H2117" s="87">
        <v>136.37074221163215</v>
      </c>
      <c r="I2117" s="80">
        <f>H2117*(1+'Unit tariffs'!$F$2)</f>
        <v>142.0983133845207</v>
      </c>
      <c r="J2117" s="122"/>
    </row>
    <row r="2118" spans="1:10" ht="12.75">
      <c r="A2118" s="97"/>
      <c r="B2118" s="78"/>
      <c r="C2118" s="78"/>
      <c r="D2118" s="78"/>
      <c r="E2118" s="78"/>
      <c r="F2118" s="78"/>
      <c r="G2118" s="78"/>
      <c r="H2118" s="146">
        <v>1207.157658261734</v>
      </c>
      <c r="I2118" s="146">
        <f>SUM(I2115:I2117)</f>
        <v>1257.8582799087267</v>
      </c>
      <c r="J2118" s="122"/>
    </row>
    <row r="2119" spans="1:10" ht="12.75">
      <c r="A2119" s="97"/>
      <c r="B2119" s="78"/>
      <c r="C2119" s="78"/>
      <c r="D2119" s="78"/>
      <c r="E2119" s="78"/>
      <c r="F2119" s="78"/>
      <c r="G2119" s="78"/>
      <c r="H2119" s="80"/>
      <c r="I2119" s="80"/>
      <c r="J2119" s="122"/>
    </row>
    <row r="2120" spans="1:10" ht="13.5" thickBot="1">
      <c r="A2120" s="97"/>
      <c r="B2120" s="110" t="s">
        <v>249</v>
      </c>
      <c r="C2120" s="78"/>
      <c r="D2120" s="78"/>
      <c r="E2120" s="78"/>
      <c r="F2120" s="78"/>
      <c r="G2120" s="78"/>
      <c r="H2120" s="80"/>
      <c r="I2120" s="80"/>
      <c r="J2120" s="476"/>
    </row>
    <row r="2121" spans="1:9" ht="12.75">
      <c r="A2121" s="97"/>
      <c r="B2121" s="110" t="s">
        <v>41</v>
      </c>
      <c r="C2121" s="78"/>
      <c r="D2121" s="78"/>
      <c r="E2121" s="78"/>
      <c r="F2121" s="78"/>
      <c r="G2121" s="78"/>
      <c r="H2121" s="80"/>
      <c r="I2121" s="80"/>
    </row>
    <row r="2122" spans="1:9" ht="12.75">
      <c r="A2122" s="97"/>
      <c r="B2122" s="78">
        <v>1</v>
      </c>
      <c r="C2122" s="78" t="str">
        <f>+'Unit tariffs'!B44</f>
        <v>METER: COMB KWH/KVA </v>
      </c>
      <c r="D2122" s="78"/>
      <c r="E2122" s="78"/>
      <c r="F2122" s="78"/>
      <c r="G2122" s="78"/>
      <c r="H2122" s="80">
        <v>4588.4827</v>
      </c>
      <c r="I2122" s="80">
        <f>VLOOKUP($C2122,'Unit tariffs'!$B$21:$F$122,5,FALSE)*$B2122</f>
        <v>4781.1989734</v>
      </c>
    </row>
    <row r="2123" spans="1:9" ht="12.75">
      <c r="A2123" s="97"/>
      <c r="B2123" s="78">
        <v>1</v>
      </c>
      <c r="C2123" s="78" t="str">
        <f>'Unit tariffs'!B46</f>
        <v>Modum for TOU meter</v>
      </c>
      <c r="D2123" s="78"/>
      <c r="E2123" s="78"/>
      <c r="F2123" s="78"/>
      <c r="G2123" s="78"/>
      <c r="H2123" s="80">
        <v>3414.6847999999995</v>
      </c>
      <c r="I2123" s="80">
        <f>VLOOKUP($C2123,'Unit tariffs'!$B$21:$F$122,5,FALSE)*$B2123</f>
        <v>3558.1015615999995</v>
      </c>
    </row>
    <row r="2124" spans="1:9" ht="12.75">
      <c r="A2124" s="97"/>
      <c r="B2124" s="78">
        <v>12.2</v>
      </c>
      <c r="C2124" s="78" t="str">
        <f>'Unit tariffs'!B21</f>
        <v>Installation material</v>
      </c>
      <c r="D2124" s="78"/>
      <c r="E2124" s="78"/>
      <c r="F2124" s="78"/>
      <c r="G2124" s="78"/>
      <c r="H2124" s="87">
        <v>1386.4687376999998</v>
      </c>
      <c r="I2124" s="87">
        <f>VLOOKUP($C2124,'Unit tariffs'!$B$21:$F$122,5,FALSE)*$B2124</f>
        <v>3178.1</v>
      </c>
    </row>
    <row r="2125" spans="1:9" ht="12.75">
      <c r="A2125" s="97"/>
      <c r="B2125" s="110"/>
      <c r="C2125" s="78"/>
      <c r="D2125" s="78"/>
      <c r="E2125" s="78"/>
      <c r="F2125" s="78"/>
      <c r="G2125" s="78"/>
      <c r="H2125" s="80">
        <v>9389.636237699999</v>
      </c>
      <c r="I2125" s="80">
        <f>SUM(I2122:I2124)</f>
        <v>11517.400534999999</v>
      </c>
    </row>
    <row r="2126" spans="1:9" ht="12.75">
      <c r="A2126" s="97"/>
      <c r="B2126" s="110"/>
      <c r="C2126" s="78"/>
      <c r="D2126" s="78"/>
      <c r="E2126" s="78"/>
      <c r="F2126" s="78"/>
      <c r="G2126" s="78"/>
      <c r="H2126" s="80"/>
      <c r="I2126" s="80"/>
    </row>
    <row r="2127" spans="1:9" ht="12.75">
      <c r="A2127" s="97"/>
      <c r="B2127" s="110" t="s">
        <v>42</v>
      </c>
      <c r="C2127" s="78"/>
      <c r="D2127" s="78"/>
      <c r="E2127" s="78"/>
      <c r="F2127" s="78"/>
      <c r="G2127" s="78"/>
      <c r="H2127" s="78"/>
      <c r="I2127" s="78"/>
    </row>
    <row r="2128" spans="1:9" ht="12.75">
      <c r="A2128" s="97"/>
      <c r="B2128" s="78"/>
      <c r="C2128" s="78"/>
      <c r="D2128" s="78"/>
      <c r="E2128" s="78"/>
      <c r="F2128" s="78"/>
      <c r="G2128" s="78"/>
      <c r="H2128" s="78"/>
      <c r="I2128" s="78"/>
    </row>
    <row r="2129" spans="1:9" ht="12.75">
      <c r="A2129" s="97"/>
      <c r="B2129" s="78">
        <v>0.75</v>
      </c>
      <c r="C2129" s="78" t="str">
        <f>'Unit tariffs'!B$85</f>
        <v>hour-meter assistant</v>
      </c>
      <c r="D2129" s="78"/>
      <c r="E2129" s="78"/>
      <c r="F2129" s="78"/>
      <c r="G2129" s="78"/>
      <c r="H2129" s="80">
        <v>59.70229194257308</v>
      </c>
      <c r="I2129" s="80">
        <f>VLOOKUP($C2129,'Unit tariffs'!$B$21:$F$122,5,FALSE)*$B2129</f>
        <v>96.40185576923079</v>
      </c>
    </row>
    <row r="2130" spans="1:9" ht="12.75">
      <c r="A2130" s="97"/>
      <c r="B2130" s="78">
        <v>3.6</v>
      </c>
      <c r="C2130" s="78" t="str">
        <f>'Unit tariffs'!B$86</f>
        <v>hour-artisan </v>
      </c>
      <c r="D2130" s="78"/>
      <c r="E2130" s="78"/>
      <c r="F2130" s="78"/>
      <c r="G2130" s="78"/>
      <c r="H2130" s="80">
        <v>648.2114372280462</v>
      </c>
      <c r="I2130" s="80">
        <f>VLOOKUP($C2130,'Unit tariffs'!$B$21:$F$122,5,FALSE)*$B2130</f>
        <v>1162.2680342307692</v>
      </c>
    </row>
    <row r="2131" spans="1:9" ht="12.75">
      <c r="A2131" s="97"/>
      <c r="B2131" s="78">
        <v>3</v>
      </c>
      <c r="C2131" s="78" t="str">
        <f>'Unit tariffs'!B$84</f>
        <v>hour-artisan assistant</v>
      </c>
      <c r="D2131" s="78"/>
      <c r="E2131" s="78"/>
      <c r="F2131" s="78"/>
      <c r="G2131" s="78"/>
      <c r="H2131" s="87">
        <v>238.80916777029233</v>
      </c>
      <c r="I2131" s="87">
        <f>VLOOKUP($C2131,'Unit tariffs'!$B$21:$F$122,5,FALSE)*$B2131</f>
        <v>385.60742307692317</v>
      </c>
    </row>
    <row r="2132" spans="1:9" ht="12.75">
      <c r="A2132" s="97"/>
      <c r="B2132" s="78"/>
      <c r="C2132" s="78"/>
      <c r="D2132" s="78"/>
      <c r="E2132" s="78"/>
      <c r="F2132" s="78"/>
      <c r="G2132" s="78"/>
      <c r="H2132" s="80">
        <v>946.7228969409116</v>
      </c>
      <c r="I2132" s="80">
        <f>SUM(I2129:I2131)</f>
        <v>1644.2773130769233</v>
      </c>
    </row>
    <row r="2133" spans="1:9" ht="13.5" thickBot="1">
      <c r="A2133" s="97"/>
      <c r="B2133" s="110"/>
      <c r="C2133" s="78"/>
      <c r="D2133" s="78"/>
      <c r="E2133" s="78"/>
      <c r="F2133" s="78"/>
      <c r="G2133" s="78"/>
      <c r="H2133" s="114"/>
      <c r="I2133" s="114"/>
    </row>
    <row r="2134" spans="1:9" ht="13.5" thickTop="1">
      <c r="A2134" s="97"/>
      <c r="B2134" s="78"/>
      <c r="C2134" s="78"/>
      <c r="D2134" s="78"/>
      <c r="E2134" s="78"/>
      <c r="F2134" s="78"/>
      <c r="G2134" s="78"/>
      <c r="H2134" s="80">
        <v>10336.35913464091</v>
      </c>
      <c r="I2134" s="80">
        <f>I2132+I2125</f>
        <v>13161.677848076923</v>
      </c>
    </row>
    <row r="2135" spans="1:9" ht="12.75">
      <c r="A2135" s="97"/>
      <c r="B2135" s="110"/>
      <c r="C2135" s="78"/>
      <c r="D2135" s="78"/>
      <c r="E2135" s="78"/>
      <c r="F2135" s="78"/>
      <c r="G2135" s="78"/>
      <c r="H2135" s="80"/>
      <c r="I2135" s="80"/>
    </row>
    <row r="2136" spans="1:9" ht="12.75">
      <c r="A2136" s="97"/>
      <c r="B2136" s="110" t="s">
        <v>43</v>
      </c>
      <c r="C2136" s="78"/>
      <c r="D2136" s="78"/>
      <c r="E2136" s="78"/>
      <c r="F2136" s="78"/>
      <c r="G2136" s="78"/>
      <c r="H2136" s="78"/>
      <c r="I2136" s="78"/>
    </row>
    <row r="2137" spans="1:9" ht="12.75">
      <c r="A2137" s="97"/>
      <c r="B2137" s="78"/>
      <c r="C2137" s="78"/>
      <c r="D2137" s="78"/>
      <c r="E2137" s="78"/>
      <c r="F2137" s="78"/>
      <c r="G2137" s="78"/>
      <c r="H2137" s="78"/>
      <c r="I2137" s="78"/>
    </row>
    <row r="2138" spans="1:9" ht="12.75">
      <c r="A2138" s="97"/>
      <c r="B2138" s="78">
        <v>24</v>
      </c>
      <c r="C2138" s="78" t="str">
        <f>'Unit tariffs'!B$114</f>
        <v>km-panel van</v>
      </c>
      <c r="D2138" s="78"/>
      <c r="E2138" s="78"/>
      <c r="F2138" s="78"/>
      <c r="G2138" s="78"/>
      <c r="H2138" s="80">
        <v>425.72441184000013</v>
      </c>
      <c r="I2138" s="80">
        <f>VLOOKUP($C2138,'Unit tariffs'!$B$21:$F$122,5,FALSE)*$B2138</f>
        <v>539.0903329438512</v>
      </c>
    </row>
    <row r="2139" spans="1:9" ht="12.75">
      <c r="A2139" s="97"/>
      <c r="B2139" s="78">
        <f>+B2131</f>
        <v>3</v>
      </c>
      <c r="C2139" s="78" t="str">
        <f>'Unit tariffs'!B$115</f>
        <v>hour-panel van</v>
      </c>
      <c r="D2139" s="78"/>
      <c r="E2139" s="78"/>
      <c r="F2139" s="78"/>
      <c r="G2139" s="78"/>
      <c r="H2139" s="80">
        <v>485.4512832000001</v>
      </c>
      <c r="I2139" s="80">
        <f>VLOOKUP($C2139,'Unit tariffs'!$B$21:$F$122,5,FALSE)*$B2139</f>
        <v>588.948861396576</v>
      </c>
    </row>
    <row r="2140" spans="1:9" ht="12.75">
      <c r="A2140" s="97"/>
      <c r="B2140" s="78"/>
      <c r="C2140" s="78"/>
      <c r="D2140" s="78"/>
      <c r="E2140" s="78"/>
      <c r="F2140" s="78"/>
      <c r="G2140" s="78"/>
      <c r="H2140" s="146">
        <v>911.1756950400002</v>
      </c>
      <c r="I2140" s="146">
        <f>SUM(I2138:I2139)</f>
        <v>1128.0391943404272</v>
      </c>
    </row>
    <row r="2141" spans="1:9" ht="13.5" thickBot="1">
      <c r="A2141" s="97"/>
      <c r="B2141" s="110"/>
      <c r="C2141" s="78"/>
      <c r="D2141" s="112"/>
      <c r="E2141" s="78"/>
      <c r="F2141" s="78"/>
      <c r="G2141" s="78"/>
      <c r="H2141" s="114"/>
      <c r="I2141" s="114"/>
    </row>
    <row r="2142" spans="1:9" ht="13.5" thickTop="1">
      <c r="A2142" s="97"/>
      <c r="B2142" s="78"/>
      <c r="C2142" s="78"/>
      <c r="D2142" s="78"/>
      <c r="E2142" s="78"/>
      <c r="F2142" s="78"/>
      <c r="G2142" s="80"/>
      <c r="H2142" s="80">
        <v>20155.374053154952</v>
      </c>
      <c r="I2142" s="80">
        <f>I2118+I2112+I2134+I2140</f>
        <v>24755.125124249156</v>
      </c>
    </row>
    <row r="2143" spans="1:9" ht="13.5" thickBot="1">
      <c r="A2143" s="97"/>
      <c r="B2143" s="110" t="str">
        <f>'Unit tariffs'!$B$7</f>
        <v>Administration Levy (Indirect Cost)</v>
      </c>
      <c r="C2143" s="78"/>
      <c r="D2143" s="112">
        <f>'Unit tariffs'!$C$7</f>
        <v>0.1</v>
      </c>
      <c r="E2143" s="78" t="s">
        <v>312</v>
      </c>
      <c r="F2143" s="196">
        <f>+'Unit tariffs'!$F$7</f>
        <v>10000</v>
      </c>
      <c r="G2143" s="80"/>
      <c r="H2143" s="114">
        <v>5373.42272257111</v>
      </c>
      <c r="I2143" s="114">
        <f>IF(I2142*$D2143&gt;='Unit tariffs'!$E$7,'Unit tariffs'!$E$7,I2142*$D2143)</f>
        <v>2475.5125124249157</v>
      </c>
    </row>
    <row r="2144" spans="1:9" ht="13.5" thickTop="1">
      <c r="A2144" s="97"/>
      <c r="B2144" s="110" t="s">
        <v>44</v>
      </c>
      <c r="C2144" s="78"/>
      <c r="D2144" s="78"/>
      <c r="E2144" s="78"/>
      <c r="F2144" s="78"/>
      <c r="G2144" s="80"/>
      <c r="H2144" s="115">
        <v>25528.796775726063</v>
      </c>
      <c r="I2144" s="115">
        <f>SUM(I2142:I2143)</f>
        <v>27230.637636674073</v>
      </c>
    </row>
    <row r="2145" spans="1:9" ht="12.75">
      <c r="A2145" s="97"/>
      <c r="B2145" s="78"/>
      <c r="C2145" s="78"/>
      <c r="D2145" s="78"/>
      <c r="E2145" s="78"/>
      <c r="F2145" s="78"/>
      <c r="G2145" s="78"/>
      <c r="H2145" s="78"/>
      <c r="I2145" s="78"/>
    </row>
    <row r="2146" spans="1:9" ht="12.75">
      <c r="A2146" s="97"/>
      <c r="B2146" s="110" t="s">
        <v>45</v>
      </c>
      <c r="C2146" s="78"/>
      <c r="D2146" s="78"/>
      <c r="E2146" s="78"/>
      <c r="F2146" s="78"/>
      <c r="G2146" s="78"/>
      <c r="H2146" s="90">
        <v>25530</v>
      </c>
      <c r="I2146" s="90">
        <f>ROUND(I2144,-1)</f>
        <v>27230</v>
      </c>
    </row>
    <row r="2147" spans="1:9" ht="12.75">
      <c r="A2147" s="97"/>
      <c r="B2147" s="78"/>
      <c r="C2147" s="78"/>
      <c r="D2147" s="78"/>
      <c r="E2147" s="78"/>
      <c r="F2147" s="78"/>
      <c r="G2147" s="78"/>
      <c r="H2147" s="78"/>
      <c r="I2147" s="80"/>
    </row>
    <row r="2148" spans="1:9" ht="12.75">
      <c r="A2148" s="97"/>
      <c r="B2148" s="78"/>
      <c r="C2148" s="78"/>
      <c r="D2148" s="78"/>
      <c r="E2148" s="78"/>
      <c r="F2148" s="78"/>
      <c r="G2148" s="78"/>
      <c r="H2148" s="118">
        <v>0.05018510900863842</v>
      </c>
      <c r="I2148" s="118">
        <f>(I2146-H2146)/H2146</f>
        <v>0.06658832745789267</v>
      </c>
    </row>
    <row r="2149" spans="1:10" ht="12.75">
      <c r="A2149" s="97"/>
      <c r="B2149" s="78"/>
      <c r="C2149" s="78"/>
      <c r="D2149" s="78"/>
      <c r="E2149" s="78"/>
      <c r="F2149" s="78"/>
      <c r="G2149" s="78"/>
      <c r="H2149" s="118"/>
      <c r="I2149" s="118"/>
      <c r="J2149" s="101"/>
    </row>
    <row r="2150" spans="1:10" ht="12.75">
      <c r="A2150" s="97"/>
      <c r="B2150" s="856" t="s">
        <v>541</v>
      </c>
      <c r="C2150" s="857"/>
      <c r="D2150" s="857"/>
      <c r="E2150" s="857"/>
      <c r="F2150" s="857"/>
      <c r="G2150" s="858"/>
      <c r="H2150" s="118"/>
      <c r="I2150" s="90"/>
      <c r="J2150" s="101"/>
    </row>
    <row r="2151" spans="1:10" ht="12.75">
      <c r="A2151" s="97"/>
      <c r="B2151" s="78"/>
      <c r="C2151" s="78"/>
      <c r="D2151" s="78"/>
      <c r="E2151" s="78"/>
      <c r="F2151" s="78"/>
      <c r="G2151" s="78"/>
      <c r="H2151" s="118"/>
      <c r="I2151" s="90"/>
      <c r="J2151" s="101"/>
    </row>
    <row r="2152" spans="1:10" ht="12.75">
      <c r="A2152" s="97"/>
      <c r="B2152" s="110" t="s">
        <v>453</v>
      </c>
      <c r="C2152" s="78"/>
      <c r="D2152" s="78"/>
      <c r="E2152" s="78"/>
      <c r="F2152" s="78"/>
      <c r="G2152" s="78"/>
      <c r="H2152" s="118"/>
      <c r="I2152" s="90"/>
      <c r="J2152" s="101"/>
    </row>
    <row r="2153" spans="1:10" ht="12.75">
      <c r="A2153" s="97"/>
      <c r="B2153" s="110"/>
      <c r="C2153" s="78"/>
      <c r="D2153" s="78"/>
      <c r="E2153" s="78"/>
      <c r="F2153" s="78"/>
      <c r="G2153" s="78"/>
      <c r="H2153" s="118"/>
      <c r="I2153" s="90"/>
      <c r="J2153" s="101"/>
    </row>
    <row r="2154" spans="1:10" ht="12.75">
      <c r="A2154" s="97"/>
      <c r="C2154" s="78" t="s">
        <v>443</v>
      </c>
      <c r="D2154">
        <v>300</v>
      </c>
      <c r="E2154" s="78" t="s">
        <v>444</v>
      </c>
      <c r="F2154" s="78"/>
      <c r="G2154" s="78"/>
      <c r="H2154" s="118"/>
      <c r="I2154" s="90"/>
      <c r="J2154" s="101"/>
    </row>
    <row r="2155" spans="1:10" ht="12.75">
      <c r="A2155" s="97"/>
      <c r="B2155" s="78"/>
      <c r="C2155" s="78" t="s">
        <v>455</v>
      </c>
      <c r="D2155" s="1">
        <f>D2154*0.7</f>
        <v>210</v>
      </c>
      <c r="E2155" t="s">
        <v>444</v>
      </c>
      <c r="F2155" s="621" t="s">
        <v>458</v>
      </c>
      <c r="G2155"/>
      <c r="H2155" s="118"/>
      <c r="I2155" s="90"/>
      <c r="J2155" s="101"/>
    </row>
    <row r="2156" spans="1:10" ht="12.75">
      <c r="A2156" s="97"/>
      <c r="B2156" s="78"/>
      <c r="C2156" s="78" t="s">
        <v>115</v>
      </c>
      <c r="D2156" s="611">
        <f>+F2156</f>
        <v>1671.7533001995</v>
      </c>
      <c r="E2156" s="612" t="s">
        <v>446</v>
      </c>
      <c r="F2156" s="613">
        <f>+'Unit tariffs'!$F$166</f>
        <v>1671.7533001995</v>
      </c>
      <c r="G2156" s="614"/>
      <c r="H2156" s="118"/>
      <c r="I2156" s="90"/>
      <c r="J2156" s="101"/>
    </row>
    <row r="2157" spans="1:10" ht="12.75">
      <c r="A2157" s="97"/>
      <c r="B2157" s="78"/>
      <c r="C2157" s="78" t="s">
        <v>447</v>
      </c>
      <c r="D2157" s="615">
        <f>(F2157*D2155)</f>
        <v>40678.935371403</v>
      </c>
      <c r="E2157" s="612" t="s">
        <v>446</v>
      </c>
      <c r="F2157" s="660">
        <f>+'Unit tariffs'!$F$167</f>
        <v>193.7092160543</v>
      </c>
      <c r="G2157" t="s">
        <v>448</v>
      </c>
      <c r="H2157" s="118"/>
      <c r="I2157" s="90"/>
      <c r="J2157" s="101"/>
    </row>
    <row r="2158" spans="1:10" ht="12.75">
      <c r="A2158" s="97"/>
      <c r="B2158" s="78"/>
      <c r="C2158" s="78" t="s">
        <v>449</v>
      </c>
      <c r="D2158" s="200">
        <f>(D2155*26*24*0.33*F2158)</f>
        <v>58017.03836387661</v>
      </c>
      <c r="E2158" s="612" t="s">
        <v>446</v>
      </c>
      <c r="F2158" s="661">
        <f>+'Unit tariffs'!$F$168</f>
        <v>1.3416453538100002</v>
      </c>
      <c r="G2158" t="s">
        <v>450</v>
      </c>
      <c r="H2158" s="118"/>
      <c r="I2158" s="90"/>
      <c r="J2158" s="101"/>
    </row>
    <row r="2159" spans="1:10" ht="12.75">
      <c r="A2159" s="97"/>
      <c r="B2159" s="78"/>
      <c r="C2159" s="78" t="s">
        <v>451</v>
      </c>
      <c r="D2159" s="616">
        <f>D2158+D2157+D2156</f>
        <v>100367.72703547911</v>
      </c>
      <c r="E2159"/>
      <c r="F2159"/>
      <c r="G2159"/>
      <c r="H2159" s="118"/>
      <c r="I2159" s="90"/>
      <c r="J2159" s="101"/>
    </row>
    <row r="2160" spans="1:10" ht="12.75">
      <c r="A2160" s="97"/>
      <c r="B2160" s="78"/>
      <c r="C2160" s="78"/>
      <c r="D2160" s="617"/>
      <c r="E2160" s="78"/>
      <c r="F2160" s="78"/>
      <c r="G2160" s="78"/>
      <c r="H2160" s="118"/>
      <c r="I2160" s="90"/>
      <c r="J2160" s="101"/>
    </row>
    <row r="2161" spans="1:10" ht="12.75">
      <c r="A2161" s="97"/>
      <c r="B2161" s="110" t="s">
        <v>454</v>
      </c>
      <c r="D2161" s="225">
        <v>1</v>
      </c>
      <c r="E2161" s="78"/>
      <c r="F2161" s="78"/>
      <c r="G2161" s="78"/>
      <c r="H2161" s="608">
        <v>93600.41689404001</v>
      </c>
      <c r="I2161" s="608">
        <f>+D2159*D2161</f>
        <v>100367.72703547911</v>
      </c>
      <c r="J2161" s="101"/>
    </row>
    <row r="2162" spans="1:10" ht="12.75">
      <c r="A2162" s="97"/>
      <c r="B2162" s="78"/>
      <c r="C2162" s="78"/>
      <c r="D2162" s="78"/>
      <c r="E2162" s="78"/>
      <c r="F2162" s="78"/>
      <c r="G2162" s="78"/>
      <c r="H2162" s="618"/>
      <c r="I2162" s="618"/>
      <c r="J2162" s="101"/>
    </row>
    <row r="2163" spans="1:11" ht="12.75">
      <c r="A2163" s="97"/>
      <c r="B2163" s="78"/>
      <c r="C2163" s="78"/>
      <c r="D2163" s="78"/>
      <c r="E2163" s="78"/>
      <c r="F2163" s="135"/>
      <c r="G2163" s="655" t="s">
        <v>464</v>
      </c>
      <c r="H2163" s="608">
        <v>90000</v>
      </c>
      <c r="I2163" s="608">
        <f>+ROUND(I2161,-4)</f>
        <v>100000</v>
      </c>
      <c r="J2163" s="101"/>
      <c r="K2163" s="610"/>
    </row>
    <row r="2164" spans="1:10" ht="12.75">
      <c r="A2164" s="97"/>
      <c r="B2164" s="78"/>
      <c r="C2164" s="78"/>
      <c r="D2164" s="78"/>
      <c r="E2164" s="78"/>
      <c r="F2164" s="135"/>
      <c r="G2164" s="78"/>
      <c r="H2164" s="608"/>
      <c r="I2164" s="608"/>
      <c r="J2164" s="101"/>
    </row>
    <row r="2165" spans="1:10" ht="12.75">
      <c r="A2165" s="97"/>
      <c r="B2165" s="78"/>
      <c r="C2165" s="78"/>
      <c r="D2165" s="78"/>
      <c r="E2165" s="78"/>
      <c r="F2165" s="78"/>
      <c r="G2165" s="78"/>
      <c r="H2165" s="619">
        <v>0.21621621621621623</v>
      </c>
      <c r="I2165" s="619">
        <f>+(I2163-H2163)/H2163</f>
        <v>0.1111111111111111</v>
      </c>
      <c r="J2165" s="101"/>
    </row>
    <row r="2166" spans="1:10" ht="33.75" customHeight="1">
      <c r="A2166" s="97"/>
      <c r="B2166" s="832" t="s">
        <v>542</v>
      </c>
      <c r="C2166" s="833"/>
      <c r="D2166" s="833"/>
      <c r="E2166" s="833"/>
      <c r="F2166" s="833"/>
      <c r="G2166" s="834"/>
      <c r="H2166" s="118"/>
      <c r="I2166" s="609"/>
      <c r="J2166" s="101"/>
    </row>
    <row r="2167" spans="1:10" ht="17.25" customHeight="1">
      <c r="A2167" s="97"/>
      <c r="B2167" s="78"/>
      <c r="C2167" s="78"/>
      <c r="D2167" s="78"/>
      <c r="E2167" s="78"/>
      <c r="F2167" s="78"/>
      <c r="G2167" s="78"/>
      <c r="H2167" s="118"/>
      <c r="I2167" s="609"/>
      <c r="J2167" s="101"/>
    </row>
    <row r="2168" spans="1:10" ht="12.75">
      <c r="A2168" s="97"/>
      <c r="B2168" s="110" t="s">
        <v>453</v>
      </c>
      <c r="C2168" s="78"/>
      <c r="D2168" s="78"/>
      <c r="E2168" s="78"/>
      <c r="F2168" s="78"/>
      <c r="G2168" s="78"/>
      <c r="H2168" s="118"/>
      <c r="I2168" s="90"/>
      <c r="J2168" s="101"/>
    </row>
    <row r="2169" spans="1:10" ht="12.75">
      <c r="A2169" s="97"/>
      <c r="B2169" s="110"/>
      <c r="C2169" s="78"/>
      <c r="D2169" s="78"/>
      <c r="E2169" s="78"/>
      <c r="F2169" s="78"/>
      <c r="G2169" s="78"/>
      <c r="H2169" s="118"/>
      <c r="I2169" s="90"/>
      <c r="J2169" s="101"/>
    </row>
    <row r="2170" spans="1:10" ht="12.75">
      <c r="A2170" s="97"/>
      <c r="C2170" s="78" t="s">
        <v>443</v>
      </c>
      <c r="D2170">
        <v>500</v>
      </c>
      <c r="E2170" s="78" t="s">
        <v>444</v>
      </c>
      <c r="F2170" s="78"/>
      <c r="G2170" s="78"/>
      <c r="H2170" s="118"/>
      <c r="I2170" s="90"/>
      <c r="J2170" s="101"/>
    </row>
    <row r="2171" spans="1:10" ht="12.75">
      <c r="A2171" s="97"/>
      <c r="B2171" s="78"/>
      <c r="C2171" s="78" t="s">
        <v>455</v>
      </c>
      <c r="D2171" s="1">
        <f>D2170*0.7</f>
        <v>350</v>
      </c>
      <c r="E2171" t="s">
        <v>444</v>
      </c>
      <c r="F2171" s="621" t="s">
        <v>458</v>
      </c>
      <c r="G2171"/>
      <c r="H2171" s="118"/>
      <c r="I2171" s="90"/>
      <c r="J2171" s="101"/>
    </row>
    <row r="2172" spans="1:10" ht="12.75">
      <c r="A2172" s="97"/>
      <c r="B2172" s="78"/>
      <c r="C2172" s="78" t="s">
        <v>115</v>
      </c>
      <c r="D2172" s="611">
        <f>+F2172</f>
        <v>1671.7533001995</v>
      </c>
      <c r="E2172" s="612" t="s">
        <v>446</v>
      </c>
      <c r="F2172" s="613">
        <f>+'Unit tariffs'!$F$166</f>
        <v>1671.7533001995</v>
      </c>
      <c r="G2172" s="614"/>
      <c r="H2172" s="118"/>
      <c r="I2172" s="90"/>
      <c r="J2172" s="101"/>
    </row>
    <row r="2173" spans="1:10" ht="12.75">
      <c r="A2173" s="97"/>
      <c r="B2173" s="78"/>
      <c r="C2173" s="78" t="s">
        <v>447</v>
      </c>
      <c r="D2173" s="615">
        <f>(F2173*D2171)</f>
        <v>67798.225619005</v>
      </c>
      <c r="E2173" s="612" t="s">
        <v>446</v>
      </c>
      <c r="F2173" s="660">
        <f>+'Unit tariffs'!$F$167</f>
        <v>193.7092160543</v>
      </c>
      <c r="G2173" t="s">
        <v>448</v>
      </c>
      <c r="H2173" s="118"/>
      <c r="I2173" s="90"/>
      <c r="J2173" s="101"/>
    </row>
    <row r="2174" spans="1:10" ht="12.75">
      <c r="A2174" s="97"/>
      <c r="B2174" s="78"/>
      <c r="C2174" s="78" t="s">
        <v>449</v>
      </c>
      <c r="D2174" s="200">
        <f>(D2171*26*24*0.33*F2174)</f>
        <v>96695.06393979433</v>
      </c>
      <c r="E2174" s="612" t="s">
        <v>446</v>
      </c>
      <c r="F2174" s="661">
        <f>+'Unit tariffs'!$F$168</f>
        <v>1.3416453538100002</v>
      </c>
      <c r="G2174" t="s">
        <v>450</v>
      </c>
      <c r="H2174" s="118"/>
      <c r="I2174" s="90"/>
      <c r="J2174" s="101"/>
    </row>
    <row r="2175" spans="1:10" ht="12.75">
      <c r="A2175" s="97"/>
      <c r="B2175" s="78"/>
      <c r="C2175" s="78" t="s">
        <v>451</v>
      </c>
      <c r="D2175" s="616">
        <f>D2174+D2173+D2172</f>
        <v>166165.04285899882</v>
      </c>
      <c r="E2175"/>
      <c r="F2175"/>
      <c r="G2175"/>
      <c r="H2175" s="118"/>
      <c r="I2175" s="90"/>
      <c r="J2175" s="101"/>
    </row>
    <row r="2176" spans="1:10" ht="12.75">
      <c r="A2176" s="97"/>
      <c r="B2176" s="78"/>
      <c r="C2176" s="78"/>
      <c r="D2176" s="617"/>
      <c r="E2176" s="78"/>
      <c r="F2176" s="78"/>
      <c r="G2176" s="78"/>
      <c r="H2176" s="118"/>
      <c r="I2176" s="90"/>
      <c r="J2176" s="101"/>
    </row>
    <row r="2177" spans="1:10" ht="12.75">
      <c r="A2177" s="97"/>
      <c r="B2177" s="110" t="s">
        <v>454</v>
      </c>
      <c r="D2177" s="225">
        <v>1</v>
      </c>
      <c r="E2177" s="78"/>
      <c r="F2177" s="78"/>
      <c r="G2177" s="78"/>
      <c r="H2177" s="608">
        <v>154961.3381134</v>
      </c>
      <c r="I2177" s="608">
        <f>+D2175*D2177</f>
        <v>166165.04285899882</v>
      </c>
      <c r="J2177" s="101"/>
    </row>
    <row r="2178" spans="1:10" ht="12.75">
      <c r="A2178" s="97"/>
      <c r="B2178" s="78"/>
      <c r="C2178" s="78"/>
      <c r="D2178" s="78"/>
      <c r="E2178" s="78"/>
      <c r="F2178" s="78"/>
      <c r="G2178" s="78"/>
      <c r="H2178" s="609"/>
      <c r="I2178" s="618"/>
      <c r="J2178" s="101"/>
    </row>
    <row r="2179" spans="1:11" ht="12.75">
      <c r="A2179" s="97"/>
      <c r="B2179" s="78"/>
      <c r="C2179" s="78"/>
      <c r="D2179" s="78"/>
      <c r="E2179" s="78"/>
      <c r="F2179" s="135"/>
      <c r="G2179" s="655" t="s">
        <v>464</v>
      </c>
      <c r="H2179" s="608">
        <v>150000</v>
      </c>
      <c r="I2179" s="608">
        <f>+ROUND(I2177,-4)</f>
        <v>170000</v>
      </c>
      <c r="J2179" s="101"/>
      <c r="K2179" s="610"/>
    </row>
    <row r="2180" spans="1:10" ht="12.75">
      <c r="A2180" s="78"/>
      <c r="B2180" s="78"/>
      <c r="C2180" s="78"/>
      <c r="D2180" s="78"/>
      <c r="E2180" s="78"/>
      <c r="F2180" s="78"/>
      <c r="G2180" s="78"/>
      <c r="H2180" s="608"/>
      <c r="I2180" s="608"/>
      <c r="J2180" s="101"/>
    </row>
    <row r="2181" spans="1:9" ht="12.75">
      <c r="A2181" s="78"/>
      <c r="B2181" s="78"/>
      <c r="C2181" s="78"/>
      <c r="D2181" s="78"/>
      <c r="E2181" s="78"/>
      <c r="F2181" s="78"/>
      <c r="G2181" s="78"/>
      <c r="H2181" s="619">
        <v>0.2427506213753107</v>
      </c>
      <c r="I2181" s="619">
        <f>+(I2179-H2179)/H2179</f>
        <v>0.13333333333333333</v>
      </c>
    </row>
    <row r="2182" spans="1:9" ht="12.75">
      <c r="A2182" s="97"/>
      <c r="B2182" s="78"/>
      <c r="C2182" s="78"/>
      <c r="D2182" s="78"/>
      <c r="E2182" s="78"/>
      <c r="F2182" s="78"/>
      <c r="G2182" s="78"/>
      <c r="H2182" s="78"/>
      <c r="I2182" s="78"/>
    </row>
    <row r="2183" spans="1:9" ht="13.5" thickBot="1">
      <c r="A2183" s="97"/>
      <c r="B2183" s="78"/>
      <c r="C2183" s="78"/>
      <c r="D2183" s="78"/>
      <c r="E2183" s="78"/>
      <c r="F2183" s="78"/>
      <c r="G2183" s="78"/>
      <c r="H2183" s="78"/>
      <c r="I2183" s="78"/>
    </row>
    <row r="2184" spans="1:9" ht="13.5" thickTop="1">
      <c r="A2184" s="459"/>
      <c r="B2184" s="127" t="s">
        <v>1</v>
      </c>
      <c r="C2184" s="127"/>
      <c r="D2184" s="127"/>
      <c r="E2184" s="127"/>
      <c r="F2184" s="127"/>
      <c r="G2184" s="127"/>
      <c r="H2184" s="127"/>
      <c r="I2184" s="127"/>
    </row>
    <row r="2185" spans="1:9" ht="12.75">
      <c r="A2185" s="97"/>
      <c r="B2185" s="98" t="s">
        <v>543</v>
      </c>
      <c r="C2185" s="99"/>
      <c r="D2185" s="99"/>
      <c r="E2185" s="99"/>
      <c r="F2185" s="99"/>
      <c r="G2185" s="99"/>
      <c r="H2185" s="99"/>
      <c r="I2185" s="100"/>
    </row>
    <row r="2186" spans="1:9" ht="12.75">
      <c r="A2186" s="97"/>
      <c r="B2186" s="110"/>
      <c r="C2186" s="78"/>
      <c r="D2186" s="78"/>
      <c r="E2186" s="78"/>
      <c r="F2186" s="78"/>
      <c r="G2186" s="78"/>
      <c r="H2186" s="78"/>
      <c r="I2186" s="78"/>
    </row>
    <row r="2187" spans="1:9" ht="12.75">
      <c r="A2187" s="97"/>
      <c r="B2187" s="110"/>
      <c r="C2187" s="78"/>
      <c r="D2187" s="78"/>
      <c r="E2187" s="78"/>
      <c r="F2187" s="78"/>
      <c r="G2187" s="78"/>
      <c r="H2187" s="78"/>
      <c r="I2187" s="78"/>
    </row>
    <row r="2188" spans="1:9" ht="12.75">
      <c r="A2188" s="97"/>
      <c r="B2188" s="78"/>
      <c r="C2188" s="78"/>
      <c r="D2188" s="78"/>
      <c r="E2188" s="78"/>
      <c r="F2188" s="78"/>
      <c r="G2188" s="78"/>
      <c r="H2188" s="109" t="str">
        <f>+H$11</f>
        <v>2020/2021</v>
      </c>
      <c r="I2188" s="109" t="str">
        <f>+'Unit tariffs'!$F$11</f>
        <v>2021/2022</v>
      </c>
    </row>
    <row r="2189" spans="1:9" ht="12.75">
      <c r="A2189" s="97"/>
      <c r="B2189" s="110" t="s">
        <v>41</v>
      </c>
      <c r="C2189" s="78"/>
      <c r="D2189" s="78"/>
      <c r="E2189" s="78"/>
      <c r="F2189" s="78"/>
      <c r="G2189" s="78"/>
      <c r="H2189" s="145"/>
      <c r="I2189" s="78"/>
    </row>
    <row r="2190" spans="1:9" ht="12.75">
      <c r="A2190" s="97"/>
      <c r="B2190" s="78"/>
      <c r="C2190" s="78"/>
      <c r="D2190" s="78"/>
      <c r="E2190" s="78"/>
      <c r="F2190" s="78"/>
      <c r="G2190" s="78"/>
      <c r="H2190" s="145"/>
      <c r="I2190" s="78"/>
    </row>
    <row r="2191" spans="1:9" ht="12.75">
      <c r="A2191" s="97"/>
      <c r="B2191" s="78"/>
      <c r="C2191" s="78"/>
      <c r="D2191" s="78"/>
      <c r="E2191" s="78"/>
      <c r="F2191" s="78"/>
      <c r="G2191" s="78"/>
      <c r="H2191" s="88"/>
      <c r="I2191" s="80"/>
    </row>
    <row r="2192" spans="1:9" ht="12.75">
      <c r="A2192" s="97"/>
      <c r="B2192" s="78">
        <v>1</v>
      </c>
      <c r="C2192" s="21" t="s">
        <v>472</v>
      </c>
      <c r="D2192" s="78"/>
      <c r="E2192" s="78"/>
      <c r="F2192" s="78"/>
      <c r="G2192" s="78"/>
      <c r="H2192" s="80">
        <v>954.07</v>
      </c>
      <c r="I2192" s="80">
        <f>VLOOKUP($C2192,'Unit tariffs'!$B$21:$F$122,5,FALSE)*$B2192</f>
        <v>994.1409400000001</v>
      </c>
    </row>
    <row r="2193" spans="1:9" ht="12.75">
      <c r="A2193" s="97"/>
      <c r="B2193" s="78">
        <v>0</v>
      </c>
      <c r="C2193" s="78" t="str">
        <f>'Unit tariffs'!B21</f>
        <v>Installation material</v>
      </c>
      <c r="D2193" s="78"/>
      <c r="E2193" s="78"/>
      <c r="F2193" s="78"/>
      <c r="G2193" s="78"/>
      <c r="H2193" s="87">
        <v>0</v>
      </c>
      <c r="I2193" s="87">
        <f>VLOOKUP($C2193,'Unit tariffs'!$B$21:$F$122,5,FALSE)*$B2193</f>
        <v>0</v>
      </c>
    </row>
    <row r="2194" spans="1:9" ht="12.75">
      <c r="A2194" s="97"/>
      <c r="B2194" s="78"/>
      <c r="C2194" s="78"/>
      <c r="D2194" s="78"/>
      <c r="E2194" s="78"/>
      <c r="F2194" s="78"/>
      <c r="G2194" s="80"/>
      <c r="H2194" s="80">
        <v>954.07</v>
      </c>
      <c r="I2194" s="80">
        <f>SUM(I2192:I2193)</f>
        <v>994.1409400000001</v>
      </c>
    </row>
    <row r="2195" spans="1:9" ht="12.75">
      <c r="A2195" s="97"/>
      <c r="B2195" s="110" t="s">
        <v>42</v>
      </c>
      <c r="C2195" s="78"/>
      <c r="D2195" s="78"/>
      <c r="E2195" s="78"/>
      <c r="F2195" s="78"/>
      <c r="G2195" s="78"/>
      <c r="H2195" s="78"/>
      <c r="I2195" s="78"/>
    </row>
    <row r="2196" spans="1:9" ht="12.75">
      <c r="A2196" s="97"/>
      <c r="B2196" s="78"/>
      <c r="C2196" s="78"/>
      <c r="D2196" s="78"/>
      <c r="E2196" s="78"/>
      <c r="F2196" s="78"/>
      <c r="G2196" s="78"/>
      <c r="H2196" s="78"/>
      <c r="I2196" s="78"/>
    </row>
    <row r="2197" spans="1:9" ht="12.75">
      <c r="A2197" s="97"/>
      <c r="B2197" s="78">
        <v>0.5</v>
      </c>
      <c r="C2197" s="78" t="str">
        <f>'Unit tariffs'!B$86</f>
        <v>hour-artisan </v>
      </c>
      <c r="D2197" s="78"/>
      <c r="E2197" s="78"/>
      <c r="F2197" s="78"/>
      <c r="G2197" s="78"/>
      <c r="H2197" s="80">
        <v>90.02936628167308</v>
      </c>
      <c r="I2197" s="80">
        <f>VLOOKUP($C2197,'Unit tariffs'!$B$21:$F$122,5,FALSE)*$B2197</f>
        <v>161.42611586538462</v>
      </c>
    </row>
    <row r="2198" spans="1:9" ht="12.75">
      <c r="A2198" s="97"/>
      <c r="B2198" s="78">
        <v>0.5</v>
      </c>
      <c r="C2198" s="78" t="str">
        <f>'Unit tariffs'!B$84</f>
        <v>hour-artisan assistant</v>
      </c>
      <c r="D2198" s="78"/>
      <c r="E2198" s="78"/>
      <c r="F2198" s="78"/>
      <c r="G2198" s="78"/>
      <c r="H2198" s="87">
        <v>39.80152796171539</v>
      </c>
      <c r="I2198" s="87">
        <f>VLOOKUP($C2198,'Unit tariffs'!$B$21:$F$122,5,FALSE)*$B2198</f>
        <v>64.26790384615386</v>
      </c>
    </row>
    <row r="2199" spans="1:9" ht="12.75">
      <c r="A2199" s="97"/>
      <c r="B2199" s="78"/>
      <c r="C2199" s="78"/>
      <c r="D2199" s="78"/>
      <c r="E2199" s="78"/>
      <c r="F2199" s="78"/>
      <c r="G2199" s="78"/>
      <c r="H2199" s="80">
        <v>129.83089424338846</v>
      </c>
      <c r="I2199" s="80">
        <f>SUM(I2197:I2198)</f>
        <v>225.6940197115385</v>
      </c>
    </row>
    <row r="2200" spans="1:9" ht="12.75">
      <c r="A2200" s="97"/>
      <c r="B2200" s="110" t="s">
        <v>43</v>
      </c>
      <c r="C2200" s="78"/>
      <c r="D2200" s="78"/>
      <c r="E2200" s="78"/>
      <c r="F2200" s="78"/>
      <c r="G2200" s="78"/>
      <c r="H2200" s="78"/>
      <c r="I2200" s="78"/>
    </row>
    <row r="2201" spans="1:9" ht="12.75">
      <c r="A2201" s="97"/>
      <c r="B2201" s="78"/>
      <c r="C2201" s="78"/>
      <c r="D2201" s="78"/>
      <c r="E2201" s="78"/>
      <c r="F2201" s="78"/>
      <c r="G2201" s="78"/>
      <c r="H2201" s="78"/>
      <c r="I2201" s="78"/>
    </row>
    <row r="2202" spans="1:9" ht="12.75">
      <c r="A2202" s="97"/>
      <c r="B2202" s="78">
        <v>12</v>
      </c>
      <c r="C2202" s="78" t="str">
        <f>'Unit tariffs'!B$114</f>
        <v>km-panel van</v>
      </c>
      <c r="D2202" s="78"/>
      <c r="E2202" s="78"/>
      <c r="F2202" s="78"/>
      <c r="G2202" s="78"/>
      <c r="H2202" s="80">
        <v>212.86220592000006</v>
      </c>
      <c r="I2202" s="80">
        <f>VLOOKUP($C2202,'Unit tariffs'!$B$21:$F$122,5,FALSE)*$B2202</f>
        <v>269.5451664719256</v>
      </c>
    </row>
    <row r="2203" spans="1:9" ht="12.75">
      <c r="A2203" s="97"/>
      <c r="B2203" s="78">
        <f>+B2197</f>
        <v>0.5</v>
      </c>
      <c r="C2203" s="78" t="str">
        <f>'Unit tariffs'!B$115</f>
        <v>hour-panel van</v>
      </c>
      <c r="D2203" s="78"/>
      <c r="E2203" s="78"/>
      <c r="F2203" s="78"/>
      <c r="G2203" s="78"/>
      <c r="H2203" s="87">
        <v>80.90854720000002</v>
      </c>
      <c r="I2203" s="80">
        <f>VLOOKUP($C2203,'Unit tariffs'!$B$21:$F$122,5,FALSE)*$B2203</f>
        <v>98.158143566096</v>
      </c>
    </row>
    <row r="2204" spans="1:9" ht="12.75">
      <c r="A2204" s="97"/>
      <c r="B2204" s="78"/>
      <c r="C2204" s="78"/>
      <c r="D2204" s="78"/>
      <c r="E2204" s="78"/>
      <c r="F2204" s="78"/>
      <c r="G2204" s="78"/>
      <c r="H2204" s="146">
        <v>293.7707531200001</v>
      </c>
      <c r="I2204" s="146">
        <f>SUM(I2202:I2203)</f>
        <v>367.7033100380216</v>
      </c>
    </row>
    <row r="2205" spans="1:9" ht="13.5" thickBot="1">
      <c r="A2205" s="97"/>
      <c r="B2205" s="110"/>
      <c r="C2205" s="78"/>
      <c r="D2205" s="112"/>
      <c r="E2205" s="78"/>
      <c r="F2205" s="78"/>
      <c r="G2205" s="78"/>
      <c r="H2205" s="114"/>
      <c r="I2205" s="114"/>
    </row>
    <row r="2206" spans="1:9" ht="13.5" thickTop="1">
      <c r="A2206" s="97"/>
      <c r="B2206" s="78"/>
      <c r="C2206" s="78"/>
      <c r="D2206" s="78"/>
      <c r="E2206" s="78"/>
      <c r="F2206" s="78"/>
      <c r="G2206" s="80"/>
      <c r="H2206" s="80">
        <v>1377.6716473633887</v>
      </c>
      <c r="I2206" s="80">
        <f>I2204+I2199+I2194</f>
        <v>1587.5382697495602</v>
      </c>
    </row>
    <row r="2207" spans="1:9" ht="13.5" thickBot="1">
      <c r="A2207" s="97"/>
      <c r="B2207" s="110" t="str">
        <f>'Unit tariffs'!$B$7</f>
        <v>Administration Levy (Indirect Cost)</v>
      </c>
      <c r="C2207" s="78"/>
      <c r="D2207" s="112">
        <f>'Unit tariffs'!$C$7</f>
        <v>0.1</v>
      </c>
      <c r="E2207" s="78" t="s">
        <v>312</v>
      </c>
      <c r="F2207" s="196">
        <f>+'Unit tariffs'!$F$7</f>
        <v>10000</v>
      </c>
      <c r="G2207" s="80"/>
      <c r="H2207" s="114">
        <v>367.2872611870794</v>
      </c>
      <c r="I2207" s="114">
        <f>IF(I2206*$D2207&gt;='Unit tariffs'!$E$7,'Unit tariffs'!$E$7,I2206*$D2207)</f>
        <v>158.75382697495604</v>
      </c>
    </row>
    <row r="2208" spans="1:9" ht="13.5" thickTop="1">
      <c r="A2208" s="97"/>
      <c r="B2208" s="110" t="s">
        <v>44</v>
      </c>
      <c r="C2208" s="78"/>
      <c r="D2208" s="78"/>
      <c r="E2208" s="78"/>
      <c r="F2208" s="78"/>
      <c r="G2208" s="80"/>
      <c r="H2208" s="115">
        <v>1744.958908550468</v>
      </c>
      <c r="I2208" s="115">
        <f>SUM(I2206:I2207)</f>
        <v>1746.2920967245163</v>
      </c>
    </row>
    <row r="2209" spans="1:9" ht="12.75">
      <c r="A2209" s="97"/>
      <c r="B2209" s="78"/>
      <c r="C2209" s="78"/>
      <c r="D2209" s="78"/>
      <c r="E2209" s="78"/>
      <c r="F2209" s="78"/>
      <c r="G2209" s="78"/>
      <c r="H2209" s="78"/>
      <c r="I2209" s="78"/>
    </row>
    <row r="2210" spans="1:9" ht="12.75">
      <c r="A2210" s="97"/>
      <c r="B2210" s="110" t="s">
        <v>45</v>
      </c>
      <c r="C2210" s="78"/>
      <c r="D2210" s="78"/>
      <c r="E2210" s="78"/>
      <c r="F2210" s="78"/>
      <c r="G2210" s="78"/>
      <c r="H2210" s="90">
        <v>1740</v>
      </c>
      <c r="I2210" s="90">
        <f>ROUND(I2208,-1)</f>
        <v>1750</v>
      </c>
    </row>
    <row r="2211" spans="1:9" ht="12.75">
      <c r="A2211" s="97"/>
      <c r="B2211" s="78"/>
      <c r="C2211" s="78"/>
      <c r="D2211" s="78"/>
      <c r="E2211" s="78"/>
      <c r="F2211" s="78"/>
      <c r="G2211" s="78"/>
      <c r="H2211" s="78"/>
      <c r="I2211" s="80"/>
    </row>
    <row r="2212" spans="1:9" ht="12.75">
      <c r="A2212" s="97"/>
      <c r="B2212" s="78"/>
      <c r="C2212" s="78"/>
      <c r="D2212" s="78"/>
      <c r="E2212" s="78"/>
      <c r="F2212" s="78"/>
      <c r="G2212" s="78"/>
      <c r="H2212" s="118"/>
      <c r="I2212" s="118">
        <f>(I2210-H2210)/H2210</f>
        <v>0.005747126436781609</v>
      </c>
    </row>
    <row r="2213" spans="1:9" ht="13.5" thickBot="1">
      <c r="A2213" s="462"/>
      <c r="B2213" s="130"/>
      <c r="C2213" s="130"/>
      <c r="D2213" s="130"/>
      <c r="E2213" s="130"/>
      <c r="F2213" s="130"/>
      <c r="G2213" s="130"/>
      <c r="H2213" s="130"/>
      <c r="I2213" s="130"/>
    </row>
    <row r="2214" spans="1:9" ht="13.5" thickTop="1">
      <c r="A2214" s="97"/>
      <c r="B2214" s="121"/>
      <c r="C2214" s="121"/>
      <c r="D2214" s="121"/>
      <c r="E2214" s="121"/>
      <c r="F2214" s="121"/>
      <c r="G2214" s="121"/>
      <c r="H2214" s="78"/>
      <c r="I2214" s="78"/>
    </row>
    <row r="2215" spans="1:9" ht="13.5" thickBot="1">
      <c r="A2215" s="474"/>
      <c r="B2215" s="125"/>
      <c r="C2215" s="125"/>
      <c r="D2215" s="125"/>
      <c r="E2215" s="125"/>
      <c r="F2215" s="125"/>
      <c r="G2215" s="125"/>
      <c r="H2215" s="475"/>
      <c r="I2215" s="475"/>
    </row>
    <row r="2216" spans="2:7" ht="140.25" customHeight="1">
      <c r="B2216" s="837" t="s">
        <v>544</v>
      </c>
      <c r="C2216" s="838"/>
      <c r="D2216" s="260" t="s">
        <v>252</v>
      </c>
      <c r="E2216" s="553"/>
      <c r="F2216" s="643" t="s">
        <v>347</v>
      </c>
      <c r="G2216" s="688" t="s">
        <v>471</v>
      </c>
    </row>
    <row r="2217" spans="2:7" ht="92.25">
      <c r="B2217" s="835" t="s">
        <v>545</v>
      </c>
      <c r="C2217" s="836"/>
      <c r="D2217" s="260" t="s">
        <v>252</v>
      </c>
      <c r="E2217" s="553"/>
      <c r="F2217" s="643" t="s">
        <v>347</v>
      </c>
      <c r="G2217" s="689" t="s">
        <v>347</v>
      </c>
    </row>
    <row r="2218" spans="2:7" ht="105">
      <c r="B2218" s="835" t="s">
        <v>546</v>
      </c>
      <c r="C2218" s="836"/>
      <c r="D2218" s="262" t="s">
        <v>254</v>
      </c>
      <c r="E2218" s="554"/>
      <c r="F2218" s="643" t="s">
        <v>346</v>
      </c>
      <c r="G2218" s="689" t="s">
        <v>346</v>
      </c>
    </row>
    <row r="2219" spans="2:7" ht="105">
      <c r="B2219" s="835" t="s">
        <v>547</v>
      </c>
      <c r="C2219" s="836"/>
      <c r="D2219" s="262" t="s">
        <v>255</v>
      </c>
      <c r="E2219" s="554"/>
      <c r="F2219" s="643" t="s">
        <v>256</v>
      </c>
      <c r="G2219" s="689" t="s">
        <v>256</v>
      </c>
    </row>
    <row r="2220" spans="2:7" ht="105">
      <c r="B2220" s="835" t="s">
        <v>548</v>
      </c>
      <c r="C2220" s="836"/>
      <c r="D2220" s="262" t="s">
        <v>256</v>
      </c>
      <c r="E2220" s="554"/>
      <c r="F2220" s="643" t="s">
        <v>345</v>
      </c>
      <c r="G2220" s="688" t="s">
        <v>345</v>
      </c>
    </row>
  </sheetData>
  <sheetProtection/>
  <mergeCells count="78">
    <mergeCell ref="B858:C858"/>
    <mergeCell ref="B915:G915"/>
    <mergeCell ref="B949:G949"/>
    <mergeCell ref="M534:R534"/>
    <mergeCell ref="B2007:G2007"/>
    <mergeCell ref="B1803:G1803"/>
    <mergeCell ref="B1419:G1419"/>
    <mergeCell ref="B1421:G1421"/>
    <mergeCell ref="B1517:G1517"/>
    <mergeCell ref="B1738:G1738"/>
    <mergeCell ref="B1755:G1755"/>
    <mergeCell ref="B811:G811"/>
    <mergeCell ref="B813:G813"/>
    <mergeCell ref="B622:G622"/>
    <mergeCell ref="B1673:G1673"/>
    <mergeCell ref="B1691:G1691"/>
    <mergeCell ref="B291:G291"/>
    <mergeCell ref="B297:G297"/>
    <mergeCell ref="B299:G299"/>
    <mergeCell ref="B340:G340"/>
    <mergeCell ref="B987:G987"/>
    <mergeCell ref="B342:G342"/>
    <mergeCell ref="B376:G376"/>
    <mergeCell ref="B415:G415"/>
    <mergeCell ref="B453:G453"/>
    <mergeCell ref="B455:G455"/>
    <mergeCell ref="B534:G534"/>
    <mergeCell ref="B626:G626"/>
    <mergeCell ref="B629:G629"/>
    <mergeCell ref="B673:G673"/>
    <mergeCell ref="B716:G716"/>
    <mergeCell ref="B763:G763"/>
    <mergeCell ref="B191:G191"/>
    <mergeCell ref="B221:G221"/>
    <mergeCell ref="B252:G252"/>
    <mergeCell ref="B254:G254"/>
    <mergeCell ref="B42:E42"/>
    <mergeCell ref="B44:E44"/>
    <mergeCell ref="B119:G119"/>
    <mergeCell ref="B155:G155"/>
    <mergeCell ref="B157:G157"/>
    <mergeCell ref="C120:G120"/>
    <mergeCell ref="B1378:G1378"/>
    <mergeCell ref="B1390:G1390"/>
    <mergeCell ref="B2220:C2220"/>
    <mergeCell ref="B2216:C2216"/>
    <mergeCell ref="B2217:C2217"/>
    <mergeCell ref="B2218:C2218"/>
    <mergeCell ref="B2219:C2219"/>
    <mergeCell ref="B2150:G2150"/>
    <mergeCell ref="B2166:G2166"/>
    <mergeCell ref="B2079:G2079"/>
    <mergeCell ref="B1552:G1552"/>
    <mergeCell ref="B1580:G1580"/>
    <mergeCell ref="B1598:G1598"/>
    <mergeCell ref="B1516:G1516"/>
    <mergeCell ref="B1533:G1533"/>
    <mergeCell ref="O629:T629"/>
    <mergeCell ref="O673:T673"/>
    <mergeCell ref="O716:T716"/>
    <mergeCell ref="O763:T763"/>
    <mergeCell ref="B1342:G1342"/>
    <mergeCell ref="B1161:G1161"/>
    <mergeCell ref="B1196:G1196"/>
    <mergeCell ref="B1231:G1231"/>
    <mergeCell ref="B1268:G1268"/>
    <mergeCell ref="B1029:G1029"/>
    <mergeCell ref="B847:G847"/>
    <mergeCell ref="B853:G853"/>
    <mergeCell ref="B872:G872"/>
    <mergeCell ref="B874:G874"/>
    <mergeCell ref="B1124:G1124"/>
    <mergeCell ref="B913:G913"/>
    <mergeCell ref="B490:G490"/>
    <mergeCell ref="L490:Q490"/>
    <mergeCell ref="B577:G577"/>
    <mergeCell ref="M577:R577"/>
    <mergeCell ref="L455:Q455"/>
  </mergeCells>
  <printOptions/>
  <pageMargins left="0.7" right="0.7" top="0.75" bottom="0.75" header="0.3" footer="0.3"/>
  <pageSetup fitToHeight="0" fitToWidth="1" horizontalDpi="600" verticalDpi="600" orientation="portrait" paperSize="9" scale="59" r:id="rId3"/>
  <headerFooter>
    <oddHeader>&amp;CCENTLEC Service Tariff - Calculation Sheets 2017/2018</oddHeader>
  </headerFooter>
  <rowBreaks count="23" manualBreakCount="23">
    <brk id="117" max="9" man="1"/>
    <brk id="189" max="9" man="1"/>
    <brk id="219" max="9" man="1"/>
    <brk id="292" max="9" man="1"/>
    <brk id="338" max="9" man="1"/>
    <brk id="411" max="9" man="1"/>
    <brk id="531" max="9" man="1"/>
    <brk id="671" max="9" man="1"/>
    <brk id="761" max="9" man="1"/>
    <brk id="843" max="9" man="1"/>
    <brk id="870" max="9" man="1"/>
    <brk id="948" max="9" man="1"/>
    <brk id="1025" max="9" man="1"/>
    <brk id="1085" max="9" man="1"/>
    <brk id="1158" max="9" man="1"/>
    <brk id="1229" max="9" man="1"/>
    <brk id="1303" max="9" man="1"/>
    <brk id="1388" max="9" man="1"/>
    <brk id="1469" max="9" man="1"/>
    <brk id="1616" max="9" man="1"/>
    <brk id="1772" max="9" man="1"/>
    <brk id="1829" max="9" man="1"/>
    <brk id="1923" max="9" man="1"/>
  </rowBreaks>
  <colBreaks count="1" manualBreakCount="1">
    <brk id="11" max="1965" man="1"/>
  </colBreaks>
  <legacyDrawing r:id="rId2"/>
</worksheet>
</file>

<file path=xl/worksheets/sheet3.xml><?xml version="1.0" encoding="utf-8"?>
<worksheet xmlns="http://schemas.openxmlformats.org/spreadsheetml/2006/main" xmlns:r="http://schemas.openxmlformats.org/officeDocument/2006/relationships">
  <sheetPr>
    <tabColor theme="2" tint="-0.4999699890613556"/>
    <pageSetUpPr fitToPage="1"/>
  </sheetPr>
  <dimension ref="A1:O204"/>
  <sheetViews>
    <sheetView tabSelected="1" view="pageBreakPreview" zoomScale="90" zoomScaleNormal="75" zoomScaleSheetLayoutView="90" zoomScalePageLayoutView="75" workbookViewId="0" topLeftCell="A1">
      <pane xSplit="5" ySplit="5" topLeftCell="F165" activePane="bottomRight" state="frozen"/>
      <selection pane="topLeft" activeCell="A1" sqref="A1"/>
      <selection pane="topRight" activeCell="F1" sqref="F1"/>
      <selection pane="bottomLeft" activeCell="A6" sqref="A6"/>
      <selection pane="bottomRight" activeCell="M166" sqref="M166:O166"/>
    </sheetView>
  </sheetViews>
  <sheetFormatPr defaultColWidth="8.8515625" defaultRowHeight="12.75"/>
  <cols>
    <col min="1" max="1" width="1.7109375" style="77" customWidth="1"/>
    <col min="2" max="2" width="80.28125" style="205" customWidth="1"/>
    <col min="3" max="3" width="3.28125" style="207" customWidth="1"/>
    <col min="4" max="4" width="23.28125" style="211" hidden="1" customWidth="1"/>
    <col min="5" max="5" width="21.28125" style="211" hidden="1" customWidth="1"/>
    <col min="6" max="6" width="24.28125" style="212" customWidth="1"/>
    <col min="7" max="7" width="26.7109375" style="212" customWidth="1"/>
    <col min="8" max="8" width="13.00390625" style="206" customWidth="1"/>
    <col min="9" max="9" width="11.8515625" style="77" customWidth="1"/>
    <col min="10" max="10" width="15.57421875" style="605" bestFit="1" customWidth="1"/>
    <col min="11" max="11" width="20.57421875" style="77" customWidth="1"/>
    <col min="12" max="12" width="19.00390625" style="77" hidden="1" customWidth="1"/>
    <col min="13" max="13" width="14.57421875" style="407" customWidth="1"/>
    <col min="14" max="15" width="15.421875" style="407" customWidth="1"/>
    <col min="16" max="16384" width="8.8515625" style="77" customWidth="1"/>
  </cols>
  <sheetData>
    <row r="1" spans="1:15" ht="15">
      <c r="A1" s="273"/>
      <c r="B1" s="274" t="s">
        <v>480</v>
      </c>
      <c r="C1" s="275"/>
      <c r="D1" s="276"/>
      <c r="E1" s="531" t="s">
        <v>373</v>
      </c>
      <c r="F1" s="622"/>
      <c r="G1" s="279"/>
      <c r="H1" s="277"/>
      <c r="I1" s="278"/>
      <c r="J1" s="580"/>
      <c r="K1" s="280"/>
      <c r="L1" s="408"/>
      <c r="M1" s="420"/>
      <c r="N1" s="421"/>
      <c r="O1" s="421"/>
    </row>
    <row r="2" spans="1:15" ht="14.25" customHeight="1">
      <c r="A2" s="281"/>
      <c r="B2" s="233" t="s">
        <v>1</v>
      </c>
      <c r="C2" s="234"/>
      <c r="D2" s="340" t="s">
        <v>319</v>
      </c>
      <c r="E2" s="532" t="s">
        <v>74</v>
      </c>
      <c r="F2" s="623" t="s">
        <v>319</v>
      </c>
      <c r="G2" s="236" t="s">
        <v>74</v>
      </c>
      <c r="H2" s="339" t="s">
        <v>85</v>
      </c>
      <c r="I2" s="55" t="s">
        <v>470</v>
      </c>
      <c r="J2" s="236" t="s">
        <v>138</v>
      </c>
      <c r="K2" s="337" t="s">
        <v>75</v>
      </c>
      <c r="M2" s="691" t="s">
        <v>138</v>
      </c>
      <c r="N2" s="692" t="s">
        <v>138</v>
      </c>
      <c r="O2" s="692" t="s">
        <v>138</v>
      </c>
    </row>
    <row r="3" spans="1:15" ht="14.25">
      <c r="A3" s="281"/>
      <c r="B3" s="319" t="s">
        <v>332</v>
      </c>
      <c r="C3" s="238"/>
      <c r="D3" s="340" t="s">
        <v>320</v>
      </c>
      <c r="E3" s="532" t="s">
        <v>320</v>
      </c>
      <c r="F3" s="623" t="s">
        <v>320</v>
      </c>
      <c r="G3" s="236" t="s">
        <v>320</v>
      </c>
      <c r="H3" s="339" t="s">
        <v>86</v>
      </c>
      <c r="I3" s="665">
        <f>+'Unit tariffs'!F$3</f>
        <v>0.15</v>
      </c>
      <c r="J3" s="236" t="s">
        <v>139</v>
      </c>
      <c r="K3" s="337" t="s">
        <v>78</v>
      </c>
      <c r="M3" s="691" t="s">
        <v>139</v>
      </c>
      <c r="N3" s="692" t="s">
        <v>139</v>
      </c>
      <c r="O3" s="692" t="s">
        <v>139</v>
      </c>
    </row>
    <row r="4" spans="1:15" ht="14.25">
      <c r="A4" s="281"/>
      <c r="B4" s="233" t="s">
        <v>1</v>
      </c>
      <c r="C4" s="238" t="s">
        <v>330</v>
      </c>
      <c r="D4" s="340" t="s">
        <v>280</v>
      </c>
      <c r="E4" s="532" t="str">
        <f>'Calc Sheet 20_21'!H11</f>
        <v>2020/2021</v>
      </c>
      <c r="F4" s="690" t="str">
        <f>'Calc Sheet 20_21'!$H$11</f>
        <v>2020/2021</v>
      </c>
      <c r="G4" s="236" t="str">
        <f>'Calc Sheet 20_21'!$I$11</f>
        <v>2021/2022</v>
      </c>
      <c r="H4" s="339" t="str">
        <f>G4</f>
        <v>2021/2022</v>
      </c>
      <c r="I4" s="55" t="str">
        <f>G4</f>
        <v>2021/2022</v>
      </c>
      <c r="J4" s="236" t="str">
        <f>I4</f>
        <v>2021/2022</v>
      </c>
      <c r="K4" s="337" t="s">
        <v>79</v>
      </c>
      <c r="M4" s="691" t="s">
        <v>630</v>
      </c>
      <c r="N4" s="692" t="s">
        <v>631</v>
      </c>
      <c r="O4" s="692" t="s">
        <v>632</v>
      </c>
    </row>
    <row r="5" spans="1:15" ht="15" thickBot="1">
      <c r="A5" s="305"/>
      <c r="B5" s="321" t="s">
        <v>1</v>
      </c>
      <c r="C5" s="307" t="s">
        <v>331</v>
      </c>
      <c r="D5" s="343" t="s">
        <v>80</v>
      </c>
      <c r="E5" s="533" t="s">
        <v>80</v>
      </c>
      <c r="F5" s="624" t="s">
        <v>80</v>
      </c>
      <c r="G5" s="346" t="s">
        <v>80</v>
      </c>
      <c r="H5" s="344"/>
      <c r="I5" s="345"/>
      <c r="J5" s="346"/>
      <c r="K5" s="347"/>
      <c r="M5" s="424"/>
      <c r="N5" s="425"/>
      <c r="O5" s="425"/>
    </row>
    <row r="6" spans="1:15" ht="15" thickTop="1">
      <c r="A6" s="298"/>
      <c r="B6" s="327"/>
      <c r="C6" s="341"/>
      <c r="D6" s="317"/>
      <c r="E6" s="534"/>
      <c r="F6" s="625"/>
      <c r="G6" s="304"/>
      <c r="H6" s="302"/>
      <c r="I6" s="303"/>
      <c r="J6" s="581"/>
      <c r="K6" s="322"/>
      <c r="M6" s="426"/>
      <c r="N6" s="427"/>
      <c r="O6" s="427"/>
    </row>
    <row r="7" spans="1:15" ht="24" customHeight="1">
      <c r="A7" s="281"/>
      <c r="B7" s="238" t="s">
        <v>104</v>
      </c>
      <c r="C7" s="238"/>
      <c r="D7" s="391"/>
      <c r="E7" s="535"/>
      <c r="F7" s="626"/>
      <c r="G7" s="232"/>
      <c r="H7" s="231"/>
      <c r="I7" s="228"/>
      <c r="J7" s="582"/>
      <c r="K7" s="282"/>
      <c r="M7" s="428"/>
      <c r="N7" s="429"/>
      <c r="O7" s="429"/>
    </row>
    <row r="8" spans="1:15" ht="14.25">
      <c r="A8" s="281"/>
      <c r="B8" s="239" t="str">
        <f>'Calc Sheet 20_21'!B5</f>
        <v>1. NEW SINGLE PHASE CONNECTIONS: URBAN</v>
      </c>
      <c r="C8" s="238"/>
      <c r="D8" s="230"/>
      <c r="E8" s="536"/>
      <c r="F8" s="626"/>
      <c r="G8" s="232"/>
      <c r="H8" s="231"/>
      <c r="I8" s="228"/>
      <c r="J8" s="582"/>
      <c r="K8" s="282"/>
      <c r="M8" s="428"/>
      <c r="N8" s="429"/>
      <c r="O8" s="429"/>
    </row>
    <row r="9" spans="1:15" ht="14.25">
      <c r="A9" s="281"/>
      <c r="B9" s="239"/>
      <c r="C9" s="238"/>
      <c r="D9" s="230"/>
      <c r="E9" s="536"/>
      <c r="F9" s="626"/>
      <c r="G9" s="232"/>
      <c r="H9" s="231"/>
      <c r="I9" s="228"/>
      <c r="J9" s="582"/>
      <c r="K9" s="282"/>
      <c r="M9" s="428"/>
      <c r="N9" s="429"/>
      <c r="O9" s="429"/>
    </row>
    <row r="10" spans="1:15" ht="27">
      <c r="A10" s="281"/>
      <c r="B10" s="233" t="str">
        <f>'Calc Sheet 20_21'!B7</f>
        <v>1.1  Single phase overhead connection with Split Pre-payment meter taken from overhead network   - No Ready board   </v>
      </c>
      <c r="C10" s="234" t="s">
        <v>241</v>
      </c>
      <c r="D10" s="213">
        <f>'Calc Sheet 20_21'!H37</f>
        <v>6510</v>
      </c>
      <c r="E10" s="537">
        <v>6225</v>
      </c>
      <c r="F10" s="627">
        <f>+'Calc Sheet 20_21'!H37</f>
        <v>6510</v>
      </c>
      <c r="G10" s="393">
        <f>'Calc Sheet 20_21'!I37</f>
        <v>6880</v>
      </c>
      <c r="H10" s="240">
        <f>(G10-F10)/F10</f>
        <v>0.05683563748079877</v>
      </c>
      <c r="I10" s="241">
        <f>G10*I$3</f>
        <v>1032</v>
      </c>
      <c r="J10" s="583">
        <f>G10+I10</f>
        <v>7912</v>
      </c>
      <c r="K10" s="283">
        <v>9100033030416</v>
      </c>
      <c r="M10" s="430">
        <f>+$J10*(1+'Unit tariffs'!$F$2)</f>
        <v>8244.304</v>
      </c>
      <c r="N10" s="431">
        <f>+$M10*(1+'Unit tariffs'!$F$2)</f>
        <v>8590.564768</v>
      </c>
      <c r="O10" s="431">
        <f>+$M10*(1+'Unit tariffs'!$F$2)</f>
        <v>8590.564768</v>
      </c>
    </row>
    <row r="11" spans="1:15" ht="14.25">
      <c r="A11" s="281"/>
      <c r="B11" s="233"/>
      <c r="C11" s="234"/>
      <c r="D11" s="213"/>
      <c r="E11" s="537"/>
      <c r="F11" s="627"/>
      <c r="G11" s="393"/>
      <c r="H11" s="240"/>
      <c r="I11" s="240"/>
      <c r="J11" s="584"/>
      <c r="K11" s="284"/>
      <c r="M11" s="432"/>
      <c r="N11" s="433"/>
      <c r="O11" s="433"/>
    </row>
    <row r="12" spans="1:15" ht="27">
      <c r="A12" s="281"/>
      <c r="B12" s="233" t="str">
        <f>'Calc Sheet 20_21'!B50</f>
        <v>1.2  Single phase overhead connection with Split Pre-payment meter taken from overhead network   - With Ready board   </v>
      </c>
      <c r="C12" s="234" t="s">
        <v>241</v>
      </c>
      <c r="D12" s="213">
        <f>'Calc Sheet 20_21'!H82</f>
        <v>8230</v>
      </c>
      <c r="E12" s="537">
        <v>1400</v>
      </c>
      <c r="F12" s="627">
        <f>+'Calc Sheet 20_21'!H82</f>
        <v>8230</v>
      </c>
      <c r="G12" s="393">
        <f>+'Calc Sheet 20_21'!I82</f>
        <v>8910</v>
      </c>
      <c r="H12" s="240">
        <f>(G12-F12)/F12</f>
        <v>0.08262454434993925</v>
      </c>
      <c r="I12" s="241">
        <f>G12*I$3</f>
        <v>1336.5</v>
      </c>
      <c r="J12" s="583">
        <f>G12+I12</f>
        <v>10246.5</v>
      </c>
      <c r="K12" s="283">
        <v>9100033030416</v>
      </c>
      <c r="M12" s="430">
        <f>+$J12*(1+'Unit tariffs'!$F$2)</f>
        <v>10676.853000000001</v>
      </c>
      <c r="N12" s="431">
        <f>+$M12*(1+'Unit tariffs'!$F$2)</f>
        <v>11125.280826000002</v>
      </c>
      <c r="O12" s="431">
        <f>+$M12*(1+'Unit tariffs'!$F$2)</f>
        <v>11125.280826000002</v>
      </c>
    </row>
    <row r="13" spans="1:15" ht="14.25">
      <c r="A13" s="281"/>
      <c r="B13" s="243"/>
      <c r="C13" s="244"/>
      <c r="D13" s="213"/>
      <c r="E13" s="537"/>
      <c r="F13" s="627"/>
      <c r="G13" s="393"/>
      <c r="H13" s="240"/>
      <c r="I13" s="240"/>
      <c r="J13" s="584"/>
      <c r="K13" s="284"/>
      <c r="M13" s="432"/>
      <c r="N13" s="433"/>
      <c r="O13" s="433"/>
    </row>
    <row r="14" spans="1:15" ht="27">
      <c r="A14" s="281"/>
      <c r="B14" s="233" t="str">
        <f>+'Calc Sheet 20_21'!B86</f>
        <v>1.3  Single phase underground/ovehead connection with Split Pre-payment meter taken from underground/overhead network (Flisp Housing)  - With Ready board   </v>
      </c>
      <c r="C14" s="702" t="s">
        <v>296</v>
      </c>
      <c r="D14" s="213"/>
      <c r="E14" s="537"/>
      <c r="F14" s="627">
        <f>+'Calc Sheet 20_21'!H115</f>
        <v>10720</v>
      </c>
      <c r="G14" s="393">
        <f>+'Calc Sheet 20_21'!I115</f>
        <v>9510</v>
      </c>
      <c r="H14" s="240">
        <f>(G14-F14)/F14</f>
        <v>-0.11287313432835822</v>
      </c>
      <c r="I14" s="241">
        <f>G14*I$3</f>
        <v>1426.5</v>
      </c>
      <c r="J14" s="583">
        <f>G14+I14</f>
        <v>10936.5</v>
      </c>
      <c r="K14" s="283">
        <v>9100033030416</v>
      </c>
      <c r="M14" s="430">
        <f>+$J14*(1+'Unit tariffs'!$F$2)</f>
        <v>11395.833</v>
      </c>
      <c r="N14" s="431">
        <f>+$M14*(1+'Unit tariffs'!$F$2)</f>
        <v>11874.457986000001</v>
      </c>
      <c r="O14" s="431">
        <f>+$M14*(1+'Unit tariffs'!$F$2)</f>
        <v>11874.457986000001</v>
      </c>
    </row>
    <row r="15" spans="1:15" ht="14.25">
      <c r="A15" s="281"/>
      <c r="B15" s="243"/>
      <c r="C15" s="244"/>
      <c r="D15" s="213"/>
      <c r="E15" s="537"/>
      <c r="F15" s="627"/>
      <c r="G15" s="393"/>
      <c r="H15" s="240"/>
      <c r="I15" s="240"/>
      <c r="J15" s="584"/>
      <c r="K15" s="284"/>
      <c r="M15" s="432"/>
      <c r="N15" s="433"/>
      <c r="O15" s="433"/>
    </row>
    <row r="16" spans="1:15" ht="27">
      <c r="A16" s="281"/>
      <c r="B16" s="233" t="str">
        <f>'Calc Sheet 20_21'!B119</f>
        <v>1.4  New connection (Permanent) for Church/ Creche with NPO certificate &amp; Proof of Title deeds paper registered with Church/Creche:  Single phase Split Prepaid  meter</v>
      </c>
      <c r="C16" s="234" t="s">
        <v>241</v>
      </c>
      <c r="D16" s="213">
        <f>'Calc Sheet 20_21'!H148</f>
        <v>10790</v>
      </c>
      <c r="E16" s="537">
        <v>1000</v>
      </c>
      <c r="F16" s="627">
        <f>+'Calc Sheet 20_21'!H148</f>
        <v>10790</v>
      </c>
      <c r="G16" s="393">
        <f>'Calc Sheet 20_21'!I148</f>
        <v>13250</v>
      </c>
      <c r="H16" s="240">
        <f>(G16-F16)/F16</f>
        <v>0.22798887859128822</v>
      </c>
      <c r="I16" s="241">
        <f>G16*I$3</f>
        <v>1987.5</v>
      </c>
      <c r="J16" s="583">
        <f>G16+I16</f>
        <v>15237.5</v>
      </c>
      <c r="K16" s="283">
        <v>9100033030416</v>
      </c>
      <c r="M16" s="430">
        <f>+$J16*(1+'Unit tariffs'!$F$2)</f>
        <v>15877.475</v>
      </c>
      <c r="N16" s="431">
        <f>+$M16*(1+'Unit tariffs'!$F$2)</f>
        <v>16544.32895</v>
      </c>
      <c r="O16" s="431">
        <f>+$N16*(1+'Unit tariffs'!$F$2)</f>
        <v>17239.1907659</v>
      </c>
    </row>
    <row r="17" spans="1:15" ht="19.5" customHeight="1">
      <c r="A17" s="281"/>
      <c r="B17" s="233"/>
      <c r="C17" s="234"/>
      <c r="D17" s="213"/>
      <c r="E17" s="537"/>
      <c r="F17" s="627"/>
      <c r="G17" s="393"/>
      <c r="H17" s="240"/>
      <c r="I17" s="241"/>
      <c r="J17" s="583"/>
      <c r="K17" s="283"/>
      <c r="M17" s="430"/>
      <c r="N17" s="431"/>
      <c r="O17" s="431"/>
    </row>
    <row r="18" spans="1:15" ht="27">
      <c r="A18" s="281"/>
      <c r="B18" s="245" t="str">
        <f>+'Calc Sheet 20_21'!B155</f>
        <v>1.5  Single phase domestic connection in meter box placed on stand boundary taken from underground cable network (connection to an erf, where the development costs has been paid) -</v>
      </c>
      <c r="C18" s="234" t="s">
        <v>241</v>
      </c>
      <c r="D18" s="213"/>
      <c r="E18" s="536"/>
      <c r="F18" s="627"/>
      <c r="G18" s="393"/>
      <c r="H18" s="240"/>
      <c r="I18" s="241"/>
      <c r="J18" s="583"/>
      <c r="K18" s="283"/>
      <c r="M18" s="430"/>
      <c r="N18" s="431"/>
      <c r="O18" s="431"/>
    </row>
    <row r="19" spans="1:15" ht="32.25" customHeight="1">
      <c r="A19" s="281"/>
      <c r="B19" s="245" t="str">
        <f>+'Calc Sheet 20_21'!B157:G157</f>
        <v>    1.5.1 Connection in meter box, Single Phase Time of Use kWh meter</v>
      </c>
      <c r="C19" s="234" t="s">
        <v>241</v>
      </c>
      <c r="D19" s="213">
        <v>1620</v>
      </c>
      <c r="E19" s="537">
        <v>2230</v>
      </c>
      <c r="F19" s="627">
        <f>+'Calc Sheet 20_21'!H184</f>
        <v>8500</v>
      </c>
      <c r="G19" s="393">
        <f>+'Calc Sheet 20_21'!I184</f>
        <v>8260</v>
      </c>
      <c r="H19" s="240">
        <f>(G19-F19)/F19</f>
        <v>-0.02823529411764706</v>
      </c>
      <c r="I19" s="241">
        <f>G19*I$3</f>
        <v>1239</v>
      </c>
      <c r="J19" s="583">
        <f>G19+I19</f>
        <v>9499</v>
      </c>
      <c r="K19" s="283">
        <v>9100033030416</v>
      </c>
      <c r="M19" s="430">
        <f>+$J19*(1+'Unit tariffs'!$F$2)</f>
        <v>9897.958</v>
      </c>
      <c r="N19" s="431">
        <f>+$M19*(1+'Unit tariffs'!$F$2)</f>
        <v>10313.672236</v>
      </c>
      <c r="O19" s="431">
        <f>+$N19*(1+'Unit tariffs'!$F$2)</f>
        <v>10746.846469912001</v>
      </c>
    </row>
    <row r="20" spans="1:15" ht="32.25" customHeight="1">
      <c r="A20" s="281"/>
      <c r="B20" s="245" t="str">
        <f>+'Calc Sheet 20_21'!B191:G191</f>
        <v>    1.5.2 Connection in meter box, Single phase Split pre-payment meter</v>
      </c>
      <c r="C20" s="234" t="s">
        <v>241</v>
      </c>
      <c r="D20" s="213">
        <v>3180</v>
      </c>
      <c r="E20" s="537">
        <v>4340</v>
      </c>
      <c r="F20" s="627">
        <f>+'Calc Sheet 20_21'!H215</f>
        <v>4530</v>
      </c>
      <c r="G20" s="393">
        <f>+'Calc Sheet 20_21'!I215</f>
        <v>4800</v>
      </c>
      <c r="H20" s="240">
        <f>(G20-F20)/F20</f>
        <v>0.059602649006622516</v>
      </c>
      <c r="I20" s="241">
        <f>G20*I$3</f>
        <v>720</v>
      </c>
      <c r="J20" s="583">
        <f>G20+I20</f>
        <v>5520</v>
      </c>
      <c r="K20" s="283">
        <v>9100033030416</v>
      </c>
      <c r="M20" s="430">
        <f>+$J20*(1+'Unit tariffs'!$F$2)</f>
        <v>5751.84</v>
      </c>
      <c r="N20" s="431">
        <f>+$M20*(1+'Unit tariffs'!$F$2)</f>
        <v>5993.417280000001</v>
      </c>
      <c r="O20" s="431">
        <f>+$N20*(1+'Unit tariffs'!$F$2)</f>
        <v>6245.140805760001</v>
      </c>
    </row>
    <row r="21" spans="1:15" ht="31.5" customHeight="1">
      <c r="A21" s="281"/>
      <c r="B21" s="233" t="str">
        <f>+'Calc Sheet 20_21'!B221:G221</f>
        <v>1.6 Single phase Pre-payment meters for areas that are fully subsidised. (Grants from different departments, e.g USDG, etc)</v>
      </c>
      <c r="C21" s="530" t="s">
        <v>241</v>
      </c>
      <c r="D21" s="233"/>
      <c r="E21" s="233"/>
      <c r="F21" s="627">
        <f>+'Calc Sheet 20_21'!H245</f>
        <v>1050</v>
      </c>
      <c r="G21" s="393">
        <f>+'Calc Sheet 20_21'!I245</f>
        <v>800</v>
      </c>
      <c r="H21" s="240">
        <f>(G21-F21)/F21</f>
        <v>-0.23809523809523808</v>
      </c>
      <c r="I21" s="241">
        <f>G21*I$3</f>
        <v>120</v>
      </c>
      <c r="J21" s="583">
        <f>G21+I21</f>
        <v>920</v>
      </c>
      <c r="K21" s="283">
        <v>9100033030416</v>
      </c>
      <c r="M21" s="430">
        <f>+$J21*(1+'Unit tariffs'!$F$2)</f>
        <v>958.64</v>
      </c>
      <c r="N21" s="431">
        <f>+$M21*(1+'Unit tariffs'!$F$2)</f>
        <v>998.90288</v>
      </c>
      <c r="O21" s="431">
        <f>+$N21*(1+'Unit tariffs'!$F$2)</f>
        <v>1040.85680096</v>
      </c>
    </row>
    <row r="22" spans="1:15" ht="14.25">
      <c r="A22" s="281"/>
      <c r="B22" s="246"/>
      <c r="C22" s="234"/>
      <c r="D22" s="213"/>
      <c r="E22" s="538"/>
      <c r="F22" s="627"/>
      <c r="G22" s="393"/>
      <c r="H22" s="240"/>
      <c r="I22" s="241"/>
      <c r="J22" s="583"/>
      <c r="K22" s="283"/>
      <c r="M22" s="430"/>
      <c r="N22" s="431"/>
      <c r="O22" s="431"/>
    </row>
    <row r="23" spans="1:15" ht="20.25" customHeight="1">
      <c r="A23" s="281"/>
      <c r="B23" s="239" t="str">
        <f>+'Calc Sheet 20_21'!B252</f>
        <v>1.7  Subdivision  (Domestic) -  Urban area: </v>
      </c>
      <c r="C23" s="234"/>
      <c r="D23" s="213"/>
      <c r="E23" s="537"/>
      <c r="F23" s="627"/>
      <c r="G23" s="393"/>
      <c r="H23" s="240"/>
      <c r="I23" s="241"/>
      <c r="J23" s="583"/>
      <c r="K23" s="283"/>
      <c r="M23" s="430"/>
      <c r="N23" s="431"/>
      <c r="O23" s="431"/>
    </row>
    <row r="24" spans="1:15" ht="30.75" customHeight="1">
      <c r="A24" s="281"/>
      <c r="B24" s="233" t="str">
        <f>+'Calc Sheet 20_21'!B254</f>
        <v>    1.7.1 Subdivision Urban Area:  A new Single Phase Split pre-payment meter for domestic connection </v>
      </c>
      <c r="C24" s="234" t="s">
        <v>241</v>
      </c>
      <c r="D24" s="213">
        <f>+'Calc Sheet 20_21'!H283</f>
        <v>18760</v>
      </c>
      <c r="E24" s="537">
        <v>15780</v>
      </c>
      <c r="F24" s="627">
        <f>+'Calc Sheet 20_21'!H283</f>
        <v>18760</v>
      </c>
      <c r="G24" s="393">
        <f>+'Calc Sheet 20_21'!I283</f>
        <v>17950</v>
      </c>
      <c r="H24" s="240">
        <f>(G24-F24)/F24</f>
        <v>-0.04317697228144989</v>
      </c>
      <c r="I24" s="241">
        <f>G24*I$3</f>
        <v>2692.5</v>
      </c>
      <c r="J24" s="583">
        <f>G24+I24</f>
        <v>20642.5</v>
      </c>
      <c r="K24" s="283">
        <v>9100033030416</v>
      </c>
      <c r="M24" s="430">
        <f>+$J24*(1+'Unit tariffs'!$F$2)</f>
        <v>21509.485</v>
      </c>
      <c r="N24" s="431">
        <f>+$M24*(1+'Unit tariffs'!$F$2)</f>
        <v>22412.883370000003</v>
      </c>
      <c r="O24" s="431">
        <f>+$N24*(1+'Unit tariffs'!$F$2)</f>
        <v>23354.224471540005</v>
      </c>
    </row>
    <row r="25" spans="1:15" ht="14.25">
      <c r="A25" s="281"/>
      <c r="B25" s="233"/>
      <c r="C25" s="234"/>
      <c r="D25" s="247"/>
      <c r="E25" s="539"/>
      <c r="F25" s="628"/>
      <c r="G25" s="394"/>
      <c r="H25" s="240"/>
      <c r="I25" s="241"/>
      <c r="J25" s="583"/>
      <c r="K25" s="283"/>
      <c r="M25" s="430"/>
      <c r="N25" s="431"/>
      <c r="O25" s="431"/>
    </row>
    <row r="26" spans="1:15" ht="100.5">
      <c r="A26" s="281"/>
      <c r="B26" s="233" t="str">
        <f>+'Calc Sheet 20_21'!B291</f>
        <v>1.8 Additional Meters:  New 1ph  Split pre-paid meter connection- limited up to 500kVA, LV per Erf. Cost estimates will be compiled based on the quantiry of meters required and Network contribution will be levied as per ruling R/kVA.</v>
      </c>
      <c r="C26" s="234" t="s">
        <v>241</v>
      </c>
      <c r="D26" s="247" t="str">
        <f>+'Calc Sheet 20_21'!H291</f>
        <v>Actual estimated cost plus network contribution for 1.5kVA</v>
      </c>
      <c r="E26" s="539"/>
      <c r="F26" s="628" t="s">
        <v>262</v>
      </c>
      <c r="G26" s="394" t="str">
        <f>+'Calc Sheet 20_21'!I291</f>
        <v>Actual estimated cost plus network contribution ADMD (to be detrmined by number of meters applied for) crediting the network contribution already paid for.</v>
      </c>
      <c r="H26" s="231"/>
      <c r="I26" s="228"/>
      <c r="J26" s="790" t="s">
        <v>510</v>
      </c>
      <c r="K26" s="791" t="s">
        <v>510</v>
      </c>
      <c r="L26" s="205"/>
      <c r="M26" s="788" t="s">
        <v>510</v>
      </c>
      <c r="N26" s="789" t="s">
        <v>510</v>
      </c>
      <c r="O26" s="789" t="s">
        <v>510</v>
      </c>
    </row>
    <row r="27" spans="1:15" ht="14.25">
      <c r="A27" s="350"/>
      <c r="B27" s="351"/>
      <c r="C27" s="352"/>
      <c r="D27" s="703"/>
      <c r="E27" s="704"/>
      <c r="F27" s="705"/>
      <c r="G27" s="706"/>
      <c r="H27" s="707"/>
      <c r="I27" s="708"/>
      <c r="J27" s="709"/>
      <c r="K27" s="710"/>
      <c r="M27" s="711"/>
      <c r="N27" s="712"/>
      <c r="O27" s="712"/>
    </row>
    <row r="28" spans="1:15" ht="14.25">
      <c r="A28" s="350"/>
      <c r="B28" s="351"/>
      <c r="C28" s="352"/>
      <c r="D28" s="703"/>
      <c r="E28" s="704"/>
      <c r="F28" s="705"/>
      <c r="G28" s="706"/>
      <c r="H28" s="707"/>
      <c r="I28" s="708"/>
      <c r="J28" s="709"/>
      <c r="K28" s="710"/>
      <c r="M28" s="711"/>
      <c r="N28" s="712"/>
      <c r="O28" s="712"/>
    </row>
    <row r="29" spans="1:15" ht="14.25">
      <c r="A29" s="298"/>
      <c r="B29" s="299" t="str">
        <f>'Calc Sheet 20_21'!B295</f>
        <v>2. NEW THREE PHASE DOMESTIC CONNECTIONS: URBAN</v>
      </c>
      <c r="C29" s="341"/>
      <c r="D29" s="342"/>
      <c r="E29" s="534"/>
      <c r="F29" s="625"/>
      <c r="G29" s="317"/>
      <c r="H29" s="302"/>
      <c r="I29" s="303"/>
      <c r="J29" s="581"/>
      <c r="K29" s="303"/>
      <c r="L29" s="303"/>
      <c r="M29" s="426"/>
      <c r="N29" s="426"/>
      <c r="O29" s="426"/>
    </row>
    <row r="30" spans="1:15" ht="14.25">
      <c r="A30" s="298"/>
      <c r="B30" s="239"/>
      <c r="C30" s="234"/>
      <c r="D30" s="229"/>
      <c r="E30" s="536"/>
      <c r="F30" s="626"/>
      <c r="G30" s="230"/>
      <c r="H30" s="231"/>
      <c r="I30" s="228"/>
      <c r="J30" s="582"/>
      <c r="K30" s="228"/>
      <c r="L30" s="228"/>
      <c r="M30" s="428"/>
      <c r="N30" s="428"/>
      <c r="O30" s="428"/>
    </row>
    <row r="31" spans="1:15" ht="27">
      <c r="A31" s="298"/>
      <c r="B31" s="237" t="str">
        <f>+'Calc Sheet 20_21'!B297</f>
        <v>Three phase connection in meter box placed on stand boundary taken from underground cable network.</v>
      </c>
      <c r="C31" s="300"/>
      <c r="D31" s="301"/>
      <c r="E31" s="541"/>
      <c r="F31" s="630"/>
      <c r="G31" s="396"/>
      <c r="H31" s="302"/>
      <c r="I31" s="303"/>
      <c r="J31" s="581"/>
      <c r="K31" s="322"/>
      <c r="M31" s="426"/>
      <c r="N31" s="427"/>
      <c r="O31" s="427"/>
    </row>
    <row r="32" spans="1:15" ht="12" customHeight="1">
      <c r="A32" s="281"/>
      <c r="B32" s="233"/>
      <c r="C32" s="234"/>
      <c r="D32" s="248"/>
      <c r="E32" s="542"/>
      <c r="F32" s="631"/>
      <c r="G32" s="397"/>
      <c r="H32" s="249"/>
      <c r="I32" s="250"/>
      <c r="J32" s="586"/>
      <c r="K32" s="286"/>
      <c r="M32" s="428"/>
      <c r="N32" s="429"/>
      <c r="O32" s="429"/>
    </row>
    <row r="33" spans="1:15" ht="14.25">
      <c r="A33" s="281"/>
      <c r="B33" s="233" t="str">
        <f>+'Calc Sheet 20_21'!B299</f>
        <v>2.1 Three phase domestic connection (80A) in meter box,  Time of use (TOU) meter    </v>
      </c>
      <c r="C33" s="234" t="s">
        <v>343</v>
      </c>
      <c r="D33" s="213">
        <f>+'Calc Sheet 20_21'!H332</f>
        <v>19790</v>
      </c>
      <c r="E33" s="537">
        <v>18370</v>
      </c>
      <c r="F33" s="627">
        <v>19790</v>
      </c>
      <c r="G33" s="393">
        <f>+'Calc Sheet 20_21'!I332</f>
        <v>22990</v>
      </c>
      <c r="H33" s="240">
        <f>(G33-F33)/F33</f>
        <v>0.1616978271854472</v>
      </c>
      <c r="I33" s="241">
        <f>G33*I$3</f>
        <v>3448.5</v>
      </c>
      <c r="J33" s="583">
        <f>G33+I33</f>
        <v>26438.5</v>
      </c>
      <c r="K33" s="283">
        <v>9100033030416</v>
      </c>
      <c r="M33" s="430">
        <f>+$J33*(1+'Unit tariffs'!$F$2)</f>
        <v>27548.917</v>
      </c>
      <c r="N33" s="431">
        <f>+$M33*(1+'Unit tariffs'!$F$2)</f>
        <v>28705.971514</v>
      </c>
      <c r="O33" s="431">
        <f>+$N33*(1+'Unit tariffs'!$F$2)</f>
        <v>29911.622317588</v>
      </c>
    </row>
    <row r="34" spans="1:15" ht="14.25">
      <c r="A34" s="281"/>
      <c r="B34" s="233"/>
      <c r="C34" s="234"/>
      <c r="D34" s="213"/>
      <c r="E34" s="537"/>
      <c r="F34" s="627"/>
      <c r="G34" s="393"/>
      <c r="H34" s="231"/>
      <c r="I34" s="228"/>
      <c r="J34" s="582"/>
      <c r="K34" s="282"/>
      <c r="M34" s="428"/>
      <c r="N34" s="429"/>
      <c r="O34" s="429"/>
    </row>
    <row r="35" spans="1:15" ht="15" customHeight="1" hidden="1">
      <c r="A35" s="281"/>
      <c r="B35" s="233" t="str">
        <f>+'Calc Sheet 20_21'!B340</f>
        <v>2.2 Three phase connection (80A) in meter box,  Time of use (TOU) meter                                               </v>
      </c>
      <c r="C35" s="238" t="s">
        <v>344</v>
      </c>
      <c r="D35" s="213">
        <f>+'Calc Sheet 20_21'!H370</f>
        <v>16860</v>
      </c>
      <c r="E35" s="537">
        <v>15725</v>
      </c>
      <c r="F35" s="627">
        <v>16040</v>
      </c>
      <c r="G35" s="393">
        <f>+'Calc Sheet 20_21'!I370</f>
        <v>18620</v>
      </c>
      <c r="H35" s="240">
        <f>(G35-F35)/F35</f>
        <v>0.16084788029925187</v>
      </c>
      <c r="I35" s="241">
        <f>G35*I$3</f>
        <v>2793</v>
      </c>
      <c r="J35" s="583">
        <f>G35+I35</f>
        <v>21413</v>
      </c>
      <c r="K35" s="283">
        <v>9100033030416</v>
      </c>
      <c r="M35" s="430">
        <f>+$J35*(1+'Unit tariffs'!$F$2)</f>
        <v>22312.346</v>
      </c>
      <c r="N35" s="431">
        <f>+$M35*(1+'Unit tariffs'!$F$2)</f>
        <v>23249.464532</v>
      </c>
      <c r="O35" s="431">
        <f>+$M35*(1+'Unit tariffs'!$F$2)</f>
        <v>23249.464532</v>
      </c>
    </row>
    <row r="36" spans="1:15" ht="14.25">
      <c r="A36" s="281"/>
      <c r="B36" s="233" t="str">
        <f>'Calc Sheet 20_21'!B376</f>
        <v>2.3 Three phase domestic connection in meter box, Split pre-payment meter </v>
      </c>
      <c r="C36" s="234" t="s">
        <v>343</v>
      </c>
      <c r="D36" s="213">
        <f>'Calc Sheet 20_21'!H408</f>
        <v>17560</v>
      </c>
      <c r="E36" s="537">
        <v>16375</v>
      </c>
      <c r="F36" s="627">
        <v>17560</v>
      </c>
      <c r="G36" s="393">
        <f>'Calc Sheet 20_21'!I408</f>
        <v>20320</v>
      </c>
      <c r="H36" s="240">
        <f>(G36-F36)/F36</f>
        <v>0.1571753986332574</v>
      </c>
      <c r="I36" s="241">
        <f>G36*I$3</f>
        <v>3048</v>
      </c>
      <c r="J36" s="583">
        <f>G36+I36</f>
        <v>23368</v>
      </c>
      <c r="K36" s="283">
        <v>9100033030416</v>
      </c>
      <c r="M36" s="430">
        <f>+$J36*(1+'Unit tariffs'!$F$2)</f>
        <v>24349.456000000002</v>
      </c>
      <c r="N36" s="431">
        <f>+$M36*(1+'Unit tariffs'!$F$2)</f>
        <v>25372.133152000002</v>
      </c>
      <c r="O36" s="431">
        <f>+$N36*(1+'Unit tariffs'!$F$2)</f>
        <v>26437.762744384003</v>
      </c>
    </row>
    <row r="37" spans="1:15" ht="14.25" hidden="1">
      <c r="A37" s="281"/>
      <c r="B37" s="251"/>
      <c r="C37" s="234"/>
      <c r="D37" s="213"/>
      <c r="E37" s="537"/>
      <c r="F37" s="627"/>
      <c r="G37" s="393"/>
      <c r="H37" s="240"/>
      <c r="I37" s="241"/>
      <c r="J37" s="583"/>
      <c r="K37" s="287"/>
      <c r="M37" s="430"/>
      <c r="N37" s="431"/>
      <c r="O37" s="431"/>
    </row>
    <row r="38" spans="1:15" ht="14.25" hidden="1">
      <c r="A38" s="281"/>
      <c r="B38" s="233" t="str">
        <f>'Calc Sheet 20_21'!B415</f>
        <v>2.4 Three phase domestic connection in meter box, Split pre-payment meter.</v>
      </c>
      <c r="C38" s="238" t="s">
        <v>344</v>
      </c>
      <c r="D38" s="213">
        <f>'Calc Sheet 20_21'!H445</f>
        <v>14620</v>
      </c>
      <c r="E38" s="537">
        <v>13720</v>
      </c>
      <c r="F38" s="627">
        <v>13900</v>
      </c>
      <c r="G38" s="393">
        <f>'Calc Sheet 20_21'!I445</f>
        <v>14330</v>
      </c>
      <c r="H38" s="240">
        <f>(G38-F38)/F38</f>
        <v>0.03093525179856115</v>
      </c>
      <c r="I38" s="241">
        <f>G38*I$3</f>
        <v>2149.5</v>
      </c>
      <c r="J38" s="583">
        <f>G38+I38</f>
        <v>16479.5</v>
      </c>
      <c r="K38" s="283">
        <v>9100033030416</v>
      </c>
      <c r="M38" s="430">
        <f>+$J38*(1+'Unit tariffs'!$F$2)</f>
        <v>17171.639</v>
      </c>
      <c r="N38" s="431">
        <f>+$M38*(1+'Unit tariffs'!$F$2)</f>
        <v>17892.847838</v>
      </c>
      <c r="O38" s="431">
        <f>+$M38*(1+'Unit tariffs'!$F$2)</f>
        <v>17892.847838</v>
      </c>
    </row>
    <row r="39" spans="1:15" ht="15" thickBot="1">
      <c r="A39" s="305"/>
      <c r="B39" s="313"/>
      <c r="C39" s="314"/>
      <c r="D39" s="308"/>
      <c r="E39" s="543"/>
      <c r="F39" s="632"/>
      <c r="G39" s="311"/>
      <c r="H39" s="309"/>
      <c r="I39" s="310"/>
      <c r="J39" s="587"/>
      <c r="K39" s="282"/>
      <c r="M39" s="436"/>
      <c r="N39" s="437"/>
      <c r="O39" s="437"/>
    </row>
    <row r="40" spans="1:15" ht="15" thickBot="1" thickTop="1">
      <c r="A40" s="410"/>
      <c r="B40" s="411"/>
      <c r="C40" s="412"/>
      <c r="D40" s="413"/>
      <c r="E40" s="544"/>
      <c r="F40" s="633"/>
      <c r="G40" s="414"/>
      <c r="H40" s="415"/>
      <c r="I40" s="416"/>
      <c r="J40" s="588"/>
      <c r="K40" s="282"/>
      <c r="M40" s="438"/>
      <c r="N40" s="439"/>
      <c r="O40" s="439"/>
    </row>
    <row r="41" spans="1:15" ht="15">
      <c r="A41" s="410"/>
      <c r="B41" s="274" t="str">
        <f>+B1</f>
        <v>CENTLEC : ELECTRICITY SERVICES COSTS FOR MANGAUNG METRO</v>
      </c>
      <c r="C41" s="275"/>
      <c r="D41" s="382" t="s">
        <v>319</v>
      </c>
      <c r="E41" s="545"/>
      <c r="F41" s="634" t="s">
        <v>74</v>
      </c>
      <c r="G41" s="384" t="s">
        <v>74</v>
      </c>
      <c r="H41" s="383" t="s">
        <v>85</v>
      </c>
      <c r="I41" s="55" t="s">
        <v>470</v>
      </c>
      <c r="J41" s="384" t="s">
        <v>138</v>
      </c>
      <c r="K41" s="385" t="s">
        <v>75</v>
      </c>
      <c r="M41" s="694" t="s">
        <v>138</v>
      </c>
      <c r="N41" s="695" t="s">
        <v>138</v>
      </c>
      <c r="O41" s="695" t="s">
        <v>138</v>
      </c>
    </row>
    <row r="42" spans="1:15" ht="15">
      <c r="A42" s="410"/>
      <c r="B42" s="418"/>
      <c r="C42" s="316"/>
      <c r="D42" s="335" t="s">
        <v>320</v>
      </c>
      <c r="E42" s="546"/>
      <c r="F42" s="635" t="s">
        <v>320</v>
      </c>
      <c r="G42" s="320" t="s">
        <v>320</v>
      </c>
      <c r="H42" s="336" t="s">
        <v>86</v>
      </c>
      <c r="I42" s="665">
        <f>+'Unit tariffs'!F$3</f>
        <v>0.15</v>
      </c>
      <c r="J42" s="320" t="s">
        <v>139</v>
      </c>
      <c r="K42" s="337" t="s">
        <v>78</v>
      </c>
      <c r="M42" s="696" t="s">
        <v>139</v>
      </c>
      <c r="N42" s="697" t="s">
        <v>139</v>
      </c>
      <c r="O42" s="697" t="s">
        <v>139</v>
      </c>
    </row>
    <row r="43" spans="1:15" ht="15">
      <c r="A43" s="410"/>
      <c r="B43" s="418"/>
      <c r="C43" s="238" t="s">
        <v>330</v>
      </c>
      <c r="D43" s="338" t="s">
        <v>280</v>
      </c>
      <c r="E43" s="547"/>
      <c r="F43" s="690" t="str">
        <f>'Calc Sheet 20_21'!$H$11</f>
        <v>2020/2021</v>
      </c>
      <c r="G43" s="236" t="str">
        <f>'Calc Sheet 20_21'!$I$11</f>
        <v>2021/2022</v>
      </c>
      <c r="H43" s="339" t="str">
        <f>G43</f>
        <v>2021/2022</v>
      </c>
      <c r="I43" s="55" t="str">
        <f>G43</f>
        <v>2021/2022</v>
      </c>
      <c r="J43" s="236" t="str">
        <f>I43</f>
        <v>2021/2022</v>
      </c>
      <c r="K43" s="337" t="s">
        <v>79</v>
      </c>
      <c r="M43" s="691" t="s">
        <v>630</v>
      </c>
      <c r="N43" s="692" t="s">
        <v>631</v>
      </c>
      <c r="O43" s="692" t="s">
        <v>632</v>
      </c>
    </row>
    <row r="44" spans="1:15" ht="15" thickBot="1">
      <c r="A44" s="417"/>
      <c r="B44" s="419" t="str">
        <f>'Calc Sheet 20_21'!B453</f>
        <v>3. NEW SINGLE PHASE DOMESTIC CONNECTIONS: PERI-URBAN</v>
      </c>
      <c r="C44" s="307" t="s">
        <v>331</v>
      </c>
      <c r="D44" s="318" t="s">
        <v>80</v>
      </c>
      <c r="E44" s="548"/>
      <c r="F44" s="636" t="s">
        <v>80</v>
      </c>
      <c r="G44" s="395" t="s">
        <v>80</v>
      </c>
      <c r="H44" s="309"/>
      <c r="I44" s="310"/>
      <c r="J44" s="587"/>
      <c r="K44" s="323"/>
      <c r="M44" s="436"/>
      <c r="N44" s="437"/>
      <c r="O44" s="437"/>
    </row>
    <row r="45" spans="1:15" ht="15" thickTop="1">
      <c r="A45" s="312"/>
      <c r="C45" s="300"/>
      <c r="D45" s="301"/>
      <c r="E45" s="541"/>
      <c r="F45" s="630"/>
      <c r="G45" s="396"/>
      <c r="H45" s="302"/>
      <c r="I45" s="303"/>
      <c r="J45" s="581"/>
      <c r="K45" s="322"/>
      <c r="M45" s="426"/>
      <c r="N45" s="427"/>
      <c r="O45" s="427"/>
    </row>
    <row r="46" spans="1:15" ht="45.75" customHeight="1">
      <c r="A46" s="281"/>
      <c r="B46" s="233" t="str">
        <f>+'Calc Sheet 20_21'!B455</f>
        <v>3.1 Single phase Peri-Urban domestic connection with TOU kWh meter.  Supplied by 25kVA single phase transformer (60A) from 11kV overhead line   (where an 11kV line exists and is within the first 350m)</v>
      </c>
      <c r="C46" s="234" t="s">
        <v>242</v>
      </c>
      <c r="D46" s="578">
        <f>+'Calc Sheet 20_21'!H484</f>
        <v>34840</v>
      </c>
      <c r="E46" s="549">
        <v>15930</v>
      </c>
      <c r="F46" s="637">
        <f>+'Calc Sheet 20_21'!H484</f>
        <v>34840</v>
      </c>
      <c r="G46" s="398">
        <f>+'Calc Sheet 20_21'!I484</f>
        <v>33420</v>
      </c>
      <c r="H46" s="240">
        <f>(G46-F46)/F46</f>
        <v>-0.04075774971297359</v>
      </c>
      <c r="I46" s="241">
        <f>G46*I$3</f>
        <v>5013</v>
      </c>
      <c r="J46" s="583">
        <f>G46+I46</f>
        <v>38433</v>
      </c>
      <c r="K46" s="283">
        <v>9100033030416</v>
      </c>
      <c r="M46" s="430">
        <f>'Calc Sheet 20_21'!S484</f>
        <v>23170</v>
      </c>
      <c r="N46" s="431">
        <f>+$M46*(1+'Unit tariffs'!$F$2)</f>
        <v>24143.14</v>
      </c>
      <c r="O46" s="431">
        <f>+$N46*(1+'Unit tariffs'!$F$2)</f>
        <v>25157.15188</v>
      </c>
    </row>
    <row r="47" spans="1:15" ht="33.75" customHeight="1">
      <c r="A47" s="281"/>
      <c r="B47" s="233" t="str">
        <f>+'Calc Sheet 20_21'!B534</f>
        <v>3.3 Single phase Peri-Urban domestic connection - Prepayment meter. - Supplied by 25kVA single phase Trfr (60A) from 11kV overhead line   (where an 11kV line exists)</v>
      </c>
      <c r="C47" s="234" t="s">
        <v>242</v>
      </c>
      <c r="D47" s="213">
        <f>+'Calc Sheet 20_21'!H572</f>
        <v>41370</v>
      </c>
      <c r="E47" s="537">
        <v>12240</v>
      </c>
      <c r="F47" s="627">
        <f>+'Calc Sheet 20_21'!H572</f>
        <v>41370</v>
      </c>
      <c r="G47" s="393">
        <f>+'Calc Sheet 20_21'!I572</f>
        <v>37190</v>
      </c>
      <c r="H47" s="240">
        <f>(G47-F47)/F47</f>
        <v>-0.10103940053178632</v>
      </c>
      <c r="I47" s="241">
        <f>G47*I$3</f>
        <v>5578.5</v>
      </c>
      <c r="J47" s="583">
        <f>G47+I47</f>
        <v>42768.5</v>
      </c>
      <c r="K47" s="283">
        <v>9100033030416</v>
      </c>
      <c r="M47" s="430">
        <f>'Calc Sheet 20_21'!T572</f>
        <v>16720</v>
      </c>
      <c r="N47" s="431">
        <f>+$M47*(1+'Unit tariffs'!$F$2)</f>
        <v>17422.24</v>
      </c>
      <c r="O47" s="431">
        <f>+$N47*(1+'Unit tariffs'!$F$2)</f>
        <v>18153.974080000004</v>
      </c>
    </row>
    <row r="48" spans="1:15" ht="14.25">
      <c r="A48" s="281"/>
      <c r="B48" s="233"/>
      <c r="C48" s="234"/>
      <c r="D48" s="213"/>
      <c r="E48" s="537"/>
      <c r="F48" s="627"/>
      <c r="G48" s="393"/>
      <c r="H48" s="240"/>
      <c r="I48" s="241"/>
      <c r="J48" s="583"/>
      <c r="K48" s="283"/>
      <c r="M48" s="430"/>
      <c r="N48" s="431"/>
      <c r="O48" s="431"/>
    </row>
    <row r="49" spans="1:15" ht="100.5">
      <c r="A49" s="281"/>
      <c r="B49" s="233" t="str">
        <f>+'Calc Sheet 20_21'!B622:G622</f>
        <v>3.5  Additional  Meters Peri-Urban Area:  New 1ph  Split pre-paid meter connection- limited up to 200kVA, LV per Erf. Cost estimates will be compiled based on the quantiry of meters required and Network contribution will be levied as per ruling R/kVA.</v>
      </c>
      <c r="C49" s="713" t="s">
        <v>242</v>
      </c>
      <c r="D49" s="213"/>
      <c r="E49" s="537"/>
      <c r="F49" s="628" t="str">
        <f>+'Calc Sheet 20_21'!H622</f>
        <v>Actual estimated cost plus network contribution depending on number of meters required </v>
      </c>
      <c r="G49" s="394" t="str">
        <f>+'Calc Sheet 20_21'!I622</f>
        <v>Actual estimated cost plus ADMD network contribution to be dertmined by number of meters needed </v>
      </c>
      <c r="H49" s="240"/>
      <c r="I49" s="241"/>
      <c r="J49" s="790" t="s">
        <v>510</v>
      </c>
      <c r="K49" s="791" t="s">
        <v>510</v>
      </c>
      <c r="L49" s="205"/>
      <c r="M49" s="788" t="s">
        <v>510</v>
      </c>
      <c r="N49" s="789" t="s">
        <v>510</v>
      </c>
      <c r="O49" s="789" t="s">
        <v>510</v>
      </c>
    </row>
    <row r="50" spans="1:15" ht="12.75" customHeight="1">
      <c r="A50" s="281"/>
      <c r="B50" s="233"/>
      <c r="C50" s="713"/>
      <c r="D50" s="213"/>
      <c r="E50" s="537"/>
      <c r="F50" s="628"/>
      <c r="G50" s="394"/>
      <c r="H50" s="240"/>
      <c r="I50" s="241"/>
      <c r="J50" s="583"/>
      <c r="K50" s="283"/>
      <c r="M50" s="430"/>
      <c r="N50" s="431"/>
      <c r="O50" s="431"/>
    </row>
    <row r="51" spans="1:15" ht="27.75" customHeight="1">
      <c r="A51" s="281"/>
      <c r="B51" s="233"/>
      <c r="C51" s="234"/>
      <c r="D51" s="213"/>
      <c r="E51" s="537"/>
      <c r="F51" s="627"/>
      <c r="G51" s="393"/>
      <c r="H51" s="240"/>
      <c r="I51" s="241"/>
      <c r="J51" s="583"/>
      <c r="K51" s="283"/>
      <c r="M51" s="430"/>
      <c r="N51" s="431"/>
      <c r="O51" s="431"/>
    </row>
    <row r="52" spans="1:15" ht="18.75" customHeight="1">
      <c r="A52" s="281"/>
      <c r="B52" s="239" t="str">
        <f>'Calc Sheet 20_21'!B624</f>
        <v>4. NEW THREE PHASE DOMESTIC CONNECTIONS: PERI-URBAN</v>
      </c>
      <c r="C52" s="234"/>
      <c r="D52" s="213"/>
      <c r="E52" s="536"/>
      <c r="F52" s="626"/>
      <c r="G52" s="232"/>
      <c r="H52" s="231"/>
      <c r="I52" s="228"/>
      <c r="J52" s="582"/>
      <c r="K52" s="282"/>
      <c r="M52" s="428"/>
      <c r="N52" s="429"/>
      <c r="O52" s="429"/>
    </row>
    <row r="53" spans="1:15" ht="28.5" customHeight="1">
      <c r="A53" s="298"/>
      <c r="B53" s="348" t="str">
        <f>+'Calc Sheet 20_21'!B626</f>
        <v>Three phase domestic connection in meterbox, where an 11kV line exists or has to be extended up to 350m.                                           </v>
      </c>
      <c r="C53" s="238"/>
      <c r="D53" s="213"/>
      <c r="E53" s="537"/>
      <c r="F53" s="627"/>
      <c r="G53" s="393"/>
      <c r="H53" s="231"/>
      <c r="I53" s="228"/>
      <c r="J53" s="582"/>
      <c r="K53" s="282"/>
      <c r="M53" s="428"/>
      <c r="N53" s="429"/>
      <c r="O53" s="429"/>
    </row>
    <row r="54" spans="1:15" ht="12.75" customHeight="1">
      <c r="A54" s="281"/>
      <c r="B54" s="233"/>
      <c r="C54" s="234"/>
      <c r="D54" s="213"/>
      <c r="E54" s="537"/>
      <c r="F54" s="627"/>
      <c r="G54" s="393"/>
      <c r="H54" s="231"/>
      <c r="I54" s="228"/>
      <c r="J54" s="582"/>
      <c r="K54" s="282"/>
      <c r="M54" s="428"/>
      <c r="N54" s="429"/>
      <c r="O54" s="429"/>
    </row>
    <row r="55" spans="1:15" ht="29.25" customHeight="1">
      <c r="A55" s="281"/>
      <c r="B55" s="233" t="str">
        <f>+'Calc Sheet 20_21'!B629</f>
        <v>4.1 New Three phase 80A/ph 25kVA domestic connection  in meter box with Time of use (TOU) meter in Mangaung - Peri urban                                              </v>
      </c>
      <c r="C55" s="234" t="str">
        <f>+C47</f>
        <v>Peri Urban Area</v>
      </c>
      <c r="D55" s="213">
        <f>+'Calc Sheet 20_21'!H668</f>
        <v>45010</v>
      </c>
      <c r="E55" s="537">
        <v>27150</v>
      </c>
      <c r="F55" s="627">
        <v>28820</v>
      </c>
      <c r="G55" s="393">
        <f>+'Calc Sheet 20_21'!I668</f>
        <v>45990</v>
      </c>
      <c r="H55" s="240">
        <f>(G55-F55)/F55</f>
        <v>0.5957668285912561</v>
      </c>
      <c r="I55" s="241">
        <f>G55*I$3</f>
        <v>6898.5</v>
      </c>
      <c r="J55" s="583">
        <f>G55+I55</f>
        <v>52888.5</v>
      </c>
      <c r="K55" s="283">
        <v>9100033030416</v>
      </c>
      <c r="M55" s="430">
        <f>'Calc Sheet 20_21'!V668</f>
        <v>33710</v>
      </c>
      <c r="N55" s="431">
        <f>+$M55*(1+'Unit tariffs'!$F$2)</f>
        <v>35125.82</v>
      </c>
      <c r="O55" s="431">
        <f>+$N55*(1+'Unit tariffs'!$F$2)</f>
        <v>36601.10444</v>
      </c>
    </row>
    <row r="56" spans="1:15" ht="14.25">
      <c r="A56" s="281"/>
      <c r="B56" s="253"/>
      <c r="C56" s="234"/>
      <c r="D56" s="213"/>
      <c r="E56" s="537"/>
      <c r="F56" s="627"/>
      <c r="G56" s="393"/>
      <c r="H56" s="231"/>
      <c r="I56" s="228"/>
      <c r="J56" s="582"/>
      <c r="K56" s="282"/>
      <c r="M56" s="428"/>
      <c r="N56" s="429"/>
      <c r="O56" s="429"/>
    </row>
    <row r="57" spans="1:15" ht="25.5" customHeight="1" hidden="1">
      <c r="A57" s="281"/>
      <c r="B57" s="233" t="str">
        <f>+'Calc Sheet 20_21'!B673</f>
        <v>4.2 New Three phase 80A/ph domestic connection in meter box with Time of use (TOU) meter in Regional.                                                                                      </v>
      </c>
      <c r="C57" s="238" t="s">
        <v>244</v>
      </c>
      <c r="D57" s="577">
        <f>+'Calc Sheet 20_21'!H709</f>
        <v>46750</v>
      </c>
      <c r="E57" s="537">
        <v>26870</v>
      </c>
      <c r="F57" s="627">
        <v>28750</v>
      </c>
      <c r="G57" s="393">
        <f>+'Calc Sheet 20_21'!I709</f>
        <v>35160</v>
      </c>
      <c r="H57" s="240">
        <f>(G57-F57)/F57</f>
        <v>0.22295652173913044</v>
      </c>
      <c r="I57" s="241">
        <f>G57*I$3</f>
        <v>5274</v>
      </c>
      <c r="J57" s="583">
        <f>G57+I57</f>
        <v>40434</v>
      </c>
      <c r="K57" s="283">
        <v>9100033030416</v>
      </c>
      <c r="M57" s="430">
        <f>+$J57*(1+'Unit tariffs'!$F$2)</f>
        <v>42132.228</v>
      </c>
      <c r="N57" s="431">
        <f>+$M57*(1+'Unit tariffs'!$F$2)</f>
        <v>43901.781576</v>
      </c>
      <c r="O57" s="431">
        <f>+$M57*(1+'Unit tariffs'!$F$2)</f>
        <v>43901.781576</v>
      </c>
    </row>
    <row r="58" spans="1:15" ht="14.25" hidden="1">
      <c r="A58" s="281"/>
      <c r="B58" s="253"/>
      <c r="C58" s="234"/>
      <c r="D58" s="213"/>
      <c r="E58" s="537"/>
      <c r="F58" s="627"/>
      <c r="G58" s="393"/>
      <c r="H58" s="231"/>
      <c r="I58" s="228"/>
      <c r="J58" s="582"/>
      <c r="K58" s="282"/>
      <c r="M58" s="428"/>
      <c r="N58" s="429"/>
      <c r="O58" s="429"/>
    </row>
    <row r="59" spans="1:15" ht="29.25" customHeight="1">
      <c r="A59" s="281"/>
      <c r="B59" s="233" t="str">
        <f>'Calc Sheet 20_21'!B716</f>
        <v>4.3  New Three phase Peri-Urban domestic connection - Pre-payment meter (80A per phase)                                                    </v>
      </c>
      <c r="C59" s="234" t="s">
        <v>242</v>
      </c>
      <c r="D59" s="213">
        <f>+'Calc Sheet 20_21'!H758</f>
        <v>36660</v>
      </c>
      <c r="E59" s="537">
        <v>27370</v>
      </c>
      <c r="F59" s="627">
        <v>29440</v>
      </c>
      <c r="G59" s="393">
        <f>+'Calc Sheet 20_21'!I758</f>
        <v>35780</v>
      </c>
      <c r="H59" s="240">
        <f>(G59-F59)/F59</f>
        <v>0.21535326086956522</v>
      </c>
      <c r="I59" s="241">
        <f>G59*I$3</f>
        <v>5367</v>
      </c>
      <c r="J59" s="583">
        <f>G59+I59</f>
        <v>41147</v>
      </c>
      <c r="K59" s="283">
        <v>9100033030416</v>
      </c>
      <c r="M59" s="430">
        <f>'Calc Sheet 20_21'!V758</f>
        <v>25070</v>
      </c>
      <c r="N59" s="431">
        <f>+$M59*(1+'Unit tariffs'!$F$2)</f>
        <v>26122.940000000002</v>
      </c>
      <c r="O59" s="431">
        <f>+$N59*(1+'Unit tariffs'!$F$2)</f>
        <v>27220.103480000005</v>
      </c>
    </row>
    <row r="60" spans="1:15" ht="14.25">
      <c r="A60" s="281"/>
      <c r="B60" s="251"/>
      <c r="C60" s="234"/>
      <c r="D60" s="213"/>
      <c r="E60" s="537"/>
      <c r="F60" s="627"/>
      <c r="G60" s="393"/>
      <c r="H60" s="240"/>
      <c r="I60" s="241"/>
      <c r="J60" s="583"/>
      <c r="K60" s="287"/>
      <c r="M60" s="430"/>
      <c r="N60" s="431"/>
      <c r="O60" s="431"/>
    </row>
    <row r="61" spans="1:15" ht="37.5" customHeight="1" hidden="1">
      <c r="A61" s="281"/>
      <c r="B61" s="233" t="str">
        <f>'Calc Sheet 20_21'!B763</f>
        <v>4.4 Three phase Peri-Urban domestic connection - Pre- payment meter (80A per phase)                                                    </v>
      </c>
      <c r="C61" s="238" t="str">
        <f>+'Calc Sheet 20_21'!I763</f>
        <v>[Regional - peri urban area]</v>
      </c>
      <c r="D61" s="213">
        <f>+'Calc Sheet 20_21'!H801</f>
        <v>35440</v>
      </c>
      <c r="E61" s="537">
        <v>24710</v>
      </c>
      <c r="F61" s="627">
        <v>25310</v>
      </c>
      <c r="G61" s="393">
        <f>+'Calc Sheet 20_21'!I801</f>
        <v>34560</v>
      </c>
      <c r="H61" s="240">
        <f>(G61-F61)/F61</f>
        <v>0.36546819438956935</v>
      </c>
      <c r="I61" s="241">
        <f>G61*I$3</f>
        <v>5184</v>
      </c>
      <c r="J61" s="583">
        <f>G61+I61</f>
        <v>39744</v>
      </c>
      <c r="K61" s="283">
        <v>9100033030416</v>
      </c>
      <c r="M61" s="430">
        <f>+$J61*(1+'Unit tariffs'!$F$2)</f>
        <v>41413.248</v>
      </c>
      <c r="N61" s="431">
        <f>+$M61*(1+'Unit tariffs'!$F$2)</f>
        <v>43152.604416</v>
      </c>
      <c r="O61" s="431">
        <f>+$M61*(1+'Unit tariffs'!$F$2)</f>
        <v>43152.604416</v>
      </c>
    </row>
    <row r="62" spans="1:15" ht="14.25" hidden="1">
      <c r="A62" s="281"/>
      <c r="B62" s="251" t="s">
        <v>313</v>
      </c>
      <c r="C62" s="234"/>
      <c r="D62" s="213"/>
      <c r="E62" s="537"/>
      <c r="F62" s="627"/>
      <c r="G62" s="393"/>
      <c r="H62" s="240"/>
      <c r="I62" s="241"/>
      <c r="J62" s="583"/>
      <c r="K62" s="283"/>
      <c r="M62" s="430"/>
      <c r="N62" s="431"/>
      <c r="O62" s="431"/>
    </row>
    <row r="63" spans="1:15" ht="14.25">
      <c r="A63" s="281"/>
      <c r="B63" s="239" t="str">
        <f>+'Calc Sheet 20_21'!B811</f>
        <v>4.5  Subdivision -  Peri-Urban area: </v>
      </c>
      <c r="C63" s="238"/>
      <c r="D63" s="213"/>
      <c r="E63" s="537"/>
      <c r="F63" s="627"/>
      <c r="G63" s="393"/>
      <c r="H63" s="240"/>
      <c r="I63" s="241"/>
      <c r="J63" s="583"/>
      <c r="K63" s="283"/>
      <c r="M63" s="430"/>
      <c r="N63" s="431"/>
      <c r="O63" s="431"/>
    </row>
    <row r="64" spans="1:15" ht="35.25" customHeight="1">
      <c r="A64" s="281"/>
      <c r="B64" s="233" t="str">
        <f>+'Calc Sheet 20_21'!B813</f>
        <v>    4.5.1  Subdivision Pri Urban Area:  New Single Phase Split pre-payment meter connection in existing 11kV overhead line or  where 11kV overhead line needs to be exteded up to 350m.</v>
      </c>
      <c r="C64" s="234" t="s">
        <v>242</v>
      </c>
      <c r="D64" s="213">
        <f>+'Calc Sheet 20_21'!H842</f>
        <v>15970</v>
      </c>
      <c r="E64" s="537">
        <v>14510</v>
      </c>
      <c r="F64" s="627">
        <f>+'Calc Sheet 20_21'!H842</f>
        <v>15970</v>
      </c>
      <c r="G64" s="393">
        <f>+'Calc Sheet 20_21'!I842</f>
        <v>24380</v>
      </c>
      <c r="H64" s="240">
        <f>(G64-F64)/F64</f>
        <v>0.5266123982467126</v>
      </c>
      <c r="I64" s="241">
        <f>G64*I$3</f>
        <v>3657</v>
      </c>
      <c r="J64" s="583">
        <f>G64+I64</f>
        <v>28037</v>
      </c>
      <c r="K64" s="283">
        <v>9100033030416</v>
      </c>
      <c r="M64" s="431">
        <f>+$J64*(1+'Unit tariffs'!$F$2)</f>
        <v>29214.554</v>
      </c>
      <c r="N64" s="431">
        <f>+$M64*(1+'Unit tariffs'!$F$2)</f>
        <v>30441.565268000002</v>
      </c>
      <c r="O64" s="431">
        <f>+$N64*(1+'Unit tariffs'!$F$2)</f>
        <v>31720.111009256005</v>
      </c>
    </row>
    <row r="65" spans="1:15" ht="39.75">
      <c r="A65" s="281"/>
      <c r="B65" s="233"/>
      <c r="C65" s="234"/>
      <c r="D65" s="247" t="e">
        <f>+'Calc Sheet 20_21'!#REF!</f>
        <v>#REF!</v>
      </c>
      <c r="E65" s="539"/>
      <c r="F65" s="628" t="s">
        <v>262</v>
      </c>
      <c r="G65" s="394" t="e">
        <f>+'Calc Sheet 20_21'!#REF!</f>
        <v>#REF!</v>
      </c>
      <c r="H65" s="240"/>
      <c r="I65" s="241"/>
      <c r="J65" s="583"/>
      <c r="K65" s="283"/>
      <c r="M65" s="430"/>
      <c r="N65" s="431"/>
      <c r="O65" s="431"/>
    </row>
    <row r="66" spans="1:15" ht="79.5">
      <c r="A66" s="281"/>
      <c r="B66" s="233" t="str">
        <f>+'Calc Sheet 20_21'!B847</f>
        <v>    4.5.2 Subdivision Peri Urban Area:  New Three Split pre-payment meter connection on the stand boundary, where 11kV overhead line needs to be exteded up to 350m at ADMD = 7,5KVA</v>
      </c>
      <c r="C66" s="234" t="s">
        <v>242</v>
      </c>
      <c r="D66" s="247" t="str">
        <f>+'Calc Sheet 20_21'!H850</f>
        <v>Actual estimated cost plus network contribution for 7.5kVA</v>
      </c>
      <c r="E66" s="539"/>
      <c r="F66" s="628" t="s">
        <v>262</v>
      </c>
      <c r="G66" s="394" t="str">
        <f>+'Calc Sheet 20_21'!I850</f>
        <v>Actual estimated cost plus network contribution for 7.5kVA</v>
      </c>
      <c r="H66" s="240"/>
      <c r="I66" s="787" t="str">
        <f>'Calc Sheet 20_21'!H850</f>
        <v>Actual estimated cost plus network contribution for 7.5kVA</v>
      </c>
      <c r="J66" s="583"/>
      <c r="K66" s="283"/>
      <c r="M66" s="788" t="s">
        <v>633</v>
      </c>
      <c r="N66" s="789" t="s">
        <v>633</v>
      </c>
      <c r="O66" s="789" t="s">
        <v>633</v>
      </c>
    </row>
    <row r="67" spans="1:15" ht="15" thickBot="1">
      <c r="A67" s="378"/>
      <c r="B67" s="290"/>
      <c r="C67" s="291"/>
      <c r="D67" s="293"/>
      <c r="E67" s="540"/>
      <c r="F67" s="629"/>
      <c r="G67" s="296"/>
      <c r="H67" s="294"/>
      <c r="I67" s="295"/>
      <c r="J67" s="585"/>
      <c r="K67" s="386"/>
      <c r="M67" s="434"/>
      <c r="N67" s="435"/>
      <c r="O67" s="435"/>
    </row>
    <row r="68" spans="1:15" ht="15">
      <c r="A68" s="273"/>
      <c r="B68" s="274" t="str">
        <f>B1</f>
        <v>CENTLEC : ELECTRICITY SERVICES COSTS FOR MANGAUNG METRO</v>
      </c>
      <c r="C68" s="275"/>
      <c r="D68" s="276"/>
      <c r="E68" s="550"/>
      <c r="F68" s="622"/>
      <c r="G68" s="279"/>
      <c r="H68" s="277"/>
      <c r="I68" s="278"/>
      <c r="J68" s="580"/>
      <c r="K68" s="280"/>
      <c r="M68" s="420"/>
      <c r="N68" s="421"/>
      <c r="O68" s="421"/>
    </row>
    <row r="69" spans="1:15" ht="14.25">
      <c r="A69" s="298"/>
      <c r="B69" s="299" t="s">
        <v>1</v>
      </c>
      <c r="C69" s="300"/>
      <c r="D69" s="335" t="s">
        <v>74</v>
      </c>
      <c r="E69" s="546"/>
      <c r="F69" s="635" t="s">
        <v>74</v>
      </c>
      <c r="G69" s="320" t="s">
        <v>74</v>
      </c>
      <c r="H69" s="336" t="s">
        <v>85</v>
      </c>
      <c r="I69" s="55" t="s">
        <v>470</v>
      </c>
      <c r="J69" s="320" t="s">
        <v>138</v>
      </c>
      <c r="K69" s="337" t="s">
        <v>75</v>
      </c>
      <c r="M69" s="696" t="s">
        <v>138</v>
      </c>
      <c r="N69" s="697" t="s">
        <v>138</v>
      </c>
      <c r="O69" s="697" t="s">
        <v>138</v>
      </c>
    </row>
    <row r="70" spans="1:15" ht="14.25">
      <c r="A70" s="281"/>
      <c r="B70" s="319" t="s">
        <v>333</v>
      </c>
      <c r="C70" s="238"/>
      <c r="D70" s="340" t="s">
        <v>77</v>
      </c>
      <c r="E70" s="532"/>
      <c r="F70" s="623" t="s">
        <v>77</v>
      </c>
      <c r="G70" s="236" t="s">
        <v>77</v>
      </c>
      <c r="H70" s="339" t="s">
        <v>86</v>
      </c>
      <c r="I70" s="665">
        <f>+'Unit tariffs'!F$3</f>
        <v>0.15</v>
      </c>
      <c r="J70" s="236" t="s">
        <v>139</v>
      </c>
      <c r="K70" s="337" t="s">
        <v>78</v>
      </c>
      <c r="M70" s="691" t="s">
        <v>139</v>
      </c>
      <c r="N70" s="692" t="s">
        <v>139</v>
      </c>
      <c r="O70" s="692" t="s">
        <v>139</v>
      </c>
    </row>
    <row r="71" spans="1:15" ht="14.25">
      <c r="A71" s="281"/>
      <c r="B71" s="239" t="s">
        <v>1</v>
      </c>
      <c r="C71" s="238"/>
      <c r="D71" s="340" t="str">
        <f>D$4</f>
        <v>2016/2017</v>
      </c>
      <c r="E71" s="532"/>
      <c r="F71" s="690" t="str">
        <f>'Calc Sheet 20_21'!$H$11</f>
        <v>2020/2021</v>
      </c>
      <c r="G71" s="236" t="str">
        <f>'Calc Sheet 20_21'!$I$11</f>
        <v>2021/2022</v>
      </c>
      <c r="H71" s="339" t="str">
        <f>G71</f>
        <v>2021/2022</v>
      </c>
      <c r="I71" s="55" t="str">
        <f>G71</f>
        <v>2021/2022</v>
      </c>
      <c r="J71" s="236" t="str">
        <f>I71</f>
        <v>2021/2022</v>
      </c>
      <c r="K71" s="337" t="s">
        <v>79</v>
      </c>
      <c r="M71" s="691" t="s">
        <v>630</v>
      </c>
      <c r="N71" s="692" t="s">
        <v>631</v>
      </c>
      <c r="O71" s="692" t="s">
        <v>632</v>
      </c>
    </row>
    <row r="72" spans="1:15" ht="14.25">
      <c r="A72" s="281"/>
      <c r="B72" s="239" t="s">
        <v>1</v>
      </c>
      <c r="C72" s="238"/>
      <c r="D72" s="340" t="s">
        <v>80</v>
      </c>
      <c r="E72" s="532"/>
      <c r="F72" s="623" t="s">
        <v>80</v>
      </c>
      <c r="G72" s="236" t="s">
        <v>80</v>
      </c>
      <c r="H72" s="339"/>
      <c r="I72" s="55"/>
      <c r="J72" s="236"/>
      <c r="K72" s="337"/>
      <c r="M72" s="422"/>
      <c r="N72" s="423"/>
      <c r="O72" s="423"/>
    </row>
    <row r="73" spans="1:15" ht="19.5" customHeight="1">
      <c r="A73" s="281"/>
      <c r="B73" s="239" t="str">
        <f>'Calc Sheet 20_21'!B853</f>
        <v>5.  ILLUMINATING SIGNS</v>
      </c>
      <c r="C73" s="238"/>
      <c r="D73" s="230"/>
      <c r="E73" s="536"/>
      <c r="F73" s="626"/>
      <c r="G73" s="232"/>
      <c r="H73" s="231"/>
      <c r="I73" s="228"/>
      <c r="J73" s="582"/>
      <c r="K73" s="282"/>
      <c r="M73" s="428"/>
      <c r="N73" s="429"/>
      <c r="O73" s="429"/>
    </row>
    <row r="74" spans="1:15" ht="14.25">
      <c r="A74" s="281"/>
      <c r="B74" s="233" t="s">
        <v>1</v>
      </c>
      <c r="C74" s="234"/>
      <c r="D74" s="230"/>
      <c r="E74" s="536"/>
      <c r="F74" s="626"/>
      <c r="G74" s="232"/>
      <c r="H74" s="231"/>
      <c r="I74" s="228"/>
      <c r="J74" s="582"/>
      <c r="K74" s="282" t="s">
        <v>1</v>
      </c>
      <c r="M74" s="428"/>
      <c r="N74" s="429"/>
      <c r="O74" s="429"/>
    </row>
    <row r="75" spans="1:15" ht="14.25">
      <c r="A75" s="281"/>
      <c r="B75" s="233" t="s">
        <v>100</v>
      </c>
      <c r="C75" s="234"/>
      <c r="D75" s="230" t="s">
        <v>205</v>
      </c>
      <c r="E75" s="536"/>
      <c r="F75" s="626" t="s">
        <v>205</v>
      </c>
      <c r="G75" s="232" t="s">
        <v>205</v>
      </c>
      <c r="H75" s="231"/>
      <c r="I75" s="228"/>
      <c r="J75" s="582"/>
      <c r="K75" s="283">
        <v>9100033030416</v>
      </c>
      <c r="M75" s="428"/>
      <c r="N75" s="429"/>
      <c r="O75" s="429"/>
    </row>
    <row r="76" spans="1:15" ht="14.25">
      <c r="A76" s="281"/>
      <c r="B76" s="233" t="s">
        <v>1</v>
      </c>
      <c r="C76" s="234"/>
      <c r="D76" s="230"/>
      <c r="E76" s="536"/>
      <c r="F76" s="626"/>
      <c r="G76" s="232"/>
      <c r="H76" s="231"/>
      <c r="I76" s="228"/>
      <c r="J76" s="582"/>
      <c r="K76" s="287"/>
      <c r="M76" s="428"/>
      <c r="N76" s="429"/>
      <c r="O76" s="429"/>
    </row>
    <row r="77" spans="1:15" ht="14.25">
      <c r="A77" s="281"/>
      <c r="B77" s="233" t="str">
        <f>'Calc Sheet 20_21'!B857</f>
        <v>Levy for electricity consumed</v>
      </c>
      <c r="C77" s="234"/>
      <c r="D77" s="213">
        <f>'Calc Sheet 20_21'!H864</f>
        <v>103</v>
      </c>
      <c r="E77" s="537"/>
      <c r="F77" s="627">
        <f>+'Calc Sheet 20_21'!H864</f>
        <v>103</v>
      </c>
      <c r="G77" s="393">
        <f>'Calc Sheet 20_21'!I864</f>
        <v>111</v>
      </c>
      <c r="H77" s="240">
        <f>(G77-F77)/F77</f>
        <v>0.07766990291262135</v>
      </c>
      <c r="I77" s="241">
        <f>G77*I$3</f>
        <v>16.65</v>
      </c>
      <c r="J77" s="583">
        <f>G77+I77</f>
        <v>127.65</v>
      </c>
      <c r="K77" s="283">
        <v>9100033030416</v>
      </c>
      <c r="M77" s="430">
        <f>+$J77*(1+'Unit tariffs'!$F$2)</f>
        <v>133.0113</v>
      </c>
      <c r="N77" s="431">
        <f>+$M77*(1+'Unit tariffs'!$F$2)</f>
        <v>138.5977746</v>
      </c>
      <c r="O77" s="431">
        <f>+$N77*(1+'Unit tariffs'!$F$2)</f>
        <v>144.41888113320002</v>
      </c>
    </row>
    <row r="78" spans="1:15" ht="14.25">
      <c r="A78" s="281"/>
      <c r="B78" s="233" t="s">
        <v>1</v>
      </c>
      <c r="C78" s="234"/>
      <c r="D78" s="213"/>
      <c r="E78" s="537"/>
      <c r="F78" s="627"/>
      <c r="G78" s="393"/>
      <c r="H78" s="254"/>
      <c r="I78" s="242"/>
      <c r="J78" s="236"/>
      <c r="K78" s="287"/>
      <c r="M78" s="422"/>
      <c r="N78" s="423"/>
      <c r="O78" s="423"/>
    </row>
    <row r="79" spans="1:15" ht="14.25">
      <c r="A79" s="281"/>
      <c r="B79" s="233"/>
      <c r="C79" s="234"/>
      <c r="D79" s="230"/>
      <c r="E79" s="536"/>
      <c r="F79" s="626"/>
      <c r="G79" s="232"/>
      <c r="H79" s="231"/>
      <c r="I79" s="228"/>
      <c r="J79" s="582"/>
      <c r="K79" s="282"/>
      <c r="M79" s="428"/>
      <c r="N79" s="429"/>
      <c r="O79" s="429"/>
    </row>
    <row r="80" spans="1:15" ht="16.5" customHeight="1">
      <c r="A80" s="298"/>
      <c r="B80" s="299" t="str">
        <f>'Calc Sheet 20_21'!B872</f>
        <v>6. TEMPORARY CONNECTIONS - MAXIMUM PERIOD OF 12 MONTHS </v>
      </c>
      <c r="C80" s="300"/>
      <c r="D80" s="301" t="s">
        <v>1</v>
      </c>
      <c r="E80" s="541"/>
      <c r="F80" s="630" t="s">
        <v>1</v>
      </c>
      <c r="G80" s="396" t="s">
        <v>1</v>
      </c>
      <c r="H80" s="302"/>
      <c r="I80" s="303"/>
      <c r="J80" s="581"/>
      <c r="K80" s="322" t="s">
        <v>1</v>
      </c>
      <c r="M80" s="426"/>
      <c r="N80" s="427"/>
      <c r="O80" s="427"/>
    </row>
    <row r="81" spans="1:15" ht="14.25">
      <c r="A81" s="281"/>
      <c r="B81" s="233"/>
      <c r="C81" s="234"/>
      <c r="D81" s="213" t="s">
        <v>81</v>
      </c>
      <c r="E81" s="537"/>
      <c r="F81" s="627" t="s">
        <v>81</v>
      </c>
      <c r="G81" s="393" t="s">
        <v>81</v>
      </c>
      <c r="H81" s="231"/>
      <c r="I81" s="228"/>
      <c r="J81" s="582"/>
      <c r="K81" s="282"/>
      <c r="M81" s="428"/>
      <c r="N81" s="429"/>
      <c r="O81" s="429"/>
    </row>
    <row r="82" spans="1:15" ht="14.25">
      <c r="A82" s="281"/>
      <c r="B82" s="233" t="s">
        <v>82</v>
      </c>
      <c r="C82" s="234"/>
      <c r="D82" s="213"/>
      <c r="E82" s="537"/>
      <c r="F82" s="627"/>
      <c r="G82" s="393"/>
      <c r="H82" s="231"/>
      <c r="I82" s="228"/>
      <c r="J82" s="582"/>
      <c r="K82" s="282"/>
      <c r="M82" s="428"/>
      <c r="N82" s="429"/>
      <c r="O82" s="429"/>
    </row>
    <row r="83" spans="1:15" ht="14.25">
      <c r="A83" s="281"/>
      <c r="B83" s="233" t="s">
        <v>83</v>
      </c>
      <c r="C83" s="234"/>
      <c r="D83" s="213"/>
      <c r="E83" s="537"/>
      <c r="F83" s="627"/>
      <c r="G83" s="393"/>
      <c r="H83" s="231"/>
      <c r="I83" s="228"/>
      <c r="J83" s="582"/>
      <c r="K83" s="282"/>
      <c r="M83" s="428"/>
      <c r="N83" s="429"/>
      <c r="O83" s="429"/>
    </row>
    <row r="84" spans="1:15" ht="14.25">
      <c r="A84" s="281"/>
      <c r="B84" s="233" t="s">
        <v>84</v>
      </c>
      <c r="C84" s="234"/>
      <c r="D84" s="213"/>
      <c r="E84" s="537"/>
      <c r="F84" s="627"/>
      <c r="G84" s="393"/>
      <c r="H84" s="231"/>
      <c r="I84" s="228"/>
      <c r="J84" s="582"/>
      <c r="K84" s="282" t="s">
        <v>1</v>
      </c>
      <c r="M84" s="428"/>
      <c r="N84" s="429"/>
      <c r="O84" s="429"/>
    </row>
    <row r="85" spans="1:15" ht="14.25">
      <c r="A85" s="281"/>
      <c r="B85" s="233"/>
      <c r="C85" s="234"/>
      <c r="D85" s="213"/>
      <c r="E85" s="537"/>
      <c r="F85" s="627"/>
      <c r="G85" s="393"/>
      <c r="H85" s="231"/>
      <c r="I85" s="228"/>
      <c r="J85" s="582"/>
      <c r="K85" s="282"/>
      <c r="M85" s="428"/>
      <c r="N85" s="429"/>
      <c r="O85" s="429"/>
    </row>
    <row r="86" spans="1:15" ht="39.75">
      <c r="A86" s="281"/>
      <c r="B86" s="233" t="str">
        <f>'Calc Sheet 20_21'!B874</f>
        <v>6.1 Temporary builders underground connection - Three phase 80 Ampère Prepaid meter only.  Please note: These connections would only be permitted  for a maximum period of 12 months after which it will be removed by CENTLEC. (Where a trench is not longer than 12m)</v>
      </c>
      <c r="C86" s="234"/>
      <c r="D86" s="213">
        <f>'Calc Sheet 20_21'!H910</f>
        <v>19730</v>
      </c>
      <c r="E86" s="537">
        <v>25880</v>
      </c>
      <c r="F86" s="627">
        <f>+'Calc Sheet 20_21'!H910</f>
        <v>19730</v>
      </c>
      <c r="G86" s="393">
        <f>'Calc Sheet 20_21'!I910</f>
        <v>27260</v>
      </c>
      <c r="H86" s="240">
        <f>(G86-F86)/F86</f>
        <v>0.3816523061327927</v>
      </c>
      <c r="I86" s="241">
        <f>G86*I$3</f>
        <v>4089</v>
      </c>
      <c r="J86" s="583">
        <f>G86+I86</f>
        <v>31349</v>
      </c>
      <c r="K86" s="283">
        <v>9100033030416</v>
      </c>
      <c r="M86" s="430">
        <f>+$J86*(1+'Unit tariffs'!$F$2)</f>
        <v>32665.658</v>
      </c>
      <c r="N86" s="431">
        <f>+$M86*(1+'Unit tariffs'!$F$2)</f>
        <v>34037.615636</v>
      </c>
      <c r="O86" s="431">
        <f>+$N86*(1+'Unit tariffs'!$F$2)</f>
        <v>35467.195492712</v>
      </c>
    </row>
    <row r="87" spans="1:15" ht="12.75" customHeight="1">
      <c r="A87" s="281"/>
      <c r="B87" s="233"/>
      <c r="C87" s="234"/>
      <c r="D87" s="213"/>
      <c r="E87" s="537"/>
      <c r="F87" s="627"/>
      <c r="G87" s="393"/>
      <c r="H87" s="240"/>
      <c r="I87" s="241"/>
      <c r="J87" s="583"/>
      <c r="K87" s="283"/>
      <c r="M87" s="430"/>
      <c r="N87" s="431"/>
      <c r="O87" s="431"/>
    </row>
    <row r="88" spans="1:15" ht="44.25" customHeight="1">
      <c r="A88" s="281"/>
      <c r="B88" s="233" t="str">
        <f>+'Calc Sheet 20_21'!B913:G913</f>
        <v>6.2 Temporary connection for a special events - These temporary connections would only be permitted for MMM approved special short term events and it would be removed afterwards - Maximum duration is 3 months. </v>
      </c>
      <c r="C88" s="234"/>
      <c r="D88" s="255"/>
      <c r="E88" s="538"/>
      <c r="F88" s="638"/>
      <c r="G88" s="399"/>
      <c r="H88" s="240"/>
      <c r="I88" s="241"/>
      <c r="J88" s="583"/>
      <c r="K88" s="283"/>
      <c r="M88" s="430"/>
      <c r="N88" s="431"/>
      <c r="O88" s="431"/>
    </row>
    <row r="89" spans="1:15" ht="6.75" customHeight="1">
      <c r="A89" s="281"/>
      <c r="B89" s="233"/>
      <c r="C89" s="234"/>
      <c r="D89" s="255"/>
      <c r="E89" s="538"/>
      <c r="F89" s="638"/>
      <c r="G89" s="399"/>
      <c r="H89" s="240"/>
      <c r="I89" s="241"/>
      <c r="J89" s="583"/>
      <c r="K89" s="283"/>
      <c r="M89" s="430"/>
      <c r="N89" s="431"/>
      <c r="O89" s="431"/>
    </row>
    <row r="90" spans="1:15" ht="39.75">
      <c r="A90" s="281"/>
      <c r="B90" s="233" t="str">
        <f>+'Calc Sheet 20_21'!B915:G915</f>
        <v>6.2.1 Temporary connection for a special event - Single phase 80Ampère P/P with over head Airdac - Church Crusades, Social, Cultural and community events, temporary creches, police stations, etc.</v>
      </c>
      <c r="C90" s="234"/>
      <c r="D90" s="252">
        <f>+'Calc Sheet 20_21'!H946</f>
        <v>9070</v>
      </c>
      <c r="E90" s="549">
        <v>8260</v>
      </c>
      <c r="F90" s="637">
        <f>+'Calc Sheet 20_21'!H946</f>
        <v>9070</v>
      </c>
      <c r="G90" s="398">
        <f>+'Calc Sheet 20_21'!I946</f>
        <v>11690</v>
      </c>
      <c r="H90" s="240">
        <f>(G90-F90)/F90</f>
        <v>0.288864388092613</v>
      </c>
      <c r="I90" s="241">
        <f>G90*I$3</f>
        <v>1753.5</v>
      </c>
      <c r="J90" s="583">
        <f>G90+I90</f>
        <v>13443.5</v>
      </c>
      <c r="K90" s="283">
        <v>9100033030416</v>
      </c>
      <c r="M90" s="430">
        <f>+$J90*(1+'Unit tariffs'!$F$2)</f>
        <v>14008.127</v>
      </c>
      <c r="N90" s="431">
        <f>+$M90*(1+'Unit tariffs'!$F$2)</f>
        <v>14596.468334000001</v>
      </c>
      <c r="O90" s="431">
        <f>+$N90*(1+'Unit tariffs'!$F$2)</f>
        <v>15209.520004028001</v>
      </c>
    </row>
    <row r="91" spans="1:15" ht="39.75">
      <c r="A91" s="281"/>
      <c r="B91" s="233" t="str">
        <f>+'Calc Sheet 20_21'!B949:G949</f>
        <v>6.2.2 Temporary connection for a special event - Three phase 80Ampère P/P- Church Crusades, Social, Cultural and community events, temporary creches, police stations, Car wash ect (where a trench is not longer than 12m)</v>
      </c>
      <c r="C91" s="234"/>
      <c r="D91" s="252">
        <f>+'Calc Sheet 20_21'!H947</f>
        <v>0.03775743707093822</v>
      </c>
      <c r="E91" s="549">
        <v>25880</v>
      </c>
      <c r="F91" s="637">
        <f>+'Calc Sheet 20_21'!H984</f>
        <v>36090</v>
      </c>
      <c r="G91" s="398">
        <f>+'Calc Sheet 20_21'!I984</f>
        <v>38230</v>
      </c>
      <c r="H91" s="240">
        <f>(G91-F91)/F91</f>
        <v>0.059296203934607924</v>
      </c>
      <c r="I91" s="241">
        <f>G91*I$3</f>
        <v>5734.5</v>
      </c>
      <c r="J91" s="583">
        <f>G91+I91</f>
        <v>43964.5</v>
      </c>
      <c r="K91" s="283">
        <v>9100033030416</v>
      </c>
      <c r="M91" s="430">
        <f>+$J91*(1+'Unit tariffs'!$F$2)</f>
        <v>45811.009</v>
      </c>
      <c r="N91" s="431">
        <f>+$M91*(1+'Unit tariffs'!$F$2)</f>
        <v>47735.071378</v>
      </c>
      <c r="O91" s="431">
        <f>+$N91*(1+'Unit tariffs'!$F$2)</f>
        <v>49739.944375876</v>
      </c>
    </row>
    <row r="92" spans="1:15" ht="43.5" customHeight="1">
      <c r="A92" s="350"/>
      <c r="B92" s="351" t="str">
        <f>+'Calc Sheet 20_21'!B987:G987</f>
        <v>6.2.3 Temporary connection for a special event - Three phase 80Ampère P/P- Car wash etc (Subsidised sites)</v>
      </c>
      <c r="C92" s="352"/>
      <c r="D92" s="252">
        <f>+'Calc Sheet 20_21'!H948</f>
        <v>0</v>
      </c>
      <c r="E92" s="551">
        <v>20525</v>
      </c>
      <c r="F92" s="639">
        <f>+'Calc Sheet 20_21'!H1022</f>
        <v>13620</v>
      </c>
      <c r="G92" s="529">
        <f>+'Calc Sheet 20_21'!I1022</f>
        <v>37560</v>
      </c>
      <c r="H92" s="240">
        <f>(G92-F92)/F92</f>
        <v>1.7577092511013215</v>
      </c>
      <c r="I92" s="241">
        <f>G92*I$3</f>
        <v>5634</v>
      </c>
      <c r="J92" s="583">
        <f>G92+I92</f>
        <v>43194</v>
      </c>
      <c r="K92" s="283">
        <v>9100033030416</v>
      </c>
      <c r="M92" s="430">
        <f>+$J92*(1+'Unit tariffs'!$F$2)</f>
        <v>45008.148</v>
      </c>
      <c r="N92" s="431">
        <f>+$M92*(1+'Unit tariffs'!$F$2)</f>
        <v>46898.490216000006</v>
      </c>
      <c r="O92" s="431">
        <f>+$N92*(1+'Unit tariffs'!$F$2)</f>
        <v>48868.22680507201</v>
      </c>
    </row>
    <row r="93" spans="1:15" ht="15" thickBot="1">
      <c r="A93" s="378"/>
      <c r="B93" s="387"/>
      <c r="C93" s="291"/>
      <c r="D93" s="293"/>
      <c r="E93" s="540"/>
      <c r="F93" s="629"/>
      <c r="G93" s="296"/>
      <c r="H93" s="294"/>
      <c r="I93" s="295"/>
      <c r="J93" s="585"/>
      <c r="K93" s="297"/>
      <c r="M93" s="434"/>
      <c r="N93" s="435"/>
      <c r="O93" s="435"/>
    </row>
    <row r="94" spans="1:15" ht="16.5" customHeight="1">
      <c r="A94" s="273"/>
      <c r="B94" s="274" t="str">
        <f>$B1</f>
        <v>CENTLEC : ELECTRICITY SERVICES COSTS FOR MANGAUNG METRO</v>
      </c>
      <c r="C94" s="275"/>
      <c r="D94" s="276"/>
      <c r="E94" s="550"/>
      <c r="F94" s="622"/>
      <c r="G94" s="279"/>
      <c r="H94" s="277"/>
      <c r="I94" s="278"/>
      <c r="J94" s="580"/>
      <c r="K94" s="280"/>
      <c r="M94" s="420"/>
      <c r="N94" s="421"/>
      <c r="O94" s="421"/>
    </row>
    <row r="95" spans="1:15" ht="14.25">
      <c r="A95" s="281"/>
      <c r="B95" s="239" t="s">
        <v>1</v>
      </c>
      <c r="C95" s="238"/>
      <c r="D95" s="340" t="s">
        <v>74</v>
      </c>
      <c r="E95" s="532"/>
      <c r="F95" s="623" t="s">
        <v>74</v>
      </c>
      <c r="G95" s="236" t="s">
        <v>74</v>
      </c>
      <c r="H95" s="339" t="s">
        <v>85</v>
      </c>
      <c r="I95" s="55" t="s">
        <v>470</v>
      </c>
      <c r="J95" s="236" t="s">
        <v>138</v>
      </c>
      <c r="K95" s="337" t="s">
        <v>75</v>
      </c>
      <c r="M95" s="691" t="s">
        <v>138</v>
      </c>
      <c r="N95" s="692" t="s">
        <v>138</v>
      </c>
      <c r="O95" s="692" t="s">
        <v>138</v>
      </c>
    </row>
    <row r="96" spans="1:15" ht="14.25">
      <c r="A96" s="281"/>
      <c r="B96" s="237" t="s">
        <v>76</v>
      </c>
      <c r="C96" s="238"/>
      <c r="D96" s="340" t="s">
        <v>77</v>
      </c>
      <c r="E96" s="532"/>
      <c r="F96" s="623" t="s">
        <v>77</v>
      </c>
      <c r="G96" s="236" t="s">
        <v>77</v>
      </c>
      <c r="H96" s="339" t="s">
        <v>86</v>
      </c>
      <c r="I96" s="665">
        <f>+'Unit tariffs'!F$3</f>
        <v>0.15</v>
      </c>
      <c r="J96" s="236" t="s">
        <v>139</v>
      </c>
      <c r="K96" s="337" t="s">
        <v>78</v>
      </c>
      <c r="M96" s="691" t="s">
        <v>139</v>
      </c>
      <c r="N96" s="692" t="s">
        <v>139</v>
      </c>
      <c r="O96" s="692" t="s">
        <v>139</v>
      </c>
    </row>
    <row r="97" spans="1:15" ht="14.25">
      <c r="A97" s="281"/>
      <c r="B97" s="239" t="s">
        <v>1</v>
      </c>
      <c r="C97" s="238"/>
      <c r="D97" s="340" t="str">
        <f>D$4</f>
        <v>2016/2017</v>
      </c>
      <c r="E97" s="532"/>
      <c r="F97" s="690" t="str">
        <f>'Calc Sheet 20_21'!$H$11</f>
        <v>2020/2021</v>
      </c>
      <c r="G97" s="236" t="str">
        <f>'Calc Sheet 20_21'!$I$11</f>
        <v>2021/2022</v>
      </c>
      <c r="H97" s="339" t="str">
        <f>G97</f>
        <v>2021/2022</v>
      </c>
      <c r="I97" s="55" t="str">
        <f>G97</f>
        <v>2021/2022</v>
      </c>
      <c r="J97" s="236" t="str">
        <f>I97</f>
        <v>2021/2022</v>
      </c>
      <c r="K97" s="337" t="s">
        <v>79</v>
      </c>
      <c r="M97" s="691" t="s">
        <v>630</v>
      </c>
      <c r="N97" s="692" t="s">
        <v>631</v>
      </c>
      <c r="O97" s="692" t="s">
        <v>632</v>
      </c>
    </row>
    <row r="98" spans="1:15" ht="15" thickBot="1">
      <c r="A98" s="305"/>
      <c r="B98" s="306" t="s">
        <v>1</v>
      </c>
      <c r="C98" s="307"/>
      <c r="D98" s="343" t="s">
        <v>80</v>
      </c>
      <c r="E98" s="533"/>
      <c r="F98" s="624" t="s">
        <v>80</v>
      </c>
      <c r="G98" s="346" t="s">
        <v>80</v>
      </c>
      <c r="H98" s="344"/>
      <c r="I98" s="345"/>
      <c r="J98" s="346"/>
      <c r="K98" s="347"/>
      <c r="M98" s="424"/>
      <c r="N98" s="425"/>
      <c r="O98" s="425"/>
    </row>
    <row r="99" spans="1:15" ht="15" thickTop="1">
      <c r="A99" s="298"/>
      <c r="B99" s="299" t="str">
        <f>'Calc Sheet 20_21'!B1027</f>
        <v>7. ALTERATIONS TO ELECTRICITY SERVICES</v>
      </c>
      <c r="C99" s="300"/>
      <c r="D99" s="301" t="s">
        <v>1</v>
      </c>
      <c r="E99" s="541"/>
      <c r="F99" s="630" t="s">
        <v>1</v>
      </c>
      <c r="G99" s="396" t="s">
        <v>1</v>
      </c>
      <c r="H99" s="302" t="s">
        <v>1</v>
      </c>
      <c r="I99" s="303"/>
      <c r="J99" s="581"/>
      <c r="K99" s="322"/>
      <c r="L99" s="46"/>
      <c r="M99" s="426"/>
      <c r="N99" s="427"/>
      <c r="O99" s="427"/>
    </row>
    <row r="100" spans="1:15" ht="14.25">
      <c r="A100" s="281"/>
      <c r="B100" s="233" t="s">
        <v>1</v>
      </c>
      <c r="C100" s="234"/>
      <c r="D100" s="213"/>
      <c r="E100" s="537"/>
      <c r="F100" s="627"/>
      <c r="G100" s="393"/>
      <c r="H100" s="231" t="s">
        <v>1</v>
      </c>
      <c r="I100" s="228"/>
      <c r="J100" s="582"/>
      <c r="K100" s="282"/>
      <c r="L100" s="46"/>
      <c r="M100" s="428"/>
      <c r="N100" s="429"/>
      <c r="O100" s="429"/>
    </row>
    <row r="101" spans="1:15" ht="27">
      <c r="A101" s="281"/>
      <c r="B101" s="233" t="str">
        <f>'Calc Sheet 20_21'!B1029</f>
        <v>7.1.1 Conversion of a single register meter to Single phase Pre-payment where meterbox exist on erf boundary - ( No charge for Prepayment  meter)</v>
      </c>
      <c r="C101" s="234"/>
      <c r="D101" s="213">
        <f>'Calc Sheet 20_21'!H1051</f>
        <v>1610</v>
      </c>
      <c r="E101" s="537">
        <v>1410</v>
      </c>
      <c r="F101" s="627">
        <v>1610</v>
      </c>
      <c r="G101" s="393">
        <f>'Calc Sheet 20_21'!I1051</f>
        <v>1990</v>
      </c>
      <c r="H101" s="240">
        <f aca="true" t="shared" si="0" ref="H101:H112">(G101-F101)/F101</f>
        <v>0.2360248447204969</v>
      </c>
      <c r="I101" s="241">
        <f aca="true" t="shared" si="1" ref="I101:I112">G101*I$3</f>
        <v>298.5</v>
      </c>
      <c r="J101" s="583">
        <f aca="true" t="shared" si="2" ref="J101:J112">G101+I101</f>
        <v>2288.5</v>
      </c>
      <c r="K101" s="283">
        <v>9100033030416</v>
      </c>
      <c r="M101" s="430">
        <f>+$J101*(1+'Unit tariffs'!$F$2)</f>
        <v>2384.617</v>
      </c>
      <c r="N101" s="431">
        <f>+$M101*(1+'Unit tariffs'!$F$2)</f>
        <v>2484.770914</v>
      </c>
      <c r="O101" s="431">
        <f>+$N101*(1+'Unit tariffs'!$F$2)</f>
        <v>2589.1312923880005</v>
      </c>
    </row>
    <row r="102" spans="1:15" ht="27">
      <c r="A102" s="281"/>
      <c r="B102" s="233" t="str">
        <f>'Calc Sheet 20_21'!B1058</f>
        <v>7.1.2 Conversion of Three phase (TOU/kWH) connection to Prepayment meter - Existing meterbox on erf boundary</v>
      </c>
      <c r="C102" s="234" t="s">
        <v>296</v>
      </c>
      <c r="D102" s="213">
        <f>'Calc Sheet 20_21'!H1081</f>
        <v>9900</v>
      </c>
      <c r="E102" s="537">
        <v>9390</v>
      </c>
      <c r="F102" s="627">
        <v>9900</v>
      </c>
      <c r="G102" s="393">
        <f>'Calc Sheet 20_21'!I1081</f>
        <v>1760</v>
      </c>
      <c r="H102" s="240">
        <f t="shared" si="0"/>
        <v>-0.8222222222222222</v>
      </c>
      <c r="I102" s="241">
        <f t="shared" si="1"/>
        <v>264</v>
      </c>
      <c r="J102" s="583">
        <f t="shared" si="2"/>
        <v>2024</v>
      </c>
      <c r="K102" s="283">
        <v>9100033030416</v>
      </c>
      <c r="M102" s="430">
        <f>+$J102*(1+'Unit tariffs'!$F$2)</f>
        <v>2109.0080000000003</v>
      </c>
      <c r="N102" s="431">
        <f>+$M102*(1+'Unit tariffs'!$F$2)</f>
        <v>2197.5863360000003</v>
      </c>
      <c r="O102" s="431">
        <f>+$N102*(1+'Unit tariffs'!$F$2)</f>
        <v>2289.8849621120003</v>
      </c>
    </row>
    <row r="103" spans="1:15" ht="14.25">
      <c r="A103" s="281"/>
      <c r="B103" s="233" t="str">
        <f>'Calc Sheet 20_21'!B1087</f>
        <v>7.1.3 Upgrade of single phase Urban connection to three phase - Time of Use Meter(TOU)            </v>
      </c>
      <c r="C103" s="234" t="s">
        <v>296</v>
      </c>
      <c r="D103" s="213">
        <f>'Calc Sheet 20_21'!H1119</f>
        <v>19520</v>
      </c>
      <c r="E103" s="537">
        <v>18190</v>
      </c>
      <c r="F103" s="627">
        <v>19520</v>
      </c>
      <c r="G103" s="393">
        <f>'Calc Sheet 20_21'!I1119</f>
        <v>20140</v>
      </c>
      <c r="H103" s="240">
        <f t="shared" si="0"/>
        <v>0.031762295081967214</v>
      </c>
      <c r="I103" s="241">
        <f t="shared" si="1"/>
        <v>3021</v>
      </c>
      <c r="J103" s="583">
        <f t="shared" si="2"/>
        <v>23161</v>
      </c>
      <c r="K103" s="283">
        <v>9100033030416</v>
      </c>
      <c r="M103" s="430">
        <f>+$J103*(1+'Unit tariffs'!$F$2)</f>
        <v>24133.762000000002</v>
      </c>
      <c r="N103" s="431">
        <f>+$M103*(1+'Unit tariffs'!$F$2)</f>
        <v>25147.380004000002</v>
      </c>
      <c r="O103" s="431">
        <f>+$N103*(1+'Unit tariffs'!$F$2)</f>
        <v>26203.569964168004</v>
      </c>
    </row>
    <row r="104" spans="1:15" ht="14.25">
      <c r="A104" s="281"/>
      <c r="B104" s="233" t="str">
        <f>'Calc Sheet 20_21'!B1124</f>
        <v>7.1.4 Upgrade of single phase Urban connection to three phase - Split pre-payment meter             </v>
      </c>
      <c r="C104" s="234" t="s">
        <v>296</v>
      </c>
      <c r="D104" s="213">
        <f>'Calc Sheet 20_21'!H1155</f>
        <v>12020</v>
      </c>
      <c r="E104" s="537">
        <v>10960</v>
      </c>
      <c r="F104" s="627">
        <v>12020</v>
      </c>
      <c r="G104" s="393">
        <f>'Calc Sheet 20_21'!I1155</f>
        <v>12760</v>
      </c>
      <c r="H104" s="240">
        <f t="shared" si="0"/>
        <v>0.06156405990016639</v>
      </c>
      <c r="I104" s="241">
        <f t="shared" si="1"/>
        <v>1914</v>
      </c>
      <c r="J104" s="583">
        <f t="shared" si="2"/>
        <v>14674</v>
      </c>
      <c r="K104" s="283">
        <v>9100033030416</v>
      </c>
      <c r="M104" s="430">
        <f>+$J104*(1+'Unit tariffs'!$F$2)</f>
        <v>15290.308</v>
      </c>
      <c r="N104" s="431">
        <f>+$M104*(1+'Unit tariffs'!$F$2)</f>
        <v>15932.500936000002</v>
      </c>
      <c r="O104" s="431">
        <f>+$N104*(1+'Unit tariffs'!$F$2)</f>
        <v>16601.665975312004</v>
      </c>
    </row>
    <row r="105" spans="1:15" ht="14.25">
      <c r="A105" s="281"/>
      <c r="B105" s="233" t="str">
        <f>'Calc Sheet 20_21'!B1161</f>
        <v>8.1.5 Upgrading of single phase Urban connection to three phase - Time of Use Meter(TOU)            </v>
      </c>
      <c r="C105" s="234" t="s">
        <v>296</v>
      </c>
      <c r="D105" s="213">
        <f>'Calc Sheet 20_21'!H1192</f>
        <v>16970</v>
      </c>
      <c r="E105" s="537">
        <v>15890</v>
      </c>
      <c r="F105" s="627">
        <v>16970</v>
      </c>
      <c r="G105" s="393">
        <f>'Calc Sheet 20_21'!I1192</f>
        <v>17490</v>
      </c>
      <c r="H105" s="240">
        <f t="shared" si="0"/>
        <v>0.030642309958750738</v>
      </c>
      <c r="I105" s="241">
        <f t="shared" si="1"/>
        <v>2623.5</v>
      </c>
      <c r="J105" s="583">
        <f t="shared" si="2"/>
        <v>20113.5</v>
      </c>
      <c r="K105" s="283">
        <v>9100033030416</v>
      </c>
      <c r="M105" s="430">
        <f>+$J105*(1+'Unit tariffs'!$F$2)</f>
        <v>20958.267</v>
      </c>
      <c r="N105" s="431">
        <f>+$M105*(1+'Unit tariffs'!$F$2)</f>
        <v>21838.514214</v>
      </c>
      <c r="O105" s="431">
        <f>+$N105*(1+'Unit tariffs'!$F$2)</f>
        <v>22755.731810988</v>
      </c>
    </row>
    <row r="106" spans="1:15" ht="14.25">
      <c r="A106" s="281"/>
      <c r="B106" s="233" t="str">
        <f>'Calc Sheet 20_21'!B1196</f>
        <v>7.1.6 Upgrade of single phase Urban connection to three phase - Split pre-payment meter            </v>
      </c>
      <c r="C106" s="234" t="s">
        <v>296</v>
      </c>
      <c r="D106" s="213">
        <f>'Calc Sheet 20_21'!H1226</f>
        <v>15370</v>
      </c>
      <c r="E106" s="537">
        <v>14355</v>
      </c>
      <c r="F106" s="627">
        <v>15370</v>
      </c>
      <c r="G106" s="393">
        <f>'Calc Sheet 20_21'!I1226</f>
        <v>15460</v>
      </c>
      <c r="H106" s="240">
        <f t="shared" si="0"/>
        <v>0.005855562784645413</v>
      </c>
      <c r="I106" s="241">
        <f t="shared" si="1"/>
        <v>2319</v>
      </c>
      <c r="J106" s="583">
        <f t="shared" si="2"/>
        <v>17779</v>
      </c>
      <c r="K106" s="283">
        <v>9100033030416</v>
      </c>
      <c r="M106" s="430">
        <f>+$J106*(1+'Unit tariffs'!$F$2)</f>
        <v>18525.718</v>
      </c>
      <c r="N106" s="431">
        <f>+$M106*(1+'Unit tariffs'!$F$2)</f>
        <v>19303.798156</v>
      </c>
      <c r="O106" s="431">
        <f>+$N106*(1+'Unit tariffs'!$F$2)</f>
        <v>20114.557678552002</v>
      </c>
    </row>
    <row r="107" spans="1:15" ht="14.25">
      <c r="A107" s="281"/>
      <c r="B107" s="233" t="str">
        <f>'Calc Sheet 20_21'!B1231</f>
        <v>7.1.7 Upgrade of single phase Peri-Urban connection to three phase -Time of Use Meter(TOU)  </v>
      </c>
      <c r="C107" s="234" t="s">
        <v>298</v>
      </c>
      <c r="D107" s="213">
        <f>'Calc Sheet 20_21'!H1263</f>
        <v>22380</v>
      </c>
      <c r="E107" s="537">
        <v>20570</v>
      </c>
      <c r="F107" s="627">
        <v>22380</v>
      </c>
      <c r="G107" s="393">
        <f>'Calc Sheet 20_21'!I1263</f>
        <v>21510</v>
      </c>
      <c r="H107" s="240">
        <f t="shared" si="0"/>
        <v>-0.0388739946380697</v>
      </c>
      <c r="I107" s="241">
        <f t="shared" si="1"/>
        <v>3226.5</v>
      </c>
      <c r="J107" s="583">
        <f t="shared" si="2"/>
        <v>24736.5</v>
      </c>
      <c r="K107" s="283">
        <v>9100033030416</v>
      </c>
      <c r="M107" s="430">
        <f>+$J107*(1+'Unit tariffs'!$F$2)</f>
        <v>25775.433</v>
      </c>
      <c r="N107" s="431">
        <f>+$M107*(1+'Unit tariffs'!$F$2)</f>
        <v>26858.001186</v>
      </c>
      <c r="O107" s="431">
        <f>+$N107*(1+'Unit tariffs'!$F$2)</f>
        <v>27986.037235812004</v>
      </c>
    </row>
    <row r="108" spans="1:15" ht="14.25">
      <c r="A108" s="281"/>
      <c r="B108" s="233" t="str">
        <f>'Calc Sheet 20_21'!B1268</f>
        <v>7.1.8 Upgrade of single phase Peri-Urban connection to three phase -Split pre-payment meter    </v>
      </c>
      <c r="C108" s="234" t="s">
        <v>298</v>
      </c>
      <c r="D108" s="213">
        <f>'Calc Sheet 20_21'!H1300</f>
        <v>25120</v>
      </c>
      <c r="E108" s="537">
        <v>23200</v>
      </c>
      <c r="F108" s="627">
        <v>25120</v>
      </c>
      <c r="G108" s="393">
        <f>'Calc Sheet 20_21'!I1300</f>
        <v>23390</v>
      </c>
      <c r="H108" s="240">
        <f t="shared" si="0"/>
        <v>-0.06886942675159236</v>
      </c>
      <c r="I108" s="241">
        <f t="shared" si="1"/>
        <v>3508.5</v>
      </c>
      <c r="J108" s="583">
        <f t="shared" si="2"/>
        <v>26898.5</v>
      </c>
      <c r="K108" s="283">
        <v>9100033030416</v>
      </c>
      <c r="M108" s="430">
        <f>+$J108*(1+'Unit tariffs'!$F$2)</f>
        <v>28028.237</v>
      </c>
      <c r="N108" s="431">
        <f>+$M108*(1+'Unit tariffs'!$F$2)</f>
        <v>29205.422954</v>
      </c>
      <c r="O108" s="431">
        <f>+$N108*(1+'Unit tariffs'!$F$2)</f>
        <v>30432.050718068003</v>
      </c>
    </row>
    <row r="109" spans="1:15" ht="14.25">
      <c r="A109" s="281"/>
      <c r="B109" s="233" t="str">
        <f>'Calc Sheet 20_21'!B1305</f>
        <v>7.1.9 Upgrade of single phase Peri-Urban connection to three phase -Time of Use Meter(TOU)  </v>
      </c>
      <c r="C109" s="234" t="s">
        <v>298</v>
      </c>
      <c r="D109" s="213">
        <f>'Calc Sheet 20_21'!H1337</f>
        <v>20530</v>
      </c>
      <c r="E109" s="537">
        <v>18810</v>
      </c>
      <c r="F109" s="627">
        <v>20530</v>
      </c>
      <c r="G109" s="393">
        <f>'Calc Sheet 20_21'!I1337</f>
        <v>22640</v>
      </c>
      <c r="H109" s="240">
        <f t="shared" si="0"/>
        <v>0.10277642474427667</v>
      </c>
      <c r="I109" s="241">
        <f t="shared" si="1"/>
        <v>3396</v>
      </c>
      <c r="J109" s="583">
        <f t="shared" si="2"/>
        <v>26036</v>
      </c>
      <c r="K109" s="283">
        <v>9100033030416</v>
      </c>
      <c r="M109" s="430">
        <f>+$J109*(1+'Unit tariffs'!$F$2)</f>
        <v>27129.512000000002</v>
      </c>
      <c r="N109" s="431">
        <f>+$M109*(1+'Unit tariffs'!$F$2)</f>
        <v>28268.951504000004</v>
      </c>
      <c r="O109" s="431">
        <f>+$N109*(1+'Unit tariffs'!$F$2)</f>
        <v>29456.247467168007</v>
      </c>
    </row>
    <row r="110" spans="1:15" ht="27">
      <c r="A110" s="281"/>
      <c r="B110" s="233" t="str">
        <f>'Calc Sheet 20_21'!B1342</f>
        <v>7.1.10 Conversion of single phase Peri-Urban connection to three phase - Split pre-payment meter      </v>
      </c>
      <c r="C110" s="234" t="s">
        <v>298</v>
      </c>
      <c r="D110" s="213">
        <f>'Calc Sheet 20_21'!H1373</f>
        <v>22180</v>
      </c>
      <c r="E110" s="537">
        <v>20540</v>
      </c>
      <c r="F110" s="627">
        <v>22180</v>
      </c>
      <c r="G110" s="393">
        <f>'Calc Sheet 20_21'!I1373</f>
        <v>20220</v>
      </c>
      <c r="H110" s="240">
        <f t="shared" si="0"/>
        <v>-0.08836789900811542</v>
      </c>
      <c r="I110" s="241">
        <f t="shared" si="1"/>
        <v>3033</v>
      </c>
      <c r="J110" s="583">
        <f t="shared" si="2"/>
        <v>23253</v>
      </c>
      <c r="K110" s="283">
        <v>9100033030416</v>
      </c>
      <c r="M110" s="430">
        <f>+$J110*(1+'Unit tariffs'!$F$2)</f>
        <v>24229.626</v>
      </c>
      <c r="N110" s="431">
        <f>+$M110*(1+'Unit tariffs'!$F$2)</f>
        <v>25247.270292</v>
      </c>
      <c r="O110" s="431">
        <f>+$N110*(1+'Unit tariffs'!$F$2)</f>
        <v>26307.655644264003</v>
      </c>
    </row>
    <row r="111" spans="1:15" ht="14.25">
      <c r="A111" s="281"/>
      <c r="B111" s="233" t="str">
        <f>'Calc Sheet 20_21'!B1378</f>
        <v>8.1.11 Shifting of meter to meter box on stand boundary - Domestic connection - Urban</v>
      </c>
      <c r="C111" s="234" t="s">
        <v>296</v>
      </c>
      <c r="D111" s="213">
        <f>'Calc Sheet 20_21'!H1385</f>
        <v>4680</v>
      </c>
      <c r="E111" s="538">
        <v>2230</v>
      </c>
      <c r="F111" s="627">
        <v>4680</v>
      </c>
      <c r="G111" s="393">
        <f>'Calc Sheet 20_21'!I1385</f>
        <v>4800</v>
      </c>
      <c r="H111" s="240">
        <f t="shared" si="0"/>
        <v>0.02564102564102564</v>
      </c>
      <c r="I111" s="241">
        <f t="shared" si="1"/>
        <v>720</v>
      </c>
      <c r="J111" s="583">
        <f t="shared" si="2"/>
        <v>5520</v>
      </c>
      <c r="K111" s="283">
        <v>9100033030416</v>
      </c>
      <c r="M111" s="430">
        <f>+$J111*(1+'Unit tariffs'!$F$2)</f>
        <v>5751.84</v>
      </c>
      <c r="N111" s="431">
        <f>+$M111*(1+'Unit tariffs'!$F$2)</f>
        <v>5993.417280000001</v>
      </c>
      <c r="O111" s="431">
        <f>+$N111*(1+'Unit tariffs'!$F$2)</f>
        <v>6245.140805760001</v>
      </c>
    </row>
    <row r="112" spans="1:15" ht="27">
      <c r="A112" s="281"/>
      <c r="B112" s="233" t="str">
        <f>'Calc Sheet 20_21'!B1390</f>
        <v>8.1.12 Shifting of connection - Pre-payment with ready board (per single connection) - Overhead only</v>
      </c>
      <c r="C112" s="234"/>
      <c r="D112" s="213">
        <f>'Calc Sheet 20_21'!H1414</f>
        <v>2060</v>
      </c>
      <c r="E112" s="537">
        <v>1840</v>
      </c>
      <c r="F112" s="627">
        <v>2060</v>
      </c>
      <c r="G112" s="393">
        <f>'Calc Sheet 20_21'!I1414</f>
        <v>2670</v>
      </c>
      <c r="H112" s="240">
        <f t="shared" si="0"/>
        <v>0.2961165048543689</v>
      </c>
      <c r="I112" s="241">
        <f t="shared" si="1"/>
        <v>400.5</v>
      </c>
      <c r="J112" s="583">
        <f t="shared" si="2"/>
        <v>3070.5</v>
      </c>
      <c r="K112" s="283">
        <v>9100033030416</v>
      </c>
      <c r="M112" s="430">
        <f>+$J112*(1+'Unit tariffs'!$F$2)</f>
        <v>3199.4610000000002</v>
      </c>
      <c r="N112" s="431">
        <f>+$M112*(1+'Unit tariffs'!$F$2)</f>
        <v>3333.8383620000004</v>
      </c>
      <c r="O112" s="431">
        <f>+$N112*(1+'Unit tariffs'!$F$2)</f>
        <v>3473.8595732040008</v>
      </c>
    </row>
    <row r="113" spans="1:15" ht="14.25">
      <c r="A113" s="281"/>
      <c r="B113" s="233" t="s">
        <v>1</v>
      </c>
      <c r="C113" s="234"/>
      <c r="D113" s="230" t="s">
        <v>1</v>
      </c>
      <c r="E113" s="536"/>
      <c r="F113" s="626" t="s">
        <v>1</v>
      </c>
      <c r="G113" s="232" t="s">
        <v>1</v>
      </c>
      <c r="H113" s="254" t="s">
        <v>1</v>
      </c>
      <c r="I113" s="242"/>
      <c r="J113" s="236"/>
      <c r="K113" s="284" t="s">
        <v>81</v>
      </c>
      <c r="M113" s="422"/>
      <c r="N113" s="423"/>
      <c r="O113" s="423"/>
    </row>
    <row r="114" spans="1:15" ht="21" customHeight="1">
      <c r="A114" s="298"/>
      <c r="B114" s="299" t="str">
        <f>'Calc Sheet 20_21'!B1419</f>
        <v>9. SPECIAL SERVICE LEVIES</v>
      </c>
      <c r="C114" s="300"/>
      <c r="D114" s="317"/>
      <c r="E114" s="534"/>
      <c r="F114" s="625"/>
      <c r="G114" s="304"/>
      <c r="H114" s="302"/>
      <c r="I114" s="303"/>
      <c r="J114" s="581"/>
      <c r="K114" s="322"/>
      <c r="M114" s="426"/>
      <c r="N114" s="427"/>
      <c r="O114" s="427"/>
    </row>
    <row r="115" spans="1:15" ht="14.25">
      <c r="A115" s="281"/>
      <c r="B115" s="233" t="s">
        <v>1</v>
      </c>
      <c r="C115" s="234"/>
      <c r="D115" s="230"/>
      <c r="E115" s="536"/>
      <c r="F115" s="626"/>
      <c r="G115" s="232"/>
      <c r="H115" s="231"/>
      <c r="I115" s="228"/>
      <c r="J115" s="582"/>
      <c r="K115" s="282"/>
      <c r="M115" s="428"/>
      <c r="N115" s="429"/>
      <c r="O115" s="429"/>
    </row>
    <row r="116" spans="1:15" ht="14.25">
      <c r="A116" s="281"/>
      <c r="B116" s="233" t="str">
        <f>'Calc Sheet 20_21'!B1421</f>
        <v>9.1.1 Electricity meter accuracy test at request by the consumer - Removal of meter</v>
      </c>
      <c r="C116" s="234"/>
      <c r="D116" s="213">
        <f>'Calc Sheet 20_21'!H1443</f>
        <v>1110</v>
      </c>
      <c r="E116" s="537">
        <v>390</v>
      </c>
      <c r="F116" s="627">
        <f>+'Calc Sheet 20_21'!H1443</f>
        <v>1110</v>
      </c>
      <c r="G116" s="393">
        <f>'Calc Sheet 20_21'!I1443</f>
        <v>1370</v>
      </c>
      <c r="H116" s="240">
        <f>(G116-F116)/F116</f>
        <v>0.23423423423423423</v>
      </c>
      <c r="I116" s="241">
        <f>G116*I$3</f>
        <v>205.5</v>
      </c>
      <c r="J116" s="583">
        <f>G116+I116</f>
        <v>1575.5</v>
      </c>
      <c r="K116" s="283">
        <v>9100033030416</v>
      </c>
      <c r="M116" s="430">
        <f>+$J116*(1+'Unit tariffs'!$F$2)</f>
        <v>1641.671</v>
      </c>
      <c r="N116" s="431">
        <f>+$M116*(1+'Unit tariffs'!$F$2)</f>
        <v>1710.621182</v>
      </c>
      <c r="O116" s="431">
        <f>+$N116*(1+'Unit tariffs'!$F$2)</f>
        <v>1782.4672716440002</v>
      </c>
    </row>
    <row r="117" spans="1:15" ht="14.25">
      <c r="A117" s="281"/>
      <c r="B117" s="233" t="str">
        <f>'Calc Sheet 20_21'!B1423</f>
        <v>       Meter to be removed by supplier for testing. Testing of the meter under item 9.1.2 or 9.1.3</v>
      </c>
      <c r="C117" s="234"/>
      <c r="D117" s="213"/>
      <c r="E117" s="537"/>
      <c r="F117" s="627"/>
      <c r="G117" s="393"/>
      <c r="H117" s="254" t="s">
        <v>1</v>
      </c>
      <c r="I117" s="242"/>
      <c r="J117" s="236"/>
      <c r="K117" s="284"/>
      <c r="M117" s="422"/>
      <c r="N117" s="423"/>
      <c r="O117" s="423"/>
    </row>
    <row r="118" spans="1:15" ht="14.25">
      <c r="A118" s="281"/>
      <c r="B118" s="233" t="str">
        <f>'Calc Sheet 20_21'!B1448</f>
        <v>9.1.2 Request for accuracy test of electricity meter - Testing of meter (1 or 3 phase)</v>
      </c>
      <c r="C118" s="234"/>
      <c r="D118" s="213">
        <f>'Calc Sheet 20_21'!H1465</f>
        <v>284</v>
      </c>
      <c r="E118" s="538">
        <v>140</v>
      </c>
      <c r="F118" s="627">
        <f>+'Calc Sheet 20_21'!H1465</f>
        <v>284</v>
      </c>
      <c r="G118" s="393">
        <f>'Calc Sheet 20_21'!I1465</f>
        <v>311</v>
      </c>
      <c r="H118" s="240">
        <f>(G118-F118)/F118</f>
        <v>0.09507042253521127</v>
      </c>
      <c r="I118" s="241">
        <f>G118*I$3</f>
        <v>46.65</v>
      </c>
      <c r="J118" s="583">
        <f>G118+I118</f>
        <v>357.65</v>
      </c>
      <c r="K118" s="283">
        <v>9100033030416</v>
      </c>
      <c r="M118" s="430">
        <f>+$J118*(1+'Unit tariffs'!$F$2)</f>
        <v>372.6713</v>
      </c>
      <c r="N118" s="431">
        <f>+$M118*(1+'Unit tariffs'!$F$2)</f>
        <v>388.3234946</v>
      </c>
      <c r="O118" s="431">
        <f>+$N118*(1+'Unit tariffs'!$F$2)</f>
        <v>404.6330813732</v>
      </c>
    </row>
    <row r="119" spans="1:15" ht="14.25">
      <c r="A119" s="281"/>
      <c r="B119" s="233" t="str">
        <f>'Calc Sheet 20_21'!B1450</f>
        <v>      Meter to be removed under item 9.1.1</v>
      </c>
      <c r="C119" s="234"/>
      <c r="D119" s="213"/>
      <c r="E119" s="537"/>
      <c r="F119" s="627"/>
      <c r="G119" s="393"/>
      <c r="H119" s="254" t="s">
        <v>1</v>
      </c>
      <c r="I119" s="242"/>
      <c r="J119" s="236"/>
      <c r="K119" s="284"/>
      <c r="M119" s="422"/>
      <c r="N119" s="423"/>
      <c r="O119" s="423"/>
    </row>
    <row r="120" spans="1:15" ht="14.25">
      <c r="A120" s="281"/>
      <c r="B120" s="233" t="str">
        <f>'Calc Sheet 20_21'!B1472</f>
        <v>9.1.3 Request for accuracy test of Bulk electricity meter - Testing of meter</v>
      </c>
      <c r="C120" s="234"/>
      <c r="D120" s="213">
        <f>'Calc Sheet 20_21'!H1489</f>
        <v>1260</v>
      </c>
      <c r="E120" s="538">
        <v>515</v>
      </c>
      <c r="F120" s="627">
        <f>+'Calc Sheet 20_21'!H1489</f>
        <v>1260</v>
      </c>
      <c r="G120" s="393">
        <f>'Calc Sheet 20_21'!I1489</f>
        <v>1170</v>
      </c>
      <c r="H120" s="240">
        <f>(G120-F120)/F120</f>
        <v>-0.07142857142857142</v>
      </c>
      <c r="I120" s="241">
        <f>G120*I$3</f>
        <v>175.5</v>
      </c>
      <c r="J120" s="583">
        <f>G120+I120</f>
        <v>1345.5</v>
      </c>
      <c r="K120" s="283">
        <v>9100033030416</v>
      </c>
      <c r="M120" s="430">
        <f>+$J120*(1+'Unit tariffs'!$F$2)</f>
        <v>1402.011</v>
      </c>
      <c r="N120" s="431">
        <f>+$M120*(1+'Unit tariffs'!$F$2)</f>
        <v>1460.895462</v>
      </c>
      <c r="O120" s="431">
        <f>+$N120*(1+'Unit tariffs'!$F$2)</f>
        <v>1522.253071404</v>
      </c>
    </row>
    <row r="121" spans="1:15" ht="14.25">
      <c r="A121" s="281"/>
      <c r="B121" s="233" t="str">
        <f>'Calc Sheet 20_21'!B1474</f>
        <v>      Meter to be removed under item 9.1.1</v>
      </c>
      <c r="C121" s="234"/>
      <c r="D121" s="213"/>
      <c r="E121" s="537"/>
      <c r="F121" s="627"/>
      <c r="G121" s="393"/>
      <c r="H121" s="254"/>
      <c r="I121" s="242"/>
      <c r="J121" s="236"/>
      <c r="K121" s="284"/>
      <c r="M121" s="422"/>
      <c r="N121" s="423"/>
      <c r="O121" s="423"/>
    </row>
    <row r="122" spans="1:15" ht="33" customHeight="1">
      <c r="A122" s="281"/>
      <c r="B122" s="233" t="str">
        <f>'Calc Sheet 20_21'!B1491</f>
        <v>9.1.4 Hiring of Genset</v>
      </c>
      <c r="C122" s="234"/>
      <c r="D122" s="213">
        <f>'Calc Sheet 20_21'!H1512</f>
        <v>10080</v>
      </c>
      <c r="E122" s="537">
        <v>5855</v>
      </c>
      <c r="F122" s="627">
        <f>+'Calc Sheet 20_21'!H1512</f>
        <v>10080</v>
      </c>
      <c r="G122" s="393">
        <f>'Calc Sheet 20_21'!I1512</f>
        <v>14740</v>
      </c>
      <c r="H122" s="240">
        <f>(G122-F122)/F122</f>
        <v>0.4623015873015873</v>
      </c>
      <c r="I122" s="241">
        <f>G122*I$3</f>
        <v>2211</v>
      </c>
      <c r="J122" s="583">
        <f>G122+I122</f>
        <v>16951</v>
      </c>
      <c r="K122" s="283">
        <v>9100033030416</v>
      </c>
      <c r="M122" s="430">
        <f>+$J122*(1+'Unit tariffs'!$F$2)</f>
        <v>17662.942</v>
      </c>
      <c r="N122" s="431">
        <f>+$M122*(1+'Unit tariffs'!$F$2)</f>
        <v>18404.785563999998</v>
      </c>
      <c r="O122" s="431">
        <f>+$N122*(1+'Unit tariffs'!$F$2)</f>
        <v>19177.786557688</v>
      </c>
    </row>
    <row r="123" spans="1:15" ht="33" customHeight="1">
      <c r="A123" s="281"/>
      <c r="B123" s="233" t="str">
        <f>'Calc Sheet 20_21'!B1516:G1516</f>
        <v>9.5 Fine for tampring RMD 1 Ph: Normal 1Ph meter for single residential use</v>
      </c>
      <c r="C123" s="234"/>
      <c r="D123" s="213"/>
      <c r="E123" s="537"/>
      <c r="F123" s="627">
        <f>'Calc Sheet 20_21'!H1529</f>
        <v>5700</v>
      </c>
      <c r="G123" s="393">
        <f>'Calc Sheet 20_21'!I1529</f>
        <v>6200</v>
      </c>
      <c r="H123" s="240">
        <f>(G123-F123)/F123</f>
        <v>0.08771929824561403</v>
      </c>
      <c r="I123" s="241">
        <f>G123*I$3</f>
        <v>930</v>
      </c>
      <c r="J123" s="583">
        <f>G123+I123</f>
        <v>7130</v>
      </c>
      <c r="K123" s="283">
        <v>9100033030417</v>
      </c>
      <c r="M123" s="430">
        <f>+$J123*(1+'Unit tariffs'!$F$2)</f>
        <v>7429.46</v>
      </c>
      <c r="N123" s="431">
        <f>+$M123*(1+'Unit tariffs'!$F$2)</f>
        <v>7741.49732</v>
      </c>
      <c r="O123" s="431">
        <f>+$N123*(1+'Unit tariffs'!$F$2)</f>
        <v>8066.64020744</v>
      </c>
    </row>
    <row r="124" spans="1:15" ht="29.25" customHeight="1">
      <c r="A124" s="281"/>
      <c r="B124" s="530" t="str">
        <f>'Calc Sheet 20_21'!B1533:G1533</f>
        <v>9.6 Fine for tampring RMD 1Ph: Normal 1Ph meter for multiple residential use (cottages, room rental or backrooms)</v>
      </c>
      <c r="C124" s="265"/>
      <c r="D124" s="213">
        <v>4943.73</v>
      </c>
      <c r="E124" s="537"/>
      <c r="F124" s="640">
        <f>'Calc Sheet 20_21'!H1545</f>
        <v>8600</v>
      </c>
      <c r="G124" s="393">
        <f>'Calc Sheet 20_21'!I1545</f>
        <v>9200</v>
      </c>
      <c r="H124" s="240">
        <f aca="true" t="shared" si="3" ref="H124:H130">(G124-F124)/F124</f>
        <v>0.06976744186046512</v>
      </c>
      <c r="I124" s="241">
        <f>G124*I$3</f>
        <v>1380</v>
      </c>
      <c r="J124" s="583">
        <f>G124+I124</f>
        <v>10580</v>
      </c>
      <c r="K124" s="283">
        <v>9100033030416</v>
      </c>
      <c r="M124" s="430">
        <f>+$J124*(1+'Unit tariffs'!$F$2)</f>
        <v>11024.36</v>
      </c>
      <c r="N124" s="431">
        <f>+$M124*(1+'Unit tariffs'!$F$2)</f>
        <v>11487.38312</v>
      </c>
      <c r="O124" s="431">
        <f>+$N124*(1+'Unit tariffs'!$F$2)</f>
        <v>11969.853211040001</v>
      </c>
    </row>
    <row r="125" spans="1:15" ht="39.75">
      <c r="A125" s="281"/>
      <c r="B125" s="233" t="str">
        <f>'Calc Sheet 20_21'!B1552</f>
        <v>9.7 Reinstatement of supply following disconnection of Std 3 phase service -  Where meter was damaged or persistant tampering occurred (RMD 3 Ph) - Replaced with 100A Time of Use meter (TOU) </v>
      </c>
      <c r="C125" s="234"/>
      <c r="D125" s="213">
        <f>'Calc Sheet 20_21'!H1576</f>
        <v>11360</v>
      </c>
      <c r="E125" s="537">
        <v>10470</v>
      </c>
      <c r="F125" s="627">
        <f>+'Calc Sheet 20_21'!H1576</f>
        <v>11360</v>
      </c>
      <c r="G125" s="393">
        <f>'Calc Sheet 20_21'!I1576</f>
        <v>12170</v>
      </c>
      <c r="H125" s="240">
        <f>(G125-F125)/F125</f>
        <v>0.07130281690140845</v>
      </c>
      <c r="I125" s="241">
        <f>G125*I$3</f>
        <v>1825.5</v>
      </c>
      <c r="J125" s="583">
        <f>G125+I125</f>
        <v>13995.5</v>
      </c>
      <c r="K125" s="283">
        <v>9100033030416</v>
      </c>
      <c r="M125" s="430">
        <f>+$J125*(1+'Unit tariffs'!$F$2)</f>
        <v>14583.311</v>
      </c>
      <c r="N125" s="431">
        <f>+$M125*(1+'Unit tariffs'!$F$2)</f>
        <v>15195.810062</v>
      </c>
      <c r="O125" s="431">
        <f>+$N125*(1+'Unit tariffs'!$F$2)</f>
        <v>15834.034084604002</v>
      </c>
    </row>
    <row r="126" spans="1:15" ht="29.25" customHeight="1">
      <c r="A126" s="281"/>
      <c r="B126" s="530" t="str">
        <f>'Calc Sheet 20_21'!B1580:G1580</f>
        <v>9.7.1 Fine for tampring RMD 3ph: Normal 3Ph meter for single residential use</v>
      </c>
      <c r="C126" s="234"/>
      <c r="D126" s="213">
        <v>0</v>
      </c>
      <c r="E126" s="537"/>
      <c r="F126" s="627">
        <f>'Calc Sheet 20_21'!H1593</f>
        <v>13200</v>
      </c>
      <c r="G126" s="393">
        <f>'Calc Sheet 20_21'!I1593</f>
        <v>15400</v>
      </c>
      <c r="H126" s="240">
        <f t="shared" si="3"/>
        <v>0.16666666666666666</v>
      </c>
      <c r="I126" s="241">
        <f>G126*I$3</f>
        <v>2310</v>
      </c>
      <c r="J126" s="583">
        <f>G126+I126</f>
        <v>17710</v>
      </c>
      <c r="K126" s="283">
        <v>9100033030416</v>
      </c>
      <c r="M126" s="430">
        <f>+$J126*(1+'Unit tariffs'!$F$2)</f>
        <v>18453.82</v>
      </c>
      <c r="N126" s="431">
        <f>+$M126*(1+'Unit tariffs'!$F$2)</f>
        <v>19228.88044</v>
      </c>
      <c r="O126" s="431">
        <f>+$N126*(1+'Unit tariffs'!$F$2)</f>
        <v>20036.49341848</v>
      </c>
    </row>
    <row r="127" spans="1:15" ht="33" customHeight="1">
      <c r="A127" s="281"/>
      <c r="B127" s="530" t="str">
        <f>'Calc Sheet 20_21'!B1598:G1598</f>
        <v>9.7.2 Fine for tampring RMD 3Ph: Normal 3Ph meter for multiple residential use (cottages, room rental or backrooms)</v>
      </c>
      <c r="C127" s="234"/>
      <c r="D127" s="213">
        <v>0</v>
      </c>
      <c r="E127" s="537"/>
      <c r="F127" s="627">
        <f>'Calc Sheet 20_21'!H1611</f>
        <v>26300</v>
      </c>
      <c r="G127" s="393">
        <f>'Calc Sheet 20_21'!I1611</f>
        <v>30800</v>
      </c>
      <c r="H127" s="240">
        <f t="shared" si="3"/>
        <v>0.17110266159695817</v>
      </c>
      <c r="I127" s="241">
        <f>G127*I$3</f>
        <v>4620</v>
      </c>
      <c r="J127" s="583">
        <f>G127+I127</f>
        <v>35420</v>
      </c>
      <c r="K127" s="283">
        <v>9100033030416</v>
      </c>
      <c r="M127" s="430">
        <f>+$J127*(1+'Unit tariffs'!$F$2)</f>
        <v>36907.64</v>
      </c>
      <c r="N127" s="431">
        <f>+$M127*(1+'Unit tariffs'!$F$2)</f>
        <v>38457.76088</v>
      </c>
      <c r="O127" s="431">
        <f>+$N127*(1+'Unit tariffs'!$F$2)</f>
        <v>40072.98683696</v>
      </c>
    </row>
    <row r="128" spans="1:15" ht="30.75" customHeight="1">
      <c r="A128" s="281"/>
      <c r="B128" s="233" t="str">
        <f>'Calc Sheet 20_21'!B1618</f>
        <v>9.8. Illigal Shifting of Meter</v>
      </c>
      <c r="C128" s="234"/>
      <c r="D128" s="213">
        <f>+'Calc Sheet 20_21'!H1669</f>
        <v>6410</v>
      </c>
      <c r="E128" s="537">
        <v>5990</v>
      </c>
      <c r="F128" s="627">
        <f>'Calc Sheet 20_21'!H1641</f>
        <v>6410</v>
      </c>
      <c r="G128" s="393">
        <f>'Calc Sheet 20_21'!I1641</f>
        <v>9390</v>
      </c>
      <c r="H128" s="240">
        <f>(G128-F128)/F128</f>
        <v>0.46489859594383776</v>
      </c>
      <c r="I128" s="241">
        <f>G128*I$3</f>
        <v>1408.5</v>
      </c>
      <c r="J128" s="583">
        <f>G128+I128</f>
        <v>10798.5</v>
      </c>
      <c r="K128" s="283">
        <v>9100033030416</v>
      </c>
      <c r="M128" s="430">
        <f>+$J128*(1+'Unit tariffs'!$F$2)</f>
        <v>11252.037</v>
      </c>
      <c r="N128" s="431">
        <f>+$M128*(1+'Unit tariffs'!$F$2)</f>
        <v>11724.622554000001</v>
      </c>
      <c r="O128" s="431">
        <f>+$N128*(1+'Unit tariffs'!$F$2)</f>
        <v>12217.056701268002</v>
      </c>
    </row>
    <row r="129" spans="1:15" ht="29.25" customHeight="1">
      <c r="A129" s="281"/>
      <c r="B129" s="530" t="str">
        <f>'Calc Sheet 20_21'!B1646</f>
        <v>9.9 Reinstatement of supply following disconnection of service by CENTLEC - 1Phase pre-payment meter damaged or persistent tampering (PPD)</v>
      </c>
      <c r="C129" s="234"/>
      <c r="D129" s="213">
        <v>4943.73</v>
      </c>
      <c r="E129" s="537"/>
      <c r="F129" s="627">
        <f>'Calc Sheet 20_21'!H1669</f>
        <v>6410</v>
      </c>
      <c r="G129" s="393">
        <f>'Calc Sheet 20_21'!I1669</f>
        <v>7590</v>
      </c>
      <c r="H129" s="240">
        <f t="shared" si="3"/>
        <v>0.18408736349453977</v>
      </c>
      <c r="I129" s="241">
        <f>G129*I$3</f>
        <v>1138.5</v>
      </c>
      <c r="J129" s="583">
        <f>G129+I129</f>
        <v>8728.5</v>
      </c>
      <c r="K129" s="283">
        <v>9100033030416</v>
      </c>
      <c r="M129" s="430">
        <f>+$J129*(1+'Unit tariffs'!$F$2)</f>
        <v>9095.097</v>
      </c>
      <c r="N129" s="431">
        <f>+$M129*(1+'Unit tariffs'!$F$2)</f>
        <v>9477.091074</v>
      </c>
      <c r="O129" s="431">
        <f>+$N129*(1+'Unit tariffs'!$F$2)</f>
        <v>9875.128899108</v>
      </c>
    </row>
    <row r="130" spans="1:15" ht="33" customHeight="1">
      <c r="A130" s="281"/>
      <c r="B130" s="530" t="str">
        <f>'Calc Sheet 20_21'!B1691:G1691</f>
        <v>9.9.2 Fine for tampring PPD: Normal 1Ph Prepaid meter for multiple residential use (cottages, room rental or backrooms)</v>
      </c>
      <c r="C130" s="234"/>
      <c r="D130" s="213">
        <v>0</v>
      </c>
      <c r="E130" s="537"/>
      <c r="F130" s="627">
        <f>'Calc Sheet 20_21'!H1704</f>
        <v>7900</v>
      </c>
      <c r="G130" s="393">
        <f>'Calc Sheet 20_21'!I1704</f>
        <v>9200</v>
      </c>
      <c r="H130" s="240">
        <f t="shared" si="3"/>
        <v>0.16455696202531644</v>
      </c>
      <c r="I130" s="241">
        <f>G130*I$3</f>
        <v>1380</v>
      </c>
      <c r="J130" s="583">
        <f>G130+I130</f>
        <v>10580</v>
      </c>
      <c r="K130" s="283">
        <v>9100033030416</v>
      </c>
      <c r="M130" s="430">
        <f>+$J130*(1+'Unit tariffs'!$F$2)</f>
        <v>11024.36</v>
      </c>
      <c r="N130" s="431">
        <f>+$M130*(1+'Unit tariffs'!$F$2)</f>
        <v>11487.38312</v>
      </c>
      <c r="O130" s="431">
        <f>+$N130*(1+'Unit tariffs'!$F$2)</f>
        <v>11969.853211040001</v>
      </c>
    </row>
    <row r="131" spans="1:15" ht="13.5" customHeight="1" thickBot="1">
      <c r="A131" s="378"/>
      <c r="B131" s="290"/>
      <c r="C131" s="291"/>
      <c r="D131" s="374"/>
      <c r="E131" s="552"/>
      <c r="F131" s="642"/>
      <c r="G131" s="400"/>
      <c r="H131" s="375"/>
      <c r="I131" s="376"/>
      <c r="J131" s="589"/>
      <c r="K131" s="377"/>
      <c r="M131" s="440"/>
      <c r="N131" s="441"/>
      <c r="O131" s="441"/>
    </row>
    <row r="132" spans="1:15" ht="15">
      <c r="A132" s="273"/>
      <c r="B132" s="274" t="str">
        <f>B1</f>
        <v>CENTLEC : ELECTRICITY SERVICES COSTS FOR MANGAUNG METRO</v>
      </c>
      <c r="C132" s="388"/>
      <c r="D132" s="382" t="s">
        <v>74</v>
      </c>
      <c r="E132" s="545"/>
      <c r="F132" s="634" t="s">
        <v>74</v>
      </c>
      <c r="G132" s="384" t="s">
        <v>74</v>
      </c>
      <c r="H132" s="383" t="s">
        <v>85</v>
      </c>
      <c r="I132" s="55" t="s">
        <v>470</v>
      </c>
      <c r="J132" s="384" t="s">
        <v>138</v>
      </c>
      <c r="K132" s="385" t="s">
        <v>75</v>
      </c>
      <c r="M132" s="694" t="s">
        <v>138</v>
      </c>
      <c r="N132" s="695" t="s">
        <v>138</v>
      </c>
      <c r="O132" s="695" t="s">
        <v>138</v>
      </c>
    </row>
    <row r="133" spans="1:15" ht="14.25">
      <c r="A133" s="281"/>
      <c r="B133" s="239"/>
      <c r="C133" s="238"/>
      <c r="D133" s="340" t="s">
        <v>77</v>
      </c>
      <c r="E133" s="532"/>
      <c r="F133" s="623" t="s">
        <v>77</v>
      </c>
      <c r="G133" s="236" t="s">
        <v>77</v>
      </c>
      <c r="H133" s="339" t="s">
        <v>86</v>
      </c>
      <c r="I133" s="665">
        <f>+'Unit tariffs'!F$3</f>
        <v>0.15</v>
      </c>
      <c r="J133" s="236" t="s">
        <v>139</v>
      </c>
      <c r="K133" s="337" t="s">
        <v>78</v>
      </c>
      <c r="M133" s="691" t="s">
        <v>139</v>
      </c>
      <c r="N133" s="692" t="s">
        <v>139</v>
      </c>
      <c r="O133" s="692" t="s">
        <v>139</v>
      </c>
    </row>
    <row r="134" spans="1:15" ht="14.25">
      <c r="A134" s="281"/>
      <c r="B134" s="239"/>
      <c r="C134" s="238"/>
      <c r="D134" s="340" t="str">
        <f>D$4</f>
        <v>2016/2017</v>
      </c>
      <c r="E134" s="532"/>
      <c r="F134" s="690" t="str">
        <f>'Calc Sheet 20_21'!$H$11</f>
        <v>2020/2021</v>
      </c>
      <c r="G134" s="236" t="str">
        <f>'Calc Sheet 20_21'!$I$11</f>
        <v>2021/2022</v>
      </c>
      <c r="H134" s="339" t="str">
        <f>G134</f>
        <v>2021/2022</v>
      </c>
      <c r="I134" s="55" t="str">
        <f>G134</f>
        <v>2021/2022</v>
      </c>
      <c r="J134" s="236" t="str">
        <f>I134</f>
        <v>2021/2022</v>
      </c>
      <c r="K134" s="337" t="s">
        <v>79</v>
      </c>
      <c r="M134" s="691" t="s">
        <v>630</v>
      </c>
      <c r="N134" s="692" t="s">
        <v>631</v>
      </c>
      <c r="O134" s="692" t="s">
        <v>632</v>
      </c>
    </row>
    <row r="135" spans="1:15" ht="15.75" thickBot="1">
      <c r="A135" s="305"/>
      <c r="B135" s="349" t="s">
        <v>105</v>
      </c>
      <c r="C135" s="307"/>
      <c r="D135" s="343" t="s">
        <v>80</v>
      </c>
      <c r="E135" s="533"/>
      <c r="F135" s="624" t="s">
        <v>80</v>
      </c>
      <c r="G135" s="346" t="s">
        <v>80</v>
      </c>
      <c r="H135" s="344"/>
      <c r="I135" s="345"/>
      <c r="J135" s="346"/>
      <c r="K135" s="347"/>
      <c r="M135" s="424"/>
      <c r="N135" s="425"/>
      <c r="O135" s="425"/>
    </row>
    <row r="136" spans="1:15" ht="27" thickTop="1">
      <c r="A136" s="281"/>
      <c r="B136" s="530" t="str">
        <f>'Calc Sheet 20_21'!B1709</f>
        <v>9.10 Reinstatement of supply following disconnection of service by CENTLEC  - 3 Phase pre-payment meter</v>
      </c>
      <c r="C136" s="234"/>
      <c r="D136" s="213">
        <f>+'Calc Sheet 20_21'!H1734</f>
        <v>11890</v>
      </c>
      <c r="E136" s="537">
        <v>11360</v>
      </c>
      <c r="F136" s="393">
        <f>'Calc Sheet 20_21'!H1734</f>
        <v>11890</v>
      </c>
      <c r="G136" s="393">
        <f>'Calc Sheet 20_21'!I1734</f>
        <v>14120</v>
      </c>
      <c r="H136" s="240">
        <f>(G136-F136)/F136</f>
        <v>0.18755256518082422</v>
      </c>
      <c r="I136" s="241">
        <f aca="true" t="shared" si="4" ref="I136:I151">G136*I$3</f>
        <v>2118</v>
      </c>
      <c r="J136" s="583">
        <f aca="true" t="shared" si="5" ref="J136:J151">G136+I136</f>
        <v>16238</v>
      </c>
      <c r="K136" s="283">
        <v>9100033030416</v>
      </c>
      <c r="M136" s="430">
        <f>+$J136*(1+'Unit tariffs'!$F$2)</f>
        <v>16919.996</v>
      </c>
      <c r="N136" s="431">
        <f>+$M136*(1+'Unit tariffs'!$F$2)</f>
        <v>17630.635832</v>
      </c>
      <c r="O136" s="431">
        <f>+$N136*(1+'Unit tariffs'!$F$2)</f>
        <v>18371.122536944</v>
      </c>
    </row>
    <row r="137" spans="1:15" ht="29.25" customHeight="1">
      <c r="A137" s="281"/>
      <c r="B137" s="530" t="str">
        <f>'Calc Sheet 20_21'!B1738:G1738</f>
        <v>9.10.1 Fine for tampring PPD: Normal 3Ph Prepaid meter for single residential use</v>
      </c>
      <c r="C137" s="234"/>
      <c r="D137" s="213">
        <v>0</v>
      </c>
      <c r="E137" s="537"/>
      <c r="F137" s="393">
        <f>'Calc Sheet 20_21'!H1751</f>
        <v>13200</v>
      </c>
      <c r="G137" s="393">
        <f>'Calc Sheet 20_21'!I1751</f>
        <v>15400</v>
      </c>
      <c r="H137" s="240">
        <f>(G137-F137)/F137</f>
        <v>0.16666666666666666</v>
      </c>
      <c r="I137" s="241">
        <f t="shared" si="4"/>
        <v>2310</v>
      </c>
      <c r="J137" s="583">
        <f t="shared" si="5"/>
        <v>17710</v>
      </c>
      <c r="K137" s="283">
        <v>9100033030416</v>
      </c>
      <c r="M137" s="430">
        <f>+$J137*(1+'Unit tariffs'!$F$2)</f>
        <v>18453.82</v>
      </c>
      <c r="N137" s="431">
        <f>+$M137*(1+'Unit tariffs'!$F$2)</f>
        <v>19228.88044</v>
      </c>
      <c r="O137" s="431">
        <f>+$N137*(1+'Unit tariffs'!$F$2)</f>
        <v>20036.49341848</v>
      </c>
    </row>
    <row r="138" spans="1:15" ht="33" customHeight="1">
      <c r="A138" s="281"/>
      <c r="B138" s="530" t="str">
        <f>'Calc Sheet 20_21'!B1775</f>
        <v>9.11 Reinstatement of supply by  Centlec (SOC) Ltd</v>
      </c>
      <c r="C138" s="234"/>
      <c r="D138" s="213">
        <v>0</v>
      </c>
      <c r="E138" s="537"/>
      <c r="F138" s="393">
        <f>'Calc Sheet 20_21'!H1796</f>
        <v>793</v>
      </c>
      <c r="G138" s="393">
        <f>'Calc Sheet 20_21'!I1796</f>
        <v>950</v>
      </c>
      <c r="H138" s="240">
        <f>(G138-F138)/F138</f>
        <v>0.19798234552332913</v>
      </c>
      <c r="I138" s="241">
        <f t="shared" si="4"/>
        <v>142.5</v>
      </c>
      <c r="J138" s="583">
        <f t="shared" si="5"/>
        <v>1092.5</v>
      </c>
      <c r="K138" s="283">
        <v>9100033030416</v>
      </c>
      <c r="M138" s="430">
        <f>+$J138*(1+'Unit tariffs'!$F$2)</f>
        <v>1138.385</v>
      </c>
      <c r="N138" s="431">
        <f>+$M138*(1+'Unit tariffs'!$F$2)</f>
        <v>1186.1971700000001</v>
      </c>
      <c r="O138" s="431">
        <f>+$N138*(1+'Unit tariffs'!$F$2)</f>
        <v>1236.0174511400003</v>
      </c>
    </row>
    <row r="139" spans="1:15" ht="27">
      <c r="A139" s="281"/>
      <c r="B139" s="530" t="str">
        <f>'Calc Sheet 20_21'!B1803:G1803</f>
        <v>9.12 Reinstatement of supply by CENTLEC - Where supplied from overhead transmission systems or a substation</v>
      </c>
      <c r="C139" s="234"/>
      <c r="D139" s="213">
        <f>+'Calc Sheet 20_21'!H1796</f>
        <v>793</v>
      </c>
      <c r="E139" s="538">
        <v>240</v>
      </c>
      <c r="F139" s="393">
        <f>'Calc Sheet 20_21'!H1825</f>
        <v>1430</v>
      </c>
      <c r="G139" s="393">
        <f>'Calc Sheet 20_21'!I1825</f>
        <v>1780</v>
      </c>
      <c r="H139" s="240">
        <f aca="true" t="shared" si="6" ref="H139:H151">(G139-F139)/F139</f>
        <v>0.24475524475524477</v>
      </c>
      <c r="I139" s="241">
        <f t="shared" si="4"/>
        <v>267</v>
      </c>
      <c r="J139" s="583">
        <f t="shared" si="5"/>
        <v>2047</v>
      </c>
      <c r="K139" s="283">
        <v>9100033030416</v>
      </c>
      <c r="M139" s="430">
        <f>+$J139*(1+'Unit tariffs'!$F$2)</f>
        <v>2132.974</v>
      </c>
      <c r="N139" s="431">
        <f>+$M139*(1+'Unit tariffs'!$F$2)</f>
        <v>2222.5589080000004</v>
      </c>
      <c r="O139" s="431">
        <f>+$N139*(1+'Unit tariffs'!$F$2)</f>
        <v>2315.9063821360005</v>
      </c>
    </row>
    <row r="140" spans="1:15" ht="27">
      <c r="A140" s="281"/>
      <c r="B140" s="233" t="str">
        <f>'Calc Sheet 20_21'!B1832</f>
        <v>9.13 Use of measuring instruments to record current and voltage fluctuations at the request of the consumer</v>
      </c>
      <c r="C140" s="234"/>
      <c r="D140" s="213">
        <f>+'Calc Sheet 20_21'!H1825</f>
        <v>1430</v>
      </c>
      <c r="E140" s="537">
        <v>1330</v>
      </c>
      <c r="F140" s="393">
        <f>'Calc Sheet 20_21'!H1856</f>
        <v>2370</v>
      </c>
      <c r="G140" s="393">
        <f>'Calc Sheet 20_21'!I1856</f>
        <v>2830</v>
      </c>
      <c r="H140" s="240">
        <f t="shared" si="6"/>
        <v>0.1940928270042194</v>
      </c>
      <c r="I140" s="241">
        <f t="shared" si="4"/>
        <v>424.5</v>
      </c>
      <c r="J140" s="583">
        <f t="shared" si="5"/>
        <v>3254.5</v>
      </c>
      <c r="K140" s="283">
        <v>9100033030416</v>
      </c>
      <c r="M140" s="430">
        <f>+$J140*(1+'Unit tariffs'!$F$2)</f>
        <v>3391.1890000000003</v>
      </c>
      <c r="N140" s="431">
        <f>+$M140*(1+'Unit tariffs'!$F$2)</f>
        <v>3533.6189380000005</v>
      </c>
      <c r="O140" s="431">
        <f>+$N140*(1+'Unit tariffs'!$F$2)</f>
        <v>3682.030933396001</v>
      </c>
    </row>
    <row r="141" spans="1:15" ht="27">
      <c r="A141" s="281"/>
      <c r="B141" s="530" t="str">
        <f>'Calc Sheet 20_21'!B1863</f>
        <v>9.14 Use of measuring instruments to record current and voltage fluctuations at the request of the consumer</v>
      </c>
      <c r="C141" s="234"/>
      <c r="D141" s="213">
        <f>+'Calc Sheet 20_21'!H1856</f>
        <v>2370</v>
      </c>
      <c r="E141" s="538">
        <v>1170</v>
      </c>
      <c r="F141" s="393">
        <f>+'Calc Sheet 20_21'!H1856</f>
        <v>2370</v>
      </c>
      <c r="G141" s="393">
        <f>+'Calc Sheet 20_21'!I1856</f>
        <v>2830</v>
      </c>
      <c r="H141" s="256">
        <f t="shared" si="6"/>
        <v>0.1940928270042194</v>
      </c>
      <c r="I141" s="241">
        <f t="shared" si="4"/>
        <v>424.5</v>
      </c>
      <c r="J141" s="583">
        <f t="shared" si="5"/>
        <v>3254.5</v>
      </c>
      <c r="K141" s="283">
        <v>9100033030416</v>
      </c>
      <c r="M141" s="430">
        <f>+$J141*(1+'Unit tariffs'!$F$2)</f>
        <v>3391.1890000000003</v>
      </c>
      <c r="N141" s="431">
        <f>+$M141*(1+'Unit tariffs'!$F$2)</f>
        <v>3533.6189380000005</v>
      </c>
      <c r="O141" s="431">
        <f>+$N141*(1+'Unit tariffs'!$F$2)</f>
        <v>3682.030933396001</v>
      </c>
    </row>
    <row r="142" spans="1:15" ht="14.25">
      <c r="A142" s="281"/>
      <c r="B142" s="530" t="str">
        <f>'Calc Sheet 20_21'!B1894</f>
        <v>9.15 Replacement of 1phase pre-payment meter due to tampering - blocking of vending</v>
      </c>
      <c r="C142" s="234"/>
      <c r="D142" s="213">
        <f>+'Calc Sheet 20_21'!H1887</f>
        <v>2500</v>
      </c>
      <c r="E142" s="538">
        <v>1295</v>
      </c>
      <c r="F142" s="393">
        <f>'Calc Sheet 20_21'!H1919</f>
        <v>3900</v>
      </c>
      <c r="G142" s="393">
        <f>'Calc Sheet 20_21'!I1919</f>
        <v>4310</v>
      </c>
      <c r="H142" s="240">
        <f t="shared" si="6"/>
        <v>0.10512820512820513</v>
      </c>
      <c r="I142" s="241">
        <f t="shared" si="4"/>
        <v>646.5</v>
      </c>
      <c r="J142" s="583">
        <f t="shared" si="5"/>
        <v>4956.5</v>
      </c>
      <c r="K142" s="283">
        <v>9100033030416</v>
      </c>
      <c r="M142" s="430">
        <f>+$J142*(1+'Unit tariffs'!$F$2)</f>
        <v>5164.673</v>
      </c>
      <c r="N142" s="431">
        <f>+$M142*(1+'Unit tariffs'!$F$2)</f>
        <v>5381.589266</v>
      </c>
      <c r="O142" s="431">
        <f>+$N142*(1+'Unit tariffs'!$F$2)</f>
        <v>5607.6160151720005</v>
      </c>
    </row>
    <row r="143" spans="1:15" ht="28.5" customHeight="1">
      <c r="A143" s="281"/>
      <c r="B143" s="233" t="str">
        <f>'Calc Sheet 20_21'!B1926</f>
        <v>9.16 Replacement of 3phase pre-payment meter due to tampering - blocking of vending</v>
      </c>
      <c r="C143" s="234"/>
      <c r="D143" s="213">
        <f>'Calc Sheet 20_21'!H1919</f>
        <v>3900</v>
      </c>
      <c r="E143" s="537">
        <v>3210</v>
      </c>
      <c r="F143" s="393">
        <f>'Calc Sheet 20_21'!H2003</f>
        <v>9680</v>
      </c>
      <c r="G143" s="393">
        <f>'Calc Sheet 20_21'!I2003</f>
        <v>10120</v>
      </c>
      <c r="H143" s="240">
        <f t="shared" si="6"/>
        <v>0.045454545454545456</v>
      </c>
      <c r="I143" s="241">
        <f t="shared" si="4"/>
        <v>1518</v>
      </c>
      <c r="J143" s="583">
        <f t="shared" si="5"/>
        <v>11638</v>
      </c>
      <c r="K143" s="283">
        <v>9100033030416</v>
      </c>
      <c r="M143" s="430">
        <f>+$J143*(1+'Unit tariffs'!$F$2)</f>
        <v>12126.796</v>
      </c>
      <c r="N143" s="431">
        <f>+$M143*(1+'Unit tariffs'!$F$2)</f>
        <v>12636.121432</v>
      </c>
      <c r="O143" s="431">
        <f>+$N143*(1+'Unit tariffs'!$F$2)</f>
        <v>13166.838532144</v>
      </c>
    </row>
    <row r="144" spans="1:15" ht="27">
      <c r="A144" s="281"/>
      <c r="B144" s="740" t="str">
        <f>'Calc Sheet 20_21'!B2007:G2007</f>
        <v>9.16.1.1 Fine for tampering TC: Normal 1Ph meter for business (including formal student housing and guest houses)</v>
      </c>
      <c r="C144" s="234"/>
      <c r="D144" s="213">
        <f>+'Calc Sheet 20_21'!H1951</f>
        <v>9990</v>
      </c>
      <c r="E144" s="537">
        <v>9025</v>
      </c>
      <c r="F144" s="393">
        <f>'Calc Sheet 20_21'!H2020</f>
        <v>11400</v>
      </c>
      <c r="G144" s="393">
        <f>'Calc Sheet 20_21'!I2020</f>
        <v>12300</v>
      </c>
      <c r="H144" s="240">
        <f t="shared" si="6"/>
        <v>0.07894736842105263</v>
      </c>
      <c r="I144" s="241">
        <f t="shared" si="4"/>
        <v>1845</v>
      </c>
      <c r="J144" s="583">
        <f t="shared" si="5"/>
        <v>14145</v>
      </c>
      <c r="K144" s="283">
        <v>9100033030416</v>
      </c>
      <c r="M144" s="430">
        <f>+$J144*(1+'Unit tariffs'!$F$2)</f>
        <v>14739.09</v>
      </c>
      <c r="N144" s="431">
        <f>+$M144*(1+'Unit tariffs'!$F$2)</f>
        <v>15358.131780000002</v>
      </c>
      <c r="O144" s="431">
        <f>+$N144*(1+'Unit tariffs'!$F$2)</f>
        <v>16003.173314760003</v>
      </c>
    </row>
    <row r="145" spans="1:15" ht="27">
      <c r="A145" s="281"/>
      <c r="B145" s="530" t="str">
        <f>'Calc Sheet 20_21'!B2027</f>
        <v>9.16.2 Charges when tampering with metering equipment - Small (commercial supply 60A - 3phase) consumer (TC)</v>
      </c>
      <c r="C145" s="234"/>
      <c r="D145" s="213">
        <f>+'Calc Sheet 20_21'!H1669</f>
        <v>6410</v>
      </c>
      <c r="E145" s="537">
        <v>5990</v>
      </c>
      <c r="F145" s="393">
        <f>'Calc Sheet 20_21'!H2075</f>
        <v>18240</v>
      </c>
      <c r="G145" s="393">
        <f>'Calc Sheet 20_21'!I2075</f>
        <v>18940</v>
      </c>
      <c r="H145" s="240">
        <f t="shared" si="6"/>
        <v>0.03837719298245614</v>
      </c>
      <c r="I145" s="241">
        <f t="shared" si="4"/>
        <v>2841</v>
      </c>
      <c r="J145" s="583">
        <f t="shared" si="5"/>
        <v>21781</v>
      </c>
      <c r="K145" s="283">
        <v>9100033030416</v>
      </c>
      <c r="M145" s="430">
        <f>+$J145*(1+'Unit tariffs'!$F$2)</f>
        <v>22695.802</v>
      </c>
      <c r="N145" s="431">
        <f>+$M145*(1+'Unit tariffs'!$F$2)</f>
        <v>23649.025684</v>
      </c>
      <c r="O145" s="431">
        <f>+$M145*(1+'Unit tariffs'!$F$2)</f>
        <v>23649.025684</v>
      </c>
    </row>
    <row r="146" spans="1:15" ht="27">
      <c r="A146" s="281"/>
      <c r="B146" s="530" t="str">
        <f>'Calc Sheet 20_21'!B2079:G2079</f>
        <v>9.16.2.1 Fine for tampering: Normal 3Ph meter for business (including formal student housing and guest houses) (TC)</v>
      </c>
      <c r="C146" s="234"/>
      <c r="D146" s="213">
        <f>+'Calc Sheet 20_21'!H2075</f>
        <v>18240</v>
      </c>
      <c r="E146" s="538">
        <v>16065</v>
      </c>
      <c r="F146" s="393">
        <f>'Calc Sheet 20_21'!H2092</f>
        <v>39000</v>
      </c>
      <c r="G146" s="393">
        <f>'Calc Sheet 20_21'!I2092</f>
        <v>41100</v>
      </c>
      <c r="H146" s="240">
        <f t="shared" si="6"/>
        <v>0.05384615384615385</v>
      </c>
      <c r="I146" s="241">
        <f t="shared" si="4"/>
        <v>6165</v>
      </c>
      <c r="J146" s="583">
        <f t="shared" si="5"/>
        <v>47265</v>
      </c>
      <c r="K146" s="283">
        <v>9100033030416</v>
      </c>
      <c r="M146" s="430">
        <f>+$J146*(1+'Unit tariffs'!$F$2)</f>
        <v>49250.130000000005</v>
      </c>
      <c r="N146" s="431">
        <f>+$M146*(1+'Unit tariffs'!$F$2)</f>
        <v>51318.635460000005</v>
      </c>
      <c r="O146" s="431">
        <f>+$M146*(1+'Unit tariffs'!$F$2)</f>
        <v>51318.635460000005</v>
      </c>
    </row>
    <row r="147" spans="1:15" ht="14.25">
      <c r="A147" s="281"/>
      <c r="B147" s="530" t="str">
        <f>'Calc Sheet 20_21'!B2100</f>
        <v>9.17 Charges when tampering with metering equipment - Bulk consumer (TB)</v>
      </c>
      <c r="C147" s="234"/>
      <c r="D147" s="213">
        <v>15894.94</v>
      </c>
      <c r="E147" s="537"/>
      <c r="F147" s="393">
        <f>'Calc Sheet 20_21'!H2146</f>
        <v>25530</v>
      </c>
      <c r="G147" s="393">
        <f>'Calc Sheet 20_21'!I2146</f>
        <v>27230</v>
      </c>
      <c r="H147" s="240">
        <f t="shared" si="6"/>
        <v>0.06658832745789267</v>
      </c>
      <c r="I147" s="241">
        <f t="shared" si="4"/>
        <v>4084.5</v>
      </c>
      <c r="J147" s="583">
        <f t="shared" si="5"/>
        <v>31314.5</v>
      </c>
      <c r="K147" s="283">
        <v>9100033030416</v>
      </c>
      <c r="M147" s="430">
        <f>+$J147*(1+'Unit tariffs'!$F$2)</f>
        <v>32629.709000000003</v>
      </c>
      <c r="N147" s="431">
        <f>+$M147*(1+'Unit tariffs'!$F$2)</f>
        <v>34000.156778000004</v>
      </c>
      <c r="O147" s="431">
        <f>+$M147*(1+'Unit tariffs'!$F$2)</f>
        <v>34000.156778000004</v>
      </c>
    </row>
    <row r="148" spans="1:15" ht="14.25">
      <c r="A148" s="281"/>
      <c r="B148" s="233" t="str">
        <f>'Calc Sheet 20_21'!B2150:G2150</f>
        <v>9.18 Fine for tampering: Bulk Consumers &lt;= 300kVA (TB)</v>
      </c>
      <c r="C148" s="234"/>
      <c r="D148" s="213">
        <f>+'Calc Sheet 20_21'!H2146</f>
        <v>25530</v>
      </c>
      <c r="E148" s="538">
        <v>20260</v>
      </c>
      <c r="F148" s="393">
        <f>'Calc Sheet 20_21'!H2163</f>
        <v>90000</v>
      </c>
      <c r="G148" s="393">
        <f>'Calc Sheet 20_21'!I2163</f>
        <v>100000</v>
      </c>
      <c r="H148" s="240">
        <f t="shared" si="6"/>
        <v>0.1111111111111111</v>
      </c>
      <c r="I148" s="241">
        <f t="shared" si="4"/>
        <v>15000</v>
      </c>
      <c r="J148" s="583">
        <f t="shared" si="5"/>
        <v>115000</v>
      </c>
      <c r="K148" s="283">
        <v>9100033030416</v>
      </c>
      <c r="M148" s="430">
        <f>+$J148*(1+'Unit tariffs'!$F$2)</f>
        <v>119830</v>
      </c>
      <c r="N148" s="431">
        <f>+$M148*(1+'Unit tariffs'!$F$2)</f>
        <v>124862.86</v>
      </c>
      <c r="O148" s="431">
        <f>+$M148*(1+'Unit tariffs'!$F$2)</f>
        <v>124862.86</v>
      </c>
    </row>
    <row r="149" spans="1:15" ht="23.25" customHeight="1">
      <c r="A149" s="281"/>
      <c r="B149" s="530" t="str">
        <f>'Calc Sheet 20_21'!B2166:G2166</f>
        <v>9.18.1 Fine for tampering: Bulk Consumers &gt;300kVA(TB)</v>
      </c>
      <c r="C149" s="234"/>
      <c r="D149" s="213">
        <v>0</v>
      </c>
      <c r="E149" s="537"/>
      <c r="F149" s="393">
        <f>'Calc Sheet 20_21'!H2179</f>
        <v>150000</v>
      </c>
      <c r="G149" s="393">
        <f>'Calc Sheet 20_21'!I2179</f>
        <v>170000</v>
      </c>
      <c r="H149" s="240">
        <f t="shared" si="6"/>
        <v>0.13333333333333333</v>
      </c>
      <c r="I149" s="241">
        <f t="shared" si="4"/>
        <v>25500</v>
      </c>
      <c r="J149" s="583">
        <f t="shared" si="5"/>
        <v>195500</v>
      </c>
      <c r="K149" s="283">
        <v>9100033030416</v>
      </c>
      <c r="M149" s="430">
        <f>+$J149*(1+'Unit tariffs'!$F$2)</f>
        <v>203711</v>
      </c>
      <c r="N149" s="431">
        <f>+$M149*(1+'Unit tariffs'!$F$2)</f>
        <v>212266.862</v>
      </c>
      <c r="O149" s="431">
        <f>+$M149*(1+'Unit tariffs'!$F$2)</f>
        <v>212266.862</v>
      </c>
    </row>
    <row r="150" spans="1:15" ht="23.25" customHeight="1">
      <c r="A150" s="281"/>
      <c r="B150" s="530" t="str">
        <f>'Calc Sheet 20_21'!B2185</f>
        <v>10. Rotating disk meter replaced - 1phase (RMR) with Prepayment meter</v>
      </c>
      <c r="C150" s="234"/>
      <c r="D150" s="213">
        <v>0</v>
      </c>
      <c r="E150" s="537"/>
      <c r="F150" s="393">
        <f>'Calc Sheet 20_21'!H2210</f>
        <v>1740</v>
      </c>
      <c r="G150" s="393">
        <f>'Calc Sheet 20_21'!I2210</f>
        <v>1750</v>
      </c>
      <c r="H150" s="240">
        <f t="shared" si="6"/>
        <v>0.005747126436781609</v>
      </c>
      <c r="I150" s="241">
        <f t="shared" si="4"/>
        <v>262.5</v>
      </c>
      <c r="J150" s="583">
        <f t="shared" si="5"/>
        <v>2012.5</v>
      </c>
      <c r="K150" s="283">
        <v>9100033030416</v>
      </c>
      <c r="M150" s="430">
        <f>+$J150*(1+'Unit tariffs'!$F$2)</f>
        <v>2097.025</v>
      </c>
      <c r="N150" s="431">
        <f>+$M150*(1+'Unit tariffs'!$F$2)</f>
        <v>2185.10005</v>
      </c>
      <c r="O150" s="431">
        <f>+$M150*(1+'Unit tariffs'!$F$2)</f>
        <v>2185.10005</v>
      </c>
    </row>
    <row r="151" spans="1:15" ht="14.25">
      <c r="A151" s="281"/>
      <c r="B151" s="530"/>
      <c r="C151" s="234"/>
      <c r="D151" s="577">
        <v>954.07</v>
      </c>
      <c r="E151" s="537"/>
      <c r="F151" s="393">
        <f>+'Calc Sheet 20_21'!H2210</f>
        <v>1740</v>
      </c>
      <c r="G151" s="393">
        <f>+'Calc Sheet 20_21'!I2210</f>
        <v>1750</v>
      </c>
      <c r="H151" s="240">
        <f t="shared" si="6"/>
        <v>0.005747126436781609</v>
      </c>
      <c r="I151" s="241">
        <f t="shared" si="4"/>
        <v>262.5</v>
      </c>
      <c r="J151" s="583">
        <f t="shared" si="5"/>
        <v>2012.5</v>
      </c>
      <c r="K151" s="283">
        <v>9100033030416</v>
      </c>
      <c r="M151" s="430">
        <f>+$J151*(1+'Unit tariffs'!$F$2)</f>
        <v>2097.025</v>
      </c>
      <c r="N151" s="431">
        <f>+$M151*(1+'Unit tariffs'!$F$2)</f>
        <v>2185.10005</v>
      </c>
      <c r="O151" s="431">
        <f>+$M151*(1+'Unit tariffs'!$F$2)</f>
        <v>2185.10005</v>
      </c>
    </row>
    <row r="152" spans="1:15" ht="21" customHeight="1">
      <c r="A152" s="298"/>
      <c r="B152" s="334" t="s">
        <v>250</v>
      </c>
      <c r="C152" s="329"/>
      <c r="D152" s="317"/>
      <c r="E152" s="534"/>
      <c r="F152" s="625"/>
      <c r="G152" s="304"/>
      <c r="H152" s="302"/>
      <c r="I152" s="303"/>
      <c r="J152" s="590"/>
      <c r="K152" s="322"/>
      <c r="M152" s="426"/>
      <c r="N152" s="427"/>
      <c r="O152" s="427"/>
    </row>
    <row r="153" spans="1:15" ht="54" customHeight="1">
      <c r="A153" s="281"/>
      <c r="B153" s="373" t="str">
        <f>'Calc Sheet 20_21'!B2216:C2216</f>
        <v>11.  Excavations within public areas leading to damage to electricity cables, including attempts of theft</v>
      </c>
      <c r="C153" s="258"/>
      <c r="D153" s="260" t="s">
        <v>252</v>
      </c>
      <c r="E153" s="553"/>
      <c r="F153" s="643" t="s">
        <v>347</v>
      </c>
      <c r="G153" s="688" t="s">
        <v>471</v>
      </c>
      <c r="H153" s="240">
        <v>0</v>
      </c>
      <c r="I153" s="241"/>
      <c r="J153" s="591"/>
      <c r="K153" s="283">
        <v>9100033030416</v>
      </c>
      <c r="M153" s="430"/>
      <c r="N153" s="431"/>
      <c r="O153" s="431"/>
    </row>
    <row r="154" spans="1:15" ht="54" customHeight="1">
      <c r="A154" s="281"/>
      <c r="B154" s="259" t="str">
        <f>'Calc Sheet 20_21'!B2217:C2217</f>
        <v>12.  In the case of damage to a low voltage cable or line installation, or any part of the installation</v>
      </c>
      <c r="C154" s="258"/>
      <c r="D154" s="260" t="s">
        <v>252</v>
      </c>
      <c r="E154" s="553"/>
      <c r="F154" s="643" t="s">
        <v>347</v>
      </c>
      <c r="G154" s="689" t="s">
        <v>347</v>
      </c>
      <c r="H154" s="240">
        <v>0</v>
      </c>
      <c r="I154" s="241"/>
      <c r="J154" s="591"/>
      <c r="K154" s="283">
        <v>9100033030416</v>
      </c>
      <c r="M154" s="430"/>
      <c r="N154" s="431"/>
      <c r="O154" s="431"/>
    </row>
    <row r="155" spans="1:15" ht="54" customHeight="1">
      <c r="A155" s="281"/>
      <c r="B155" s="261" t="str">
        <f>'Calc Sheet 20_21'!B2218:C2218</f>
        <v>13.  Cost for damaging any 11kV cable </v>
      </c>
      <c r="C155" s="258"/>
      <c r="D155" s="262" t="s">
        <v>254</v>
      </c>
      <c r="E155" s="554"/>
      <c r="F155" s="643" t="s">
        <v>346</v>
      </c>
      <c r="G155" s="689" t="s">
        <v>346</v>
      </c>
      <c r="H155" s="240">
        <v>0</v>
      </c>
      <c r="I155" s="241"/>
      <c r="J155" s="591"/>
      <c r="K155" s="283">
        <v>9100033030416</v>
      </c>
      <c r="M155" s="430"/>
      <c r="N155" s="431"/>
      <c r="O155" s="431"/>
    </row>
    <row r="156" spans="1:15" ht="54" customHeight="1">
      <c r="A156" s="281"/>
      <c r="B156" s="261" t="str">
        <f>'Calc Sheet 20_21'!B2219:C2219</f>
        <v>14.  Cost for damaging any 33kV PILC/XLPE cable </v>
      </c>
      <c r="C156" s="258"/>
      <c r="D156" s="262" t="s">
        <v>255</v>
      </c>
      <c r="E156" s="554"/>
      <c r="F156" s="643" t="s">
        <v>256</v>
      </c>
      <c r="G156" s="689" t="s">
        <v>256</v>
      </c>
      <c r="H156" s="240">
        <v>0</v>
      </c>
      <c r="I156" s="241"/>
      <c r="J156" s="591"/>
      <c r="K156" s="283">
        <v>9100033030416</v>
      </c>
      <c r="M156" s="430"/>
      <c r="N156" s="431"/>
      <c r="O156" s="431"/>
    </row>
    <row r="157" spans="1:15" ht="54" customHeight="1">
      <c r="A157" s="281"/>
      <c r="B157" s="261" t="str">
        <f>'Calc Sheet 20_21'!B2220:C2220</f>
        <v>15.  Cost for damaging any 132kV PILC/XLPE cable </v>
      </c>
      <c r="C157" s="258"/>
      <c r="D157" s="262" t="s">
        <v>256</v>
      </c>
      <c r="E157" s="554"/>
      <c r="F157" s="643" t="s">
        <v>345</v>
      </c>
      <c r="G157" s="688" t="s">
        <v>345</v>
      </c>
      <c r="H157" s="406">
        <v>0</v>
      </c>
      <c r="I157" s="241"/>
      <c r="J157" s="591"/>
      <c r="K157" s="283">
        <v>9100033030416</v>
      </c>
      <c r="M157" s="430"/>
      <c r="N157" s="431"/>
      <c r="O157" s="431"/>
    </row>
    <row r="158" spans="1:15" ht="27.75" customHeight="1">
      <c r="A158" s="281"/>
      <c r="B158" s="862" t="s">
        <v>257</v>
      </c>
      <c r="C158" s="863"/>
      <c r="D158" s="863"/>
      <c r="E158" s="863"/>
      <c r="F158" s="863"/>
      <c r="G158" s="863"/>
      <c r="H158" s="863"/>
      <c r="I158" s="863"/>
      <c r="J158" s="864"/>
      <c r="K158" s="283"/>
      <c r="M158" s="430"/>
      <c r="N158" s="431"/>
      <c r="O158" s="431"/>
    </row>
    <row r="159" spans="1:15" ht="15" thickBot="1">
      <c r="A159" s="378"/>
      <c r="B159" s="379"/>
      <c r="C159" s="389"/>
      <c r="D159" s="390"/>
      <c r="E159" s="555"/>
      <c r="F159" s="644"/>
      <c r="G159" s="402"/>
      <c r="H159" s="375"/>
      <c r="I159" s="376"/>
      <c r="J159" s="592"/>
      <c r="K159" s="377"/>
      <c r="M159" s="440"/>
      <c r="N159" s="441"/>
      <c r="O159" s="441"/>
    </row>
    <row r="160" spans="1:15" ht="19.5" customHeight="1">
      <c r="A160" s="273"/>
      <c r="B160" s="274" t="s">
        <v>148</v>
      </c>
      <c r="C160" s="388"/>
      <c r="D160" s="382" t="s">
        <v>74</v>
      </c>
      <c r="E160" s="545"/>
      <c r="F160" s="634" t="s">
        <v>74</v>
      </c>
      <c r="G160" s="384" t="s">
        <v>74</v>
      </c>
      <c r="H160" s="383" t="s">
        <v>85</v>
      </c>
      <c r="I160" s="55" t="s">
        <v>470</v>
      </c>
      <c r="J160" s="384" t="s">
        <v>138</v>
      </c>
      <c r="K160" s="385" t="s">
        <v>75</v>
      </c>
      <c r="M160" s="694" t="s">
        <v>138</v>
      </c>
      <c r="N160" s="695" t="s">
        <v>138</v>
      </c>
      <c r="O160" s="695" t="s">
        <v>138</v>
      </c>
    </row>
    <row r="161" spans="1:15" ht="14.25">
      <c r="A161" s="281"/>
      <c r="B161" s="239"/>
      <c r="C161" s="238"/>
      <c r="D161" s="340" t="s">
        <v>77</v>
      </c>
      <c r="E161" s="532"/>
      <c r="F161" s="623" t="s">
        <v>77</v>
      </c>
      <c r="G161" s="236" t="s">
        <v>77</v>
      </c>
      <c r="H161" s="339" t="s">
        <v>86</v>
      </c>
      <c r="I161" s="665">
        <f>+'Unit tariffs'!F$3</f>
        <v>0.15</v>
      </c>
      <c r="J161" s="236" t="s">
        <v>139</v>
      </c>
      <c r="K161" s="337" t="s">
        <v>78</v>
      </c>
      <c r="M161" s="691" t="s">
        <v>139</v>
      </c>
      <c r="N161" s="692" t="s">
        <v>139</v>
      </c>
      <c r="O161" s="692" t="s">
        <v>139</v>
      </c>
    </row>
    <row r="162" spans="1:15" ht="14.25">
      <c r="A162" s="281"/>
      <c r="B162" s="239" t="s">
        <v>105</v>
      </c>
      <c r="C162" s="238"/>
      <c r="D162" s="340" t="str">
        <f>D$4</f>
        <v>2016/2017</v>
      </c>
      <c r="E162" s="532"/>
      <c r="F162" s="690" t="str">
        <f>'Calc Sheet 20_21'!$H$11</f>
        <v>2020/2021</v>
      </c>
      <c r="G162" s="236" t="str">
        <f>'Calc Sheet 20_21'!$I$11</f>
        <v>2021/2022</v>
      </c>
      <c r="H162" s="339" t="str">
        <f>G162</f>
        <v>2021/2022</v>
      </c>
      <c r="I162" s="55" t="str">
        <f>G162</f>
        <v>2021/2022</v>
      </c>
      <c r="J162" s="236" t="str">
        <f>I162</f>
        <v>2021/2022</v>
      </c>
      <c r="K162" s="337" t="s">
        <v>79</v>
      </c>
      <c r="M162" s="691" t="s">
        <v>630</v>
      </c>
      <c r="N162" s="692" t="s">
        <v>631</v>
      </c>
      <c r="O162" s="692" t="s">
        <v>632</v>
      </c>
    </row>
    <row r="163" spans="1:15" ht="15" thickBot="1">
      <c r="A163" s="305"/>
      <c r="B163" s="306"/>
      <c r="C163" s="307"/>
      <c r="D163" s="343" t="s">
        <v>80</v>
      </c>
      <c r="E163" s="533"/>
      <c r="F163" s="624" t="s">
        <v>80</v>
      </c>
      <c r="G163" s="346" t="s">
        <v>80</v>
      </c>
      <c r="H163" s="344"/>
      <c r="I163" s="345"/>
      <c r="J163" s="346"/>
      <c r="K163" s="347"/>
      <c r="M163" s="424"/>
      <c r="N163" s="425"/>
      <c r="O163" s="425"/>
    </row>
    <row r="164" spans="1:15" ht="15.75" thickTop="1">
      <c r="A164" s="298"/>
      <c r="B164" s="315"/>
      <c r="C164" s="329"/>
      <c r="D164" s="330"/>
      <c r="E164" s="556"/>
      <c r="F164" s="645"/>
      <c r="G164" s="403"/>
      <c r="H164" s="331"/>
      <c r="I164" s="332"/>
      <c r="J164" s="593"/>
      <c r="K164" s="333"/>
      <c r="M164" s="442"/>
      <c r="N164" s="443"/>
      <c r="O164" s="443"/>
    </row>
    <row r="165" spans="1:15" ht="26.25">
      <c r="A165" s="281"/>
      <c r="B165" s="741" t="s">
        <v>549</v>
      </c>
      <c r="C165" s="263"/>
      <c r="D165" s="392">
        <v>82.005</v>
      </c>
      <c r="E165" s="557"/>
      <c r="F165" s="646">
        <v>93.18687378000001</v>
      </c>
      <c r="G165" s="404">
        <f>+F165*(1+'Unit tariffs'!$F$2)</f>
        <v>97.10072247876002</v>
      </c>
      <c r="H165" s="240">
        <f>(G165-F165)/F165</f>
        <v>0.04200000000000006</v>
      </c>
      <c r="I165" s="241">
        <f>G165*I$3</f>
        <v>14.565108371814002</v>
      </c>
      <c r="J165" s="583">
        <f>G165+I165</f>
        <v>111.66583085057403</v>
      </c>
      <c r="K165" s="283">
        <v>9100033030416</v>
      </c>
      <c r="M165" s="430">
        <f>+$J165*(1+'Unit tariffs'!$F$2)</f>
        <v>116.35579574629814</v>
      </c>
      <c r="N165" s="431">
        <f>+$M165*(1+'Unit tariffs'!$F$2)</f>
        <v>121.24273916764267</v>
      </c>
      <c r="O165" s="431">
        <f>+$M165*(1+'Unit tariffs'!$F$2)</f>
        <v>121.24273916764267</v>
      </c>
    </row>
    <row r="166" spans="1:15" ht="14.25">
      <c r="A166" s="281"/>
      <c r="B166" s="738" t="s">
        <v>550</v>
      </c>
      <c r="C166" s="265"/>
      <c r="D166" s="392">
        <v>63.9</v>
      </c>
      <c r="E166" s="557"/>
      <c r="F166" s="646">
        <v>72.61314840000001</v>
      </c>
      <c r="G166" s="404">
        <f>+F166*(1+'Unit tariffs'!$F$2)</f>
        <v>75.66290063280002</v>
      </c>
      <c r="H166" s="240">
        <f>(G166-F166)/F166</f>
        <v>0.04200000000000004</v>
      </c>
      <c r="I166" s="241">
        <f>G166*I$3</f>
        <v>11.349435094920002</v>
      </c>
      <c r="J166" s="583">
        <f>G166+I166</f>
        <v>87.01233572772001</v>
      </c>
      <c r="K166" s="283">
        <v>9100033030416</v>
      </c>
      <c r="M166" s="430">
        <v>98.25385615663508</v>
      </c>
      <c r="N166" s="431">
        <v>102.57702582752702</v>
      </c>
      <c r="O166" s="431">
        <v>107.19299198976574</v>
      </c>
    </row>
    <row r="167" spans="1:15" ht="14.25">
      <c r="A167" s="281"/>
      <c r="B167" s="228"/>
      <c r="C167" s="266"/>
      <c r="D167" s="271"/>
      <c r="E167" s="558"/>
      <c r="F167" s="647"/>
      <c r="G167" s="270"/>
      <c r="H167" s="272"/>
      <c r="I167" s="267"/>
      <c r="J167" s="596"/>
      <c r="K167" s="365"/>
      <c r="M167" s="444"/>
      <c r="N167" s="445"/>
      <c r="O167" s="445"/>
    </row>
    <row r="168" spans="1:15" ht="14.25">
      <c r="A168" s="281"/>
      <c r="B168" s="738" t="s">
        <v>551</v>
      </c>
      <c r="C168" s="266"/>
      <c r="D168" s="271"/>
      <c r="E168" s="558"/>
      <c r="F168" s="647"/>
      <c r="G168" s="270"/>
      <c r="H168" s="272"/>
      <c r="I168" s="267"/>
      <c r="J168" s="596"/>
      <c r="K168" s="365"/>
      <c r="M168" s="444"/>
      <c r="N168" s="445"/>
      <c r="O168" s="445"/>
    </row>
    <row r="169" spans="1:15" ht="14.25">
      <c r="A169" s="281"/>
      <c r="B169" s="228" t="s">
        <v>275</v>
      </c>
      <c r="C169" s="266"/>
      <c r="D169" s="271">
        <v>170.13375</v>
      </c>
      <c r="E169" s="558"/>
      <c r="F169" s="646">
        <v>193.33250761500003</v>
      </c>
      <c r="G169" s="404">
        <f>+F169*(1+'Unit tariffs'!$F$2)</f>
        <v>201.45247293483004</v>
      </c>
      <c r="H169" s="240">
        <f>(G169-F169)/F169</f>
        <v>0.04200000000000007</v>
      </c>
      <c r="I169" s="241">
        <f>G169*I$3</f>
        <v>30.217870940224504</v>
      </c>
      <c r="J169" s="583">
        <f>G169+I169</f>
        <v>231.67034387505456</v>
      </c>
      <c r="K169" s="283">
        <v>9100033030416</v>
      </c>
      <c r="M169" s="430">
        <f>+$J169*(1+'Unit tariffs'!$F$2)</f>
        <v>241.40049831780686</v>
      </c>
      <c r="N169" s="431">
        <f>+$M169*(1+'Unit tariffs'!$F$2)</f>
        <v>251.53931924715476</v>
      </c>
      <c r="O169" s="431">
        <f>+$M169*(1+'Unit tariffs'!$F$2)</f>
        <v>251.53931924715476</v>
      </c>
    </row>
    <row r="170" spans="1:15" ht="21.75" customHeight="1">
      <c r="A170" s="288" t="s">
        <v>264</v>
      </c>
      <c r="B170" s="268"/>
      <c r="C170" s="266"/>
      <c r="D170" s="271"/>
      <c r="E170" s="558"/>
      <c r="F170" s="647"/>
      <c r="G170" s="270"/>
      <c r="H170" s="272"/>
      <c r="I170" s="269"/>
      <c r="J170" s="597"/>
      <c r="K170" s="365"/>
      <c r="M170" s="446"/>
      <c r="N170" s="447"/>
      <c r="O170" s="447"/>
    </row>
    <row r="171" spans="1:15" ht="14.25">
      <c r="A171" s="281"/>
      <c r="B171" s="738" t="s">
        <v>552</v>
      </c>
      <c r="C171" s="266"/>
      <c r="D171" s="392">
        <v>63.768319353</v>
      </c>
      <c r="E171" s="557"/>
      <c r="F171" s="646">
        <v>72.46351230669768</v>
      </c>
      <c r="G171" s="404">
        <f>+F171*(1+'Unit tariffs'!$F$2)</f>
        <v>75.50697982357899</v>
      </c>
      <c r="H171" s="240">
        <f>(G171-F171)/F171</f>
        <v>0.042000000000000065</v>
      </c>
      <c r="I171" s="241">
        <f>G171*I$3</f>
        <v>11.326046973536847</v>
      </c>
      <c r="J171" s="583">
        <f>G171+I171</f>
        <v>86.83302679711583</v>
      </c>
      <c r="K171" s="283">
        <v>9100033030416</v>
      </c>
      <c r="M171" s="430">
        <f>+$J171*(1+'Unit tariffs'!$F$2)</f>
        <v>90.48001392259471</v>
      </c>
      <c r="N171" s="431">
        <f>+$M171*(1+'Unit tariffs'!$F$2)</f>
        <v>94.28017450734369</v>
      </c>
      <c r="O171" s="431">
        <f>+$M171*(1+'Unit tariffs'!$F$2)</f>
        <v>94.28017450734369</v>
      </c>
    </row>
    <row r="172" spans="1:15" ht="14.25">
      <c r="A172" s="288" t="s">
        <v>265</v>
      </c>
      <c r="B172" s="239"/>
      <c r="C172" s="266"/>
      <c r="D172" s="271"/>
      <c r="E172" s="558"/>
      <c r="F172" s="647"/>
      <c r="G172" s="270"/>
      <c r="H172" s="272"/>
      <c r="I172" s="266"/>
      <c r="J172" s="598"/>
      <c r="K172" s="365"/>
      <c r="M172" s="448"/>
      <c r="N172" s="449"/>
      <c r="O172" s="449"/>
    </row>
    <row r="173" spans="1:15" ht="14.25">
      <c r="A173" s="281"/>
      <c r="B173" s="738" t="s">
        <v>553</v>
      </c>
      <c r="C173" s="266"/>
      <c r="D173" s="392">
        <v>379.45599615</v>
      </c>
      <c r="E173" s="557"/>
      <c r="F173" s="646">
        <v>431.1970979610294</v>
      </c>
      <c r="G173" s="404">
        <f>+F173*(1+'Unit tariffs'!$F$2)</f>
        <v>449.30737607539265</v>
      </c>
      <c r="H173" s="240">
        <f>(G173-F173)/F173</f>
        <v>0.04200000000000008</v>
      </c>
      <c r="I173" s="241">
        <f>G173*I$3</f>
        <v>67.39610641130889</v>
      </c>
      <c r="J173" s="583">
        <f>G173+I173</f>
        <v>516.7034824867015</v>
      </c>
      <c r="K173" s="283">
        <v>9100033030416</v>
      </c>
      <c r="M173" s="430">
        <f>+$J173*(1+'Unit tariffs'!$F$2)</f>
        <v>538.405028751143</v>
      </c>
      <c r="N173" s="431">
        <f>+$M173*(1+'Unit tariffs'!$F$2)</f>
        <v>561.0180399586911</v>
      </c>
      <c r="O173" s="431">
        <f>+$M173*(1+'Unit tariffs'!$F$2)</f>
        <v>561.0180399586911</v>
      </c>
    </row>
    <row r="174" spans="1:15" ht="14.25">
      <c r="A174" s="281"/>
      <c r="B174" s="738" t="s">
        <v>554</v>
      </c>
      <c r="C174" s="266"/>
      <c r="D174" s="527">
        <f>+D173*1.33</f>
        <v>504.6764748795</v>
      </c>
      <c r="E174" s="559"/>
      <c r="F174" s="648">
        <v>0</v>
      </c>
      <c r="G174" s="687" t="s">
        <v>477</v>
      </c>
      <c r="H174" s="526"/>
      <c r="I174" s="241"/>
      <c r="J174" s="599"/>
      <c r="K174" s="365"/>
      <c r="M174" s="430"/>
      <c r="N174" s="431"/>
      <c r="O174" s="431"/>
    </row>
    <row r="175" spans="1:15" ht="14.25">
      <c r="A175" s="281"/>
      <c r="B175" s="738" t="s">
        <v>555</v>
      </c>
      <c r="C175" s="266"/>
      <c r="D175" s="528">
        <v>1300.9796274750001</v>
      </c>
      <c r="E175" s="560"/>
      <c r="F175" s="649">
        <v>1478.3760055589814</v>
      </c>
      <c r="G175" s="404">
        <f>+F175*(1+'Unit tariffs'!$F$2)</f>
        <v>1540.4677977924587</v>
      </c>
      <c r="H175" s="240">
        <f>(G175-F175)/F175</f>
        <v>0.04200000000000001</v>
      </c>
      <c r="I175" s="241">
        <f>G175*I$3</f>
        <v>231.0701696688688</v>
      </c>
      <c r="J175" s="583">
        <f>G175+I175</f>
        <v>1771.5379674613275</v>
      </c>
      <c r="K175" s="283">
        <v>9100033030416</v>
      </c>
      <c r="M175" s="430">
        <f>+$J175*(1+'Unit tariffs'!$F$2)</f>
        <v>1845.9425620947034</v>
      </c>
      <c r="N175" s="431">
        <f>+$M175*(1+'Unit tariffs'!$F$2)</f>
        <v>1923.472149702681</v>
      </c>
      <c r="O175" s="431">
        <f>+$M175*(1+'Unit tariffs'!$F$2)</f>
        <v>1923.472149702681</v>
      </c>
    </row>
    <row r="176" spans="1:15" ht="14.25">
      <c r="A176" s="281"/>
      <c r="B176" s="738" t="s">
        <v>556</v>
      </c>
      <c r="C176" s="266"/>
      <c r="D176" s="527">
        <f>+D175*1.33</f>
        <v>1730.3029045417502</v>
      </c>
      <c r="E176" s="559"/>
      <c r="F176" s="648">
        <v>0</v>
      </c>
      <c r="G176" s="687" t="s">
        <v>477</v>
      </c>
      <c r="H176" s="526"/>
      <c r="I176" s="241"/>
      <c r="J176" s="599"/>
      <c r="K176" s="365"/>
      <c r="M176" s="430"/>
      <c r="N176" s="431"/>
      <c r="O176" s="431"/>
    </row>
    <row r="177" spans="1:15" ht="14.25">
      <c r="A177" s="281"/>
      <c r="B177" s="738" t="s">
        <v>557</v>
      </c>
      <c r="C177" s="266"/>
      <c r="D177" s="528">
        <v>2710.3752538500003</v>
      </c>
      <c r="E177" s="560"/>
      <c r="F177" s="649">
        <v>3079.9511819639715</v>
      </c>
      <c r="G177" s="404">
        <f>+F177*(1+'Unit tariffs'!$F$2)</f>
        <v>3209.3091316064583</v>
      </c>
      <c r="H177" s="240">
        <f>(G177-F177)/F177</f>
        <v>0.041999999999999996</v>
      </c>
      <c r="I177" s="241">
        <f>G177*I$3</f>
        <v>481.39636974096874</v>
      </c>
      <c r="J177" s="583">
        <f>G177+I177</f>
        <v>3690.705501347427</v>
      </c>
      <c r="K177" s="283">
        <v>9100033030416</v>
      </c>
      <c r="M177" s="430">
        <f>+$J177*(1+'Unit tariffs'!$F$2)</f>
        <v>3845.7151324040187</v>
      </c>
      <c r="N177" s="431">
        <f>+$M177*(1+'Unit tariffs'!$F$2)</f>
        <v>4007.235167964988</v>
      </c>
      <c r="O177" s="431">
        <f>+$M177*(1+'Unit tariffs'!$F$2)</f>
        <v>4007.235167964988</v>
      </c>
    </row>
    <row r="178" spans="1:15" ht="14.25">
      <c r="A178" s="281"/>
      <c r="B178" s="738" t="s">
        <v>558</v>
      </c>
      <c r="C178" s="266"/>
      <c r="D178" s="527">
        <f>+D177*1.33</f>
        <v>3604.7990876205004</v>
      </c>
      <c r="E178" s="559"/>
      <c r="F178" s="648">
        <v>0</v>
      </c>
      <c r="G178" s="687" t="s">
        <v>477</v>
      </c>
      <c r="H178" s="526"/>
      <c r="I178" s="241"/>
      <c r="J178" s="599"/>
      <c r="K178" s="365"/>
      <c r="M178" s="430"/>
      <c r="N178" s="431"/>
      <c r="O178" s="431"/>
    </row>
    <row r="179" spans="1:15" ht="14.25">
      <c r="A179" s="281"/>
      <c r="B179" s="228"/>
      <c r="C179" s="266"/>
      <c r="D179" s="392"/>
      <c r="E179" s="557"/>
      <c r="F179" s="646"/>
      <c r="G179" s="404"/>
      <c r="H179" s="367"/>
      <c r="I179" s="264"/>
      <c r="J179" s="598"/>
      <c r="K179" s="365"/>
      <c r="M179" s="448"/>
      <c r="N179" s="449"/>
      <c r="O179" s="449"/>
    </row>
    <row r="180" spans="1:15" ht="14.25">
      <c r="A180" s="326" t="s">
        <v>269</v>
      </c>
      <c r="B180" s="327"/>
      <c r="C180" s="324"/>
      <c r="D180" s="328"/>
      <c r="E180" s="561"/>
      <c r="F180" s="650"/>
      <c r="G180" s="325"/>
      <c r="H180" s="368"/>
      <c r="I180" s="324"/>
      <c r="J180" s="600"/>
      <c r="K180" s="366"/>
      <c r="M180" s="450"/>
      <c r="N180" s="451"/>
      <c r="O180" s="451"/>
    </row>
    <row r="181" spans="1:15" ht="19.5" customHeight="1">
      <c r="A181" s="281"/>
      <c r="B181" s="228" t="s">
        <v>270</v>
      </c>
      <c r="C181" s="266"/>
      <c r="D181" s="271">
        <v>500</v>
      </c>
      <c r="E181" s="558"/>
      <c r="F181" s="647">
        <v>639.6</v>
      </c>
      <c r="G181" s="404">
        <f>+F181*(1+'Unit tariffs'!$F$2)</f>
        <v>666.4632</v>
      </c>
      <c r="H181" s="240">
        <f>(G181-F181)/F181</f>
        <v>0.04200000000000001</v>
      </c>
      <c r="I181" s="241">
        <f>G181*I$3</f>
        <v>99.96948</v>
      </c>
      <c r="J181" s="583">
        <f>G181+I181</f>
        <v>766.43268</v>
      </c>
      <c r="K181" s="283">
        <v>9100033030416</v>
      </c>
      <c r="M181" s="430">
        <f>+$J181*(1+'Unit tariffs'!$F$2)</f>
        <v>798.6228525600001</v>
      </c>
      <c r="N181" s="431">
        <f>+$M181*(1+'Unit tariffs'!$F$2)</f>
        <v>832.1650123675201</v>
      </c>
      <c r="O181" s="431">
        <f>+$M181*(1+'Unit tariffs'!$F$2)</f>
        <v>832.1650123675201</v>
      </c>
    </row>
    <row r="182" spans="1:15" ht="14.25">
      <c r="A182" s="281"/>
      <c r="B182" s="228" t="s">
        <v>271</v>
      </c>
      <c r="C182" s="266"/>
      <c r="D182" s="271">
        <v>1500</v>
      </c>
      <c r="E182" s="558"/>
      <c r="F182" s="647">
        <v>1705.6000000000001</v>
      </c>
      <c r="G182" s="404">
        <f>+F182*(1+'Unit tariffs'!$F$2)</f>
        <v>1777.2352000000003</v>
      </c>
      <c r="H182" s="240">
        <f>(G182-F182)/F182</f>
        <v>0.04200000000000009</v>
      </c>
      <c r="I182" s="241">
        <f>G182*I$3</f>
        <v>266.58528</v>
      </c>
      <c r="J182" s="583">
        <f>G182+I182</f>
        <v>2043.8204800000003</v>
      </c>
      <c r="K182" s="283">
        <v>9100033030416</v>
      </c>
      <c r="M182" s="430">
        <f>+$J182*(1+'Unit tariffs'!$F$2)</f>
        <v>2129.6609401600003</v>
      </c>
      <c r="N182" s="431">
        <f>+$M182*(1+'Unit tariffs'!$F$2)</f>
        <v>2219.1066996467202</v>
      </c>
      <c r="O182" s="431">
        <f>+$M182*(1+'Unit tariffs'!$F$2)</f>
        <v>2219.1066996467202</v>
      </c>
    </row>
    <row r="183" spans="1:15" ht="14.25">
      <c r="A183" s="281"/>
      <c r="B183" s="228" t="s">
        <v>351</v>
      </c>
      <c r="C183" s="266"/>
      <c r="D183" s="271">
        <v>6600</v>
      </c>
      <c r="E183" s="558"/>
      <c r="F183" s="647">
        <v>7568.6</v>
      </c>
      <c r="G183" s="404">
        <f>+F183*(1+'Unit tariffs'!$F$2)</f>
        <v>7886.481200000001</v>
      </c>
      <c r="H183" s="240">
        <f>(G183-F183)/F183</f>
        <v>0.04200000000000009</v>
      </c>
      <c r="I183" s="241">
        <f>G183*I$3</f>
        <v>1182.9721800000002</v>
      </c>
      <c r="J183" s="583">
        <f>G183+I183</f>
        <v>9069.45338</v>
      </c>
      <c r="K183" s="283">
        <v>9100033030416</v>
      </c>
      <c r="M183" s="430">
        <f>+$J183*(1+'Unit tariffs'!$F$2)</f>
        <v>9450.37042196</v>
      </c>
      <c r="N183" s="431">
        <f>+$M183*(1+'Unit tariffs'!$F$2)</f>
        <v>9847.285979682321</v>
      </c>
      <c r="O183" s="431">
        <f>+$M183*(1+'Unit tariffs'!$F$2)</f>
        <v>9847.285979682321</v>
      </c>
    </row>
    <row r="184" spans="1:15" ht="14.25">
      <c r="A184" s="281"/>
      <c r="B184" s="228" t="s">
        <v>354</v>
      </c>
      <c r="C184" s="266"/>
      <c r="D184" s="271">
        <v>6600</v>
      </c>
      <c r="E184" s="558"/>
      <c r="F184" s="647">
        <v>7568.6</v>
      </c>
      <c r="G184" s="404">
        <f>+F184*(1+'Unit tariffs'!$F$2)</f>
        <v>7886.481200000001</v>
      </c>
      <c r="H184" s="240">
        <f>(G184-F184)/F184</f>
        <v>0.04200000000000009</v>
      </c>
      <c r="I184" s="241">
        <f>G184*I$3</f>
        <v>1182.9721800000002</v>
      </c>
      <c r="J184" s="583">
        <f>G184+I184</f>
        <v>9069.45338</v>
      </c>
      <c r="K184" s="283">
        <v>9100033030416</v>
      </c>
      <c r="M184" s="430">
        <f>+$J184*(1+'Unit tariffs'!$F$2)</f>
        <v>9450.37042196</v>
      </c>
      <c r="N184" s="431">
        <f>+$M184*(1+'Unit tariffs'!$F$2)</f>
        <v>9847.285979682321</v>
      </c>
      <c r="O184" s="431">
        <f>+$M184*(1+'Unit tariffs'!$F$2)</f>
        <v>9847.285979682321</v>
      </c>
    </row>
    <row r="185" spans="1:15" ht="30" customHeight="1">
      <c r="A185" s="288" t="s">
        <v>277</v>
      </c>
      <c r="B185" s="233"/>
      <c r="C185" s="266"/>
      <c r="D185" s="271"/>
      <c r="E185" s="558"/>
      <c r="F185" s="647"/>
      <c r="G185" s="270"/>
      <c r="H185" s="240"/>
      <c r="I185" s="241"/>
      <c r="J185" s="583"/>
      <c r="K185" s="283"/>
      <c r="M185" s="430"/>
      <c r="N185" s="431"/>
      <c r="O185" s="431"/>
    </row>
    <row r="186" spans="1:15" ht="18" customHeight="1">
      <c r="A186" s="281"/>
      <c r="B186" s="228" t="s">
        <v>266</v>
      </c>
      <c r="C186" s="266"/>
      <c r="D186" s="271">
        <v>2280</v>
      </c>
      <c r="E186" s="558"/>
      <c r="F186" s="647">
        <v>2665</v>
      </c>
      <c r="G186" s="404">
        <f>+F186*(1+'Unit tariffs'!$F$2)</f>
        <v>2776.9300000000003</v>
      </c>
      <c r="H186" s="240">
        <f>(G186-F186)/F186</f>
        <v>0.04200000000000011</v>
      </c>
      <c r="I186" s="241">
        <f>G186*I$3</f>
        <v>416.53950000000003</v>
      </c>
      <c r="J186" s="583">
        <f>G186+I186</f>
        <v>3193.4695</v>
      </c>
      <c r="K186" s="283">
        <v>9100033030416</v>
      </c>
      <c r="M186" s="430">
        <v>3606.0483869259206</v>
      </c>
      <c r="N186" s="431">
        <v>3764.7145159506613</v>
      </c>
      <c r="O186" s="431">
        <v>3934.126669168441</v>
      </c>
    </row>
    <row r="187" spans="1:15" ht="14.25">
      <c r="A187" s="281"/>
      <c r="B187" s="228" t="s">
        <v>267</v>
      </c>
      <c r="C187" s="266"/>
      <c r="D187" s="271">
        <v>11400</v>
      </c>
      <c r="E187" s="558"/>
      <c r="F187" s="647">
        <v>13005.2</v>
      </c>
      <c r="G187" s="404">
        <f>+F187*(1+'Unit tariffs'!$F$2)</f>
        <v>13551.4184</v>
      </c>
      <c r="H187" s="240">
        <f>(G187-F187)/F187</f>
        <v>0.041999999999999975</v>
      </c>
      <c r="I187" s="241">
        <f>G187*I$3</f>
        <v>2032.71276</v>
      </c>
      <c r="J187" s="583">
        <f>G187+I187</f>
        <v>15584.13116</v>
      </c>
      <c r="K187" s="283">
        <v>9100033030416</v>
      </c>
      <c r="M187" s="430">
        <v>17597.51612819849</v>
      </c>
      <c r="N187" s="431">
        <v>18371.806837839224</v>
      </c>
      <c r="O187" s="431">
        <v>19198.53814554199</v>
      </c>
    </row>
    <row r="188" spans="1:15" ht="14.25">
      <c r="A188" s="281"/>
      <c r="B188" s="228" t="s">
        <v>268</v>
      </c>
      <c r="C188" s="266"/>
      <c r="D188" s="271">
        <v>57000</v>
      </c>
      <c r="E188" s="558"/>
      <c r="F188" s="647">
        <v>65026</v>
      </c>
      <c r="G188" s="404">
        <f>+F188*(1+'Unit tariffs'!$F$2)</f>
        <v>67757.092</v>
      </c>
      <c r="H188" s="240">
        <f>(G188-F188)/F188</f>
        <v>0.042000000000000065</v>
      </c>
      <c r="I188" s="241">
        <f>G188*I$3</f>
        <v>10163.5638</v>
      </c>
      <c r="J188" s="583">
        <f>G188+I188</f>
        <v>77920.65580000001</v>
      </c>
      <c r="K188" s="283">
        <v>9100033030416</v>
      </c>
      <c r="M188" s="430">
        <v>87987.58064099247</v>
      </c>
      <c r="N188" s="431">
        <v>91859.03418919614</v>
      </c>
      <c r="O188" s="431">
        <v>95900.83169352077</v>
      </c>
    </row>
    <row r="189" spans="1:15" ht="12.75" customHeight="1">
      <c r="A189" s="859" t="s">
        <v>278</v>
      </c>
      <c r="B189" s="860"/>
      <c r="C189" s="861"/>
      <c r="D189" s="266"/>
      <c r="E189" s="266"/>
      <c r="F189" s="266"/>
      <c r="G189" s="266"/>
      <c r="H189" s="240"/>
      <c r="I189" s="266"/>
      <c r="J189" s="601"/>
      <c r="K189" s="365"/>
      <c r="M189" s="448"/>
      <c r="N189" s="449"/>
      <c r="O189" s="449"/>
    </row>
    <row r="190" spans="1:15" ht="12.75" customHeight="1">
      <c r="A190" s="859" t="s">
        <v>279</v>
      </c>
      <c r="B190" s="860"/>
      <c r="C190" s="861"/>
      <c r="D190" s="266"/>
      <c r="E190" s="266"/>
      <c r="F190" s="266"/>
      <c r="G190" s="266"/>
      <c r="H190" s="272"/>
      <c r="I190" s="266"/>
      <c r="J190" s="601"/>
      <c r="K190" s="365"/>
      <c r="M190" s="448"/>
      <c r="N190" s="449"/>
      <c r="O190" s="449"/>
    </row>
    <row r="191" spans="1:15" ht="14.25">
      <c r="A191" s="281"/>
      <c r="B191" s="233"/>
      <c r="C191" s="234"/>
      <c r="D191" s="229"/>
      <c r="E191" s="229"/>
      <c r="F191" s="229"/>
      <c r="G191" s="229"/>
      <c r="H191" s="231"/>
      <c r="I191" s="228"/>
      <c r="J191" s="602"/>
      <c r="K191" s="282"/>
      <c r="M191" s="428"/>
      <c r="N191" s="429"/>
      <c r="O191" s="429"/>
    </row>
    <row r="192" spans="1:15" ht="14.25">
      <c r="A192" s="288" t="s">
        <v>106</v>
      </c>
      <c r="B192" s="239"/>
      <c r="C192" s="234"/>
      <c r="D192" s="229"/>
      <c r="E192" s="229"/>
      <c r="F192" s="229"/>
      <c r="G192" s="229"/>
      <c r="H192" s="231"/>
      <c r="I192" s="228"/>
      <c r="J192" s="602"/>
      <c r="K192" s="282"/>
      <c r="M192" s="428"/>
      <c r="N192" s="429"/>
      <c r="O192" s="429"/>
    </row>
    <row r="193" spans="1:15" ht="14.25">
      <c r="A193" s="288" t="s">
        <v>130</v>
      </c>
      <c r="B193" s="239"/>
      <c r="C193" s="234"/>
      <c r="D193" s="229"/>
      <c r="E193" s="229"/>
      <c r="F193" s="229"/>
      <c r="G193" s="229"/>
      <c r="H193" s="235"/>
      <c r="I193" s="228"/>
      <c r="J193" s="602"/>
      <c r="K193" s="282"/>
      <c r="M193" s="428"/>
      <c r="N193" s="429"/>
      <c r="O193" s="429"/>
    </row>
    <row r="194" spans="1:15" ht="19.5" customHeight="1">
      <c r="A194" s="288" t="s">
        <v>107</v>
      </c>
      <c r="B194" s="239"/>
      <c r="C194" s="234"/>
      <c r="D194" s="229"/>
      <c r="E194" s="229"/>
      <c r="F194" s="229"/>
      <c r="G194" s="229"/>
      <c r="H194" s="231"/>
      <c r="I194" s="228"/>
      <c r="J194" s="602"/>
      <c r="K194" s="282"/>
      <c r="M194" s="428"/>
      <c r="N194" s="429"/>
      <c r="O194" s="429"/>
    </row>
    <row r="195" spans="1:15" ht="18.75" customHeight="1">
      <c r="A195" s="281" t="s">
        <v>110</v>
      </c>
      <c r="B195" s="233"/>
      <c r="C195" s="234"/>
      <c r="D195" s="229"/>
      <c r="E195" s="229"/>
      <c r="F195" s="229"/>
      <c r="G195" s="229"/>
      <c r="H195" s="231"/>
      <c r="I195" s="228"/>
      <c r="J195" s="602"/>
      <c r="K195" s="282"/>
      <c r="M195" s="428"/>
      <c r="N195" s="429"/>
      <c r="O195" s="429"/>
    </row>
    <row r="196" spans="1:15" ht="14.25">
      <c r="A196" s="281"/>
      <c r="B196" s="233"/>
      <c r="C196" s="234"/>
      <c r="D196" s="229"/>
      <c r="E196" s="229"/>
      <c r="F196" s="229"/>
      <c r="G196" s="229"/>
      <c r="H196" s="231"/>
      <c r="I196" s="228"/>
      <c r="J196" s="602"/>
      <c r="K196" s="282"/>
      <c r="M196" s="428"/>
      <c r="N196" s="429"/>
      <c r="O196" s="429"/>
    </row>
    <row r="197" spans="1:15" ht="14.25">
      <c r="A197" s="288" t="s">
        <v>274</v>
      </c>
      <c r="B197" s="233"/>
      <c r="C197" s="234"/>
      <c r="D197" s="229"/>
      <c r="E197" s="229"/>
      <c r="F197" s="229"/>
      <c r="G197" s="229"/>
      <c r="H197" s="231"/>
      <c r="I197" s="228"/>
      <c r="J197" s="602"/>
      <c r="K197" s="282"/>
      <c r="M197" s="428"/>
      <c r="N197" s="429"/>
      <c r="O197" s="429"/>
    </row>
    <row r="198" spans="1:15" ht="14.25">
      <c r="A198" s="288" t="s">
        <v>272</v>
      </c>
      <c r="B198" s="233"/>
      <c r="C198" s="234"/>
      <c r="D198" s="229"/>
      <c r="E198" s="229"/>
      <c r="F198" s="229"/>
      <c r="G198" s="229"/>
      <c r="H198" s="231"/>
      <c r="I198" s="228"/>
      <c r="J198" s="602"/>
      <c r="K198" s="282"/>
      <c r="M198" s="428"/>
      <c r="N198" s="429"/>
      <c r="O198" s="429"/>
    </row>
    <row r="199" spans="1:15" ht="15" thickBot="1">
      <c r="A199" s="289" t="s">
        <v>273</v>
      </c>
      <c r="B199" s="290"/>
      <c r="C199" s="291"/>
      <c r="D199" s="292"/>
      <c r="E199" s="292"/>
      <c r="F199" s="292"/>
      <c r="G199" s="292"/>
      <c r="H199" s="294"/>
      <c r="I199" s="295"/>
      <c r="J199" s="603"/>
      <c r="K199" s="297"/>
      <c r="L199" s="409"/>
      <c r="M199" s="434"/>
      <c r="N199" s="435"/>
      <c r="O199" s="435"/>
    </row>
    <row r="200" spans="6:10" ht="14.25">
      <c r="F200" s="211"/>
      <c r="G200" s="211"/>
      <c r="J200" s="604"/>
    </row>
    <row r="201" spans="6:10" ht="14.25">
      <c r="F201" s="211"/>
      <c r="G201" s="211"/>
      <c r="J201" s="604"/>
    </row>
    <row r="202" spans="6:10" ht="14.25">
      <c r="F202" s="211"/>
      <c r="G202" s="211"/>
      <c r="J202" s="604"/>
    </row>
    <row r="203" ht="14.25">
      <c r="J203" s="604"/>
    </row>
    <row r="204" ht="14.25">
      <c r="J204" s="604"/>
    </row>
  </sheetData>
  <sheetProtection/>
  <mergeCells count="3">
    <mergeCell ref="A189:C189"/>
    <mergeCell ref="A190:C190"/>
    <mergeCell ref="B158:J158"/>
  </mergeCells>
  <printOptions/>
  <pageMargins left="0.25" right="0.25" top="0.75" bottom="0.75" header="0.3" footer="0.3"/>
  <pageSetup fitToHeight="0" fitToWidth="1" horizontalDpi="600" verticalDpi="600" orientation="landscape" paperSize="8" scale="86" r:id="rId1"/>
  <headerFooter>
    <oddHeader>&amp;C&amp;"Arial,Bold"&amp;12Proposed Electrical Service Tariffs for CENTLEC (SOC) Ltd for the 2017/2018 finincial year</oddHeader>
    <oddFooter>&amp;C&amp;F&amp;R&amp;"Arial,Bold"&amp;12Page &amp;P</oddFooter>
  </headerFooter>
  <rowBreaks count="6" manualBreakCount="6">
    <brk id="27" max="14" man="1"/>
    <brk id="33" max="14" man="1"/>
    <brk id="67" max="14" man="1"/>
    <brk id="93" max="14" man="1"/>
    <brk id="130" max="14" man="1"/>
    <brk id="158" max="14" man="1"/>
  </rowBreaks>
</worksheet>
</file>

<file path=xl/worksheets/sheet4.xml><?xml version="1.0" encoding="utf-8"?>
<worksheet xmlns="http://schemas.openxmlformats.org/spreadsheetml/2006/main" xmlns:r="http://schemas.openxmlformats.org/officeDocument/2006/relationships">
  <sheetPr>
    <tabColor rgb="FFFF0000"/>
  </sheetPr>
  <dimension ref="A1:P203"/>
  <sheetViews>
    <sheetView view="pageBreakPreview" zoomScale="78" zoomScaleNormal="85" zoomScaleSheetLayoutView="78" zoomScalePageLayoutView="0" workbookViewId="0" topLeftCell="A161">
      <selection activeCell="N185" sqref="N185:P187"/>
    </sheetView>
  </sheetViews>
  <sheetFormatPr defaultColWidth="8.8515625" defaultRowHeight="12.75"/>
  <cols>
    <col min="1" max="1" width="1.7109375" style="77" customWidth="1"/>
    <col min="2" max="2" width="82.7109375" style="205" customWidth="1"/>
    <col min="3" max="3" width="13.140625" style="207" customWidth="1"/>
    <col min="4" max="4" width="23.28125" style="211" hidden="1" customWidth="1"/>
    <col min="5" max="5" width="21.28125" style="211" hidden="1" customWidth="1"/>
    <col min="6" max="6" width="29.00390625" style="212" customWidth="1"/>
    <col min="7" max="7" width="21.57421875" style="212" customWidth="1"/>
    <col min="8" max="8" width="13.00390625" style="206" customWidth="1"/>
    <col min="9" max="9" width="12.28125" style="77" bestFit="1" customWidth="1"/>
    <col min="10" max="10" width="15.140625" style="605" bestFit="1" customWidth="1"/>
    <col min="11" max="11" width="20.57421875" style="77" customWidth="1"/>
    <col min="12" max="12" width="19.00390625" style="77" hidden="1" customWidth="1"/>
    <col min="13" max="13" width="15.421875" style="407" hidden="1" customWidth="1"/>
    <col min="14" max="14" width="15.421875" style="407" customWidth="1"/>
    <col min="15" max="16" width="15.28125" style="407" customWidth="1"/>
    <col min="17" max="16384" width="8.8515625" style="77" customWidth="1"/>
  </cols>
  <sheetData>
    <row r="1" spans="1:16" ht="15">
      <c r="A1" s="273"/>
      <c r="B1" s="274" t="s">
        <v>500</v>
      </c>
      <c r="C1" s="275"/>
      <c r="D1" s="276"/>
      <c r="E1" s="531" t="s">
        <v>373</v>
      </c>
      <c r="F1" s="622"/>
      <c r="G1" s="279"/>
      <c r="H1" s="277"/>
      <c r="I1" s="278"/>
      <c r="J1" s="580"/>
      <c r="K1" s="280"/>
      <c r="L1" s="408"/>
      <c r="M1" s="421"/>
      <c r="N1" s="421"/>
      <c r="O1" s="421"/>
      <c r="P1" s="421"/>
    </row>
    <row r="2" spans="1:16" ht="14.25" customHeight="1">
      <c r="A2" s="281"/>
      <c r="B2" s="233" t="s">
        <v>1</v>
      </c>
      <c r="C2" s="234"/>
      <c r="D2" s="340" t="s">
        <v>319</v>
      </c>
      <c r="E2" s="532" t="s">
        <v>74</v>
      </c>
      <c r="F2" s="623" t="s">
        <v>74</v>
      </c>
      <c r="G2" s="236" t="s">
        <v>74</v>
      </c>
      <c r="H2" s="339" t="s">
        <v>85</v>
      </c>
      <c r="I2" s="55" t="s">
        <v>470</v>
      </c>
      <c r="J2" s="236" t="s">
        <v>138</v>
      </c>
      <c r="K2" s="337" t="s">
        <v>75</v>
      </c>
      <c r="M2" s="692" t="s">
        <v>138</v>
      </c>
      <c r="N2" s="692" t="s">
        <v>138</v>
      </c>
      <c r="O2" s="692" t="s">
        <v>138</v>
      </c>
      <c r="P2" s="692" t="s">
        <v>138</v>
      </c>
    </row>
    <row r="3" spans="1:16" ht="14.25">
      <c r="A3" s="281"/>
      <c r="B3" s="319" t="s">
        <v>332</v>
      </c>
      <c r="C3" s="238"/>
      <c r="D3" s="340" t="s">
        <v>320</v>
      </c>
      <c r="E3" s="532" t="s">
        <v>320</v>
      </c>
      <c r="F3" s="623" t="s">
        <v>320</v>
      </c>
      <c r="G3" s="236" t="s">
        <v>320</v>
      </c>
      <c r="H3" s="339" t="s">
        <v>86</v>
      </c>
      <c r="I3" s="665">
        <f>+'Unit tariffs'!F$3</f>
        <v>0.15</v>
      </c>
      <c r="J3" s="236" t="s">
        <v>139</v>
      </c>
      <c r="K3" s="337" t="s">
        <v>78</v>
      </c>
      <c r="M3" s="692" t="s">
        <v>139</v>
      </c>
      <c r="N3" s="692" t="s">
        <v>139</v>
      </c>
      <c r="O3" s="692" t="s">
        <v>139</v>
      </c>
      <c r="P3" s="692" t="s">
        <v>139</v>
      </c>
    </row>
    <row r="4" spans="1:16" ht="14.25">
      <c r="A4" s="281"/>
      <c r="B4" s="233" t="s">
        <v>1</v>
      </c>
      <c r="C4" s="238" t="s">
        <v>330</v>
      </c>
      <c r="D4" s="340" t="s">
        <v>280</v>
      </c>
      <c r="E4" s="532" t="str">
        <f>'Calc Sheet 20_21'!H11</f>
        <v>2020/2021</v>
      </c>
      <c r="F4" s="690" t="str">
        <f>'Calc Sheet 20_21'!$H$11</f>
        <v>2020/2021</v>
      </c>
      <c r="G4" s="236" t="str">
        <f>'Calc Sheet 20_21'!$I$11</f>
        <v>2021/2022</v>
      </c>
      <c r="H4" s="339" t="str">
        <f>G4</f>
        <v>2021/2022</v>
      </c>
      <c r="I4" s="55" t="str">
        <f>G4</f>
        <v>2021/2022</v>
      </c>
      <c r="J4" s="236" t="str">
        <f>I4</f>
        <v>2021/2022</v>
      </c>
      <c r="K4" s="337" t="s">
        <v>79</v>
      </c>
      <c r="M4" s="692" t="s">
        <v>481</v>
      </c>
      <c r="N4" s="692" t="s">
        <v>630</v>
      </c>
      <c r="O4" s="692" t="s">
        <v>631</v>
      </c>
      <c r="P4" s="692" t="s">
        <v>632</v>
      </c>
    </row>
    <row r="5" spans="1:16" ht="15" thickBot="1">
      <c r="A5" s="305"/>
      <c r="B5" s="321" t="s">
        <v>1</v>
      </c>
      <c r="C5" s="307" t="s">
        <v>331</v>
      </c>
      <c r="D5" s="343" t="s">
        <v>80</v>
      </c>
      <c r="E5" s="533" t="s">
        <v>80</v>
      </c>
      <c r="F5" s="624" t="s">
        <v>80</v>
      </c>
      <c r="G5" s="346" t="s">
        <v>80</v>
      </c>
      <c r="H5" s="344"/>
      <c r="I5" s="345"/>
      <c r="J5" s="346"/>
      <c r="K5" s="347"/>
      <c r="M5" s="425"/>
      <c r="N5" s="425"/>
      <c r="O5" s="425"/>
      <c r="P5" s="425"/>
    </row>
    <row r="6" spans="1:16" ht="15" thickTop="1">
      <c r="A6" s="298"/>
      <c r="B6" s="327"/>
      <c r="C6" s="341"/>
      <c r="D6" s="317"/>
      <c r="E6" s="534"/>
      <c r="F6" s="625"/>
      <c r="G6" s="304"/>
      <c r="H6" s="302"/>
      <c r="I6" s="303"/>
      <c r="J6" s="581"/>
      <c r="K6" s="322"/>
      <c r="M6" s="427"/>
      <c r="N6" s="427"/>
      <c r="O6" s="427"/>
      <c r="P6" s="427"/>
    </row>
    <row r="7" spans="1:16" ht="24" customHeight="1">
      <c r="A7" s="281"/>
      <c r="B7" s="238" t="s">
        <v>104</v>
      </c>
      <c r="C7" s="238"/>
      <c r="D7" s="391"/>
      <c r="E7" s="535"/>
      <c r="F7" s="626"/>
      <c r="G7" s="232"/>
      <c r="H7" s="231"/>
      <c r="I7" s="228"/>
      <c r="J7" s="582"/>
      <c r="K7" s="282"/>
      <c r="M7" s="429"/>
      <c r="N7" s="429"/>
      <c r="O7" s="429"/>
      <c r="P7" s="429"/>
    </row>
    <row r="8" spans="1:16" ht="20.25" customHeight="1">
      <c r="A8" s="281"/>
      <c r="B8" s="239" t="str">
        <f>'Calc Sheet 20_21'!B5</f>
        <v>1. NEW SINGLE PHASE CONNECTIONS: URBAN</v>
      </c>
      <c r="C8" s="238"/>
      <c r="D8" s="230"/>
      <c r="E8" s="536"/>
      <c r="F8" s="626"/>
      <c r="G8" s="232"/>
      <c r="H8" s="231"/>
      <c r="I8" s="228"/>
      <c r="J8" s="582"/>
      <c r="K8" s="282"/>
      <c r="M8" s="429"/>
      <c r="N8" s="429"/>
      <c r="O8" s="429"/>
      <c r="P8" s="429"/>
    </row>
    <row r="9" spans="1:16" ht="14.25">
      <c r="A9" s="281"/>
      <c r="B9" s="239"/>
      <c r="C9" s="238"/>
      <c r="D9" s="230"/>
      <c r="E9" s="536"/>
      <c r="F9" s="626"/>
      <c r="G9" s="232"/>
      <c r="H9" s="231"/>
      <c r="I9" s="228"/>
      <c r="J9" s="582"/>
      <c r="K9" s="282"/>
      <c r="M9" s="429"/>
      <c r="N9" s="429"/>
      <c r="O9" s="429"/>
      <c r="P9" s="429"/>
    </row>
    <row r="10" spans="1:16" ht="27">
      <c r="A10" s="281"/>
      <c r="B10" s="233" t="str">
        <f>'Calc Sheet 20_21'!B7</f>
        <v>1.1  Single phase overhead connection with Split Pre-payment meter taken from overhead network   - No Ready board   </v>
      </c>
      <c r="C10" s="234" t="s">
        <v>241</v>
      </c>
      <c r="D10" s="213">
        <f>'Calc Sheet 20_21'!H37</f>
        <v>6510</v>
      </c>
      <c r="E10" s="537">
        <v>6225</v>
      </c>
      <c r="F10" s="627">
        <f>+'Calc Sheet 20_21'!H37</f>
        <v>6510</v>
      </c>
      <c r="G10" s="393">
        <f>'Calc Sheet 20_21'!I37</f>
        <v>6880</v>
      </c>
      <c r="H10" s="240">
        <f>(G10-F10)/F10</f>
        <v>0.05683563748079877</v>
      </c>
      <c r="I10" s="241">
        <f>G10*I$3</f>
        <v>1032</v>
      </c>
      <c r="J10" s="583">
        <f>G10+I10</f>
        <v>7912</v>
      </c>
      <c r="K10" s="283">
        <v>9100033030416</v>
      </c>
      <c r="M10" s="431">
        <f>J10+L10</f>
        <v>7912</v>
      </c>
      <c r="N10" s="431">
        <f>+$M10*(1+'Unit tariffs'!$F$2)</f>
        <v>8244.304</v>
      </c>
      <c r="O10" s="431">
        <f>+$M10*(1+'Unit tariffs'!$F$2)</f>
        <v>8244.304</v>
      </c>
      <c r="P10" s="431">
        <f>+$O10*(1+'Unit tariffs'!$F$2)</f>
        <v>8590.564768</v>
      </c>
    </row>
    <row r="11" spans="1:16" ht="14.25">
      <c r="A11" s="281"/>
      <c r="B11" s="233"/>
      <c r="C11" s="234"/>
      <c r="D11" s="213"/>
      <c r="E11" s="537"/>
      <c r="F11" s="627"/>
      <c r="G11" s="393"/>
      <c r="H11" s="240"/>
      <c r="I11" s="240"/>
      <c r="J11" s="584"/>
      <c r="K11" s="284"/>
      <c r="M11" s="433"/>
      <c r="N11" s="433"/>
      <c r="O11" s="433"/>
      <c r="P11" s="431"/>
    </row>
    <row r="12" spans="1:16" ht="27">
      <c r="A12" s="281"/>
      <c r="B12" s="233" t="str">
        <f>'Calc Sheet 20_21'!B50</f>
        <v>1.2  Single phase overhead connection with Split Pre-payment meter taken from overhead network   - With Ready board   </v>
      </c>
      <c r="C12" s="234" t="s">
        <v>241</v>
      </c>
      <c r="D12" s="213">
        <f>'Calc Sheet 20_21'!H82</f>
        <v>8230</v>
      </c>
      <c r="E12" s="537">
        <v>1400</v>
      </c>
      <c r="F12" s="627">
        <f>+'Calc Sheet 20_21'!H82</f>
        <v>8230</v>
      </c>
      <c r="G12" s="393">
        <f>'Calc Sheet 20_21'!I82</f>
        <v>8910</v>
      </c>
      <c r="H12" s="240">
        <f>(G12-F12)/F12</f>
        <v>0.08262454434993925</v>
      </c>
      <c r="I12" s="241">
        <f>G12*I$3</f>
        <v>1336.5</v>
      </c>
      <c r="J12" s="583">
        <f>G12+I12</f>
        <v>10246.5</v>
      </c>
      <c r="K12" s="283">
        <v>9100033030416</v>
      </c>
      <c r="M12" s="431">
        <f>J12+L12</f>
        <v>10246.5</v>
      </c>
      <c r="N12" s="431">
        <f>+$M12*(1+'Unit tariffs'!$F$2)</f>
        <v>10676.853000000001</v>
      </c>
      <c r="O12" s="431">
        <f>+$M12*(1+'Unit tariffs'!$F$2)</f>
        <v>10676.853000000001</v>
      </c>
      <c r="P12" s="431">
        <f>+$O12*(1+'Unit tariffs'!$F$2)</f>
        <v>11125.280826000002</v>
      </c>
    </row>
    <row r="13" spans="1:16" ht="14.25">
      <c r="A13" s="281"/>
      <c r="B13" s="243"/>
      <c r="C13" s="244"/>
      <c r="D13" s="213"/>
      <c r="E13" s="537"/>
      <c r="F13" s="627"/>
      <c r="G13" s="393"/>
      <c r="H13" s="240"/>
      <c r="I13" s="240"/>
      <c r="J13" s="584"/>
      <c r="K13" s="284"/>
      <c r="M13" s="433"/>
      <c r="N13" s="433"/>
      <c r="O13" s="433"/>
      <c r="P13" s="431"/>
    </row>
    <row r="14" spans="1:16" ht="27">
      <c r="A14" s="281"/>
      <c r="B14" s="233" t="str">
        <f>+'Calc Sheet 20_21'!B86</f>
        <v>1.3  Single phase underground/ovehead connection with Split Pre-payment meter taken from underground/overhead network (Flisp Housing)  - With Ready board   </v>
      </c>
      <c r="C14" s="702" t="s">
        <v>296</v>
      </c>
      <c r="D14" s="213"/>
      <c r="E14" s="537"/>
      <c r="F14" s="627">
        <f>+'Calc Sheet 20_21'!H115</f>
        <v>10720</v>
      </c>
      <c r="G14" s="393">
        <f>+'Calc Sheet 20_21'!I115</f>
        <v>9510</v>
      </c>
      <c r="H14" s="240">
        <f>(G14-F14)/F14</f>
        <v>-0.11287313432835822</v>
      </c>
      <c r="I14" s="241">
        <f>G14*I$3</f>
        <v>1426.5</v>
      </c>
      <c r="J14" s="583">
        <f>G14+I14</f>
        <v>10936.5</v>
      </c>
      <c r="K14" s="283">
        <v>9100033030416</v>
      </c>
      <c r="M14" s="431">
        <f>J14+L14</f>
        <v>10936.5</v>
      </c>
      <c r="N14" s="431">
        <f>+$M14*(1+'Unit tariffs'!$F$2)</f>
        <v>11395.833</v>
      </c>
      <c r="O14" s="431">
        <f>+$M14*(1+'Unit tariffs'!$F$2)</f>
        <v>11395.833</v>
      </c>
      <c r="P14" s="431">
        <f>+$O14*(1+'Unit tariffs'!$F$2)</f>
        <v>11874.457986000001</v>
      </c>
    </row>
    <row r="15" spans="1:16" ht="14.25">
      <c r="A15" s="281"/>
      <c r="B15" s="233"/>
      <c r="C15" s="244"/>
      <c r="D15" s="213"/>
      <c r="E15" s="537"/>
      <c r="F15" s="627"/>
      <c r="G15" s="393"/>
      <c r="H15" s="240"/>
      <c r="I15" s="240"/>
      <c r="J15" s="584"/>
      <c r="K15" s="284"/>
      <c r="M15" s="433"/>
      <c r="N15" s="433"/>
      <c r="O15" s="433"/>
      <c r="P15" s="431"/>
    </row>
    <row r="16" spans="1:16" ht="27">
      <c r="A16" s="281"/>
      <c r="B16" s="233" t="str">
        <f>'Calc Sheet 20_21'!B119</f>
        <v>1.4  New connection (Permanent) for Church/ Creche with NPO certificate &amp; Proof of Title deeds paper registered with Church/Creche:  Single phase Split Prepaid  meter</v>
      </c>
      <c r="C16" s="234" t="s">
        <v>241</v>
      </c>
      <c r="D16" s="213">
        <f>'Calc Sheet 20_21'!H148</f>
        <v>10790</v>
      </c>
      <c r="E16" s="537">
        <v>1000</v>
      </c>
      <c r="F16" s="627">
        <f>+'Calc Sheet 20_21'!H148</f>
        <v>10790</v>
      </c>
      <c r="G16" s="393">
        <f>'Calc Sheet 20_21'!I148</f>
        <v>13250</v>
      </c>
      <c r="H16" s="240">
        <f>(G16-F16)/F16</f>
        <v>0.22798887859128822</v>
      </c>
      <c r="I16" s="241">
        <f>G16*I$3</f>
        <v>1987.5</v>
      </c>
      <c r="J16" s="583">
        <f>G16+I16</f>
        <v>15237.5</v>
      </c>
      <c r="K16" s="283">
        <v>9100033030416</v>
      </c>
      <c r="M16" s="431">
        <f>J16+L16</f>
        <v>15237.5</v>
      </c>
      <c r="N16" s="431">
        <f>+$M16*(1+'Unit tariffs'!$F$2)</f>
        <v>15877.475</v>
      </c>
      <c r="O16" s="431">
        <f>+$M16*(1+'Unit tariffs'!$F$2)</f>
        <v>15877.475</v>
      </c>
      <c r="P16" s="431">
        <f>+$O16*(1+'Unit tariffs'!$F$2)</f>
        <v>16544.32895</v>
      </c>
    </row>
    <row r="17" spans="1:16" ht="19.5" customHeight="1">
      <c r="A17" s="281"/>
      <c r="B17" s="233"/>
      <c r="C17" s="234"/>
      <c r="D17" s="213"/>
      <c r="E17" s="537"/>
      <c r="F17" s="627"/>
      <c r="G17" s="393"/>
      <c r="H17" s="240"/>
      <c r="I17" s="241"/>
      <c r="J17" s="583"/>
      <c r="K17" s="283"/>
      <c r="M17" s="431"/>
      <c r="N17" s="431"/>
      <c r="O17" s="431"/>
      <c r="P17" s="431"/>
    </row>
    <row r="18" spans="1:16" ht="32.25" customHeight="1">
      <c r="A18" s="281"/>
      <c r="B18" s="245" t="str">
        <f>+'Calc Sheet 20_21'!B155</f>
        <v>1.5  Single phase domestic connection in meter box placed on stand boundary taken from underground cable network (connection to an erf, where the development costs has been paid) -</v>
      </c>
      <c r="C18" s="234" t="s">
        <v>241</v>
      </c>
      <c r="D18" s="213"/>
      <c r="E18" s="536"/>
      <c r="F18" s="627"/>
      <c r="G18" s="393"/>
      <c r="H18" s="240"/>
      <c r="I18" s="241"/>
      <c r="J18" s="583"/>
      <c r="K18" s="283"/>
      <c r="M18" s="431"/>
      <c r="N18" s="431"/>
      <c r="O18" s="431"/>
      <c r="P18" s="431"/>
    </row>
    <row r="19" spans="1:16" ht="32.25" customHeight="1">
      <c r="A19" s="281"/>
      <c r="B19" s="245" t="str">
        <f>+'Calc Sheet 20_21'!B157:G157</f>
        <v>    1.5.1 Connection in meter box, Single Phase Time of Use kWh meter</v>
      </c>
      <c r="C19" s="234" t="s">
        <v>241</v>
      </c>
      <c r="D19" s="213">
        <v>1620</v>
      </c>
      <c r="E19" s="537">
        <v>2230</v>
      </c>
      <c r="F19" s="627">
        <f>+'Calc Sheet 20_21'!H184</f>
        <v>8500</v>
      </c>
      <c r="G19" s="393">
        <f>+'Calc Sheet 20_21'!I184</f>
        <v>8260</v>
      </c>
      <c r="H19" s="240">
        <f>(G19-F19)/F19</f>
        <v>-0.02823529411764706</v>
      </c>
      <c r="I19" s="241">
        <f>G19*I$3</f>
        <v>1239</v>
      </c>
      <c r="J19" s="583">
        <f>G19+I19</f>
        <v>9499</v>
      </c>
      <c r="K19" s="283">
        <v>9100033030416</v>
      </c>
      <c r="M19" s="431">
        <f>J19+L19</f>
        <v>9499</v>
      </c>
      <c r="N19" s="431">
        <f>+$M19*(1+'Unit tariffs'!$F$2)</f>
        <v>9897.958</v>
      </c>
      <c r="O19" s="431">
        <f>+$M19*(1+'Unit tariffs'!$F$2)</f>
        <v>9897.958</v>
      </c>
      <c r="P19" s="431">
        <f>+$O19*(1+'Unit tariffs'!$F$2)</f>
        <v>10313.672236</v>
      </c>
    </row>
    <row r="20" spans="1:16" ht="32.25" customHeight="1">
      <c r="A20" s="281"/>
      <c r="B20" s="245" t="str">
        <f>+'Calc Sheet 20_21'!B191:G191</f>
        <v>    1.5.2 Connection in meter box, Single phase Split pre-payment meter</v>
      </c>
      <c r="C20" s="234" t="s">
        <v>241</v>
      </c>
      <c r="D20" s="213">
        <v>3180</v>
      </c>
      <c r="E20" s="537">
        <v>4340</v>
      </c>
      <c r="F20" s="627">
        <f>+'Calc Sheet 20_21'!H215</f>
        <v>4530</v>
      </c>
      <c r="G20" s="393">
        <f>+'Calc Sheet 20_21'!I215</f>
        <v>4800</v>
      </c>
      <c r="H20" s="240">
        <f>(G20-F20)/F20</f>
        <v>0.059602649006622516</v>
      </c>
      <c r="I20" s="241">
        <f>G20*I$3</f>
        <v>720</v>
      </c>
      <c r="J20" s="583">
        <f>G20+I20</f>
        <v>5520</v>
      </c>
      <c r="K20" s="283">
        <v>9100033030416</v>
      </c>
      <c r="M20" s="431">
        <f>J20+L20</f>
        <v>5520</v>
      </c>
      <c r="N20" s="431">
        <f>+$M20*(1+'Unit tariffs'!$F$2)</f>
        <v>5751.84</v>
      </c>
      <c r="O20" s="431">
        <f>+$M20*(1+'Unit tariffs'!$F$2)</f>
        <v>5751.84</v>
      </c>
      <c r="P20" s="431">
        <f>+$O20*(1+'Unit tariffs'!$F$2)</f>
        <v>5993.417280000001</v>
      </c>
    </row>
    <row r="21" spans="1:16" ht="27">
      <c r="A21" s="281"/>
      <c r="B21" s="246" t="str">
        <f>+'Calc Sheet 20_21'!B221</f>
        <v>1.6 Single phase Pre-payment meters for areas that are fully subsidised. (Grants from different departments, e.g USDG, etc)</v>
      </c>
      <c r="C21" s="234" t="s">
        <v>241</v>
      </c>
      <c r="D21" s="213">
        <f>+'Calc Sheet 20_21'!H245</f>
        <v>1050</v>
      </c>
      <c r="E21" s="538">
        <v>370</v>
      </c>
      <c r="F21" s="627">
        <f>+'Calc Sheet 20_21'!H245</f>
        <v>1050</v>
      </c>
      <c r="G21" s="393">
        <f>+'Calc Sheet 20_21'!I245</f>
        <v>800</v>
      </c>
      <c r="H21" s="240">
        <f>(G21-F21)/F21</f>
        <v>-0.23809523809523808</v>
      </c>
      <c r="I21" s="241">
        <f>G21*I$3</f>
        <v>120</v>
      </c>
      <c r="J21" s="583">
        <f>G21+I21</f>
        <v>920</v>
      </c>
      <c r="K21" s="283">
        <v>9100033030416</v>
      </c>
      <c r="M21" s="431">
        <f>J21+L21</f>
        <v>920</v>
      </c>
      <c r="N21" s="431">
        <f>+$M21*(1+'Unit tariffs'!$F$2)</f>
        <v>958.64</v>
      </c>
      <c r="O21" s="431">
        <f>+$M21*(1+'Unit tariffs'!$F$2)</f>
        <v>958.64</v>
      </c>
      <c r="P21" s="431">
        <f>+$O21*(1+'Unit tariffs'!$F$2)</f>
        <v>998.90288</v>
      </c>
    </row>
    <row r="22" spans="1:16" ht="20.25" customHeight="1">
      <c r="A22" s="281"/>
      <c r="B22" s="233" t="str">
        <f>+'Calc Sheet 20_21'!B252</f>
        <v>1.7  Subdivision  (Domestic) -  Urban area: </v>
      </c>
      <c r="C22" s="234"/>
      <c r="D22" s="213"/>
      <c r="E22" s="537"/>
      <c r="F22" s="627"/>
      <c r="G22" s="393"/>
      <c r="H22" s="240"/>
      <c r="I22" s="241"/>
      <c r="J22" s="583"/>
      <c r="K22" s="283"/>
      <c r="M22" s="431"/>
      <c r="N22" s="431"/>
      <c r="O22" s="431"/>
      <c r="P22" s="431"/>
    </row>
    <row r="23" spans="1:16" ht="30.75" customHeight="1">
      <c r="A23" s="281"/>
      <c r="B23" s="233" t="str">
        <f>+'Calc Sheet 20_21'!B254</f>
        <v>    1.7.1 Subdivision Urban Area:  A new Single Phase Split pre-payment meter for domestic connection </v>
      </c>
      <c r="C23" s="234" t="s">
        <v>241</v>
      </c>
      <c r="D23" s="213">
        <f>+'Calc Sheet 20_21'!H283</f>
        <v>18760</v>
      </c>
      <c r="E23" s="537">
        <v>15780</v>
      </c>
      <c r="F23" s="627">
        <f>+'Calc Sheet 20_21'!H283</f>
        <v>18760</v>
      </c>
      <c r="G23" s="393">
        <f>+'Calc Sheet 20_21'!I283</f>
        <v>17950</v>
      </c>
      <c r="H23" s="240">
        <f>(G23-F23)/F23</f>
        <v>-0.04317697228144989</v>
      </c>
      <c r="I23" s="241">
        <f>G23*I$3</f>
        <v>2692.5</v>
      </c>
      <c r="J23" s="583">
        <f>G23+I23</f>
        <v>20642.5</v>
      </c>
      <c r="K23" s="285">
        <v>9100033030416</v>
      </c>
      <c r="M23" s="431">
        <f>J23+L23</f>
        <v>20642.5</v>
      </c>
      <c r="N23" s="431">
        <f>+$M23*(1+'Unit tariffs'!$F$2)</f>
        <v>21509.485</v>
      </c>
      <c r="O23" s="431">
        <f>+$M23*(1+'Unit tariffs'!$F$2)</f>
        <v>21509.485</v>
      </c>
      <c r="P23" s="431">
        <f>+$O23*(1+'Unit tariffs'!$F$2)</f>
        <v>22412.883370000003</v>
      </c>
    </row>
    <row r="24" spans="1:16" ht="14.25">
      <c r="A24" s="350"/>
      <c r="B24" s="351"/>
      <c r="C24" s="352"/>
      <c r="D24" s="703"/>
      <c r="E24" s="704"/>
      <c r="F24" s="705"/>
      <c r="G24" s="706"/>
      <c r="H24" s="707"/>
      <c r="I24" s="708"/>
      <c r="J24" s="709"/>
      <c r="K24" s="710"/>
      <c r="M24" s="712"/>
      <c r="N24" s="712"/>
      <c r="O24" s="712"/>
      <c r="P24" s="431"/>
    </row>
    <row r="25" spans="1:16" ht="93">
      <c r="A25" s="281"/>
      <c r="B25" s="233" t="str">
        <f>+'Calc Sheet 20_21'!B291</f>
        <v>1.8 Additional Meters:  New 1ph  Split pre-paid meter connection- limited up to 500kVA, LV per Erf. Cost estimates will be compiled based on the quantiry of meters required and Network contribution will be levied as per ruling R/kVA.</v>
      </c>
      <c r="C25" s="234" t="s">
        <v>241</v>
      </c>
      <c r="D25" s="247" t="str">
        <f>+'Calc Sheet 20_21'!H291</f>
        <v>Actual estimated cost plus network contribution for 1.5kVA</v>
      </c>
      <c r="E25" s="539"/>
      <c r="F25" s="628" t="s">
        <v>262</v>
      </c>
      <c r="G25" s="394" t="str">
        <f>+'Calc Sheet 20_21'!I291</f>
        <v>Actual estimated cost plus network contribution ADMD (to be detrmined by number of meters applied for) crediting the network contribution already paid for.</v>
      </c>
      <c r="H25" s="231"/>
      <c r="I25" s="228"/>
      <c r="J25" s="582"/>
      <c r="K25" s="282"/>
      <c r="M25" s="429"/>
      <c r="N25" s="429"/>
      <c r="O25" s="429"/>
      <c r="P25" s="431"/>
    </row>
    <row r="26" spans="1:16" ht="14.25">
      <c r="A26" s="350"/>
      <c r="B26" s="351"/>
      <c r="C26" s="352"/>
      <c r="D26" s="703"/>
      <c r="E26" s="704"/>
      <c r="F26" s="705"/>
      <c r="G26" s="706"/>
      <c r="H26" s="707"/>
      <c r="I26" s="708"/>
      <c r="J26" s="709"/>
      <c r="K26" s="710"/>
      <c r="M26" s="712"/>
      <c r="N26" s="712"/>
      <c r="O26" s="712"/>
      <c r="P26" s="431"/>
    </row>
    <row r="27" spans="1:16" ht="15" thickBot="1">
      <c r="A27" s="378"/>
      <c r="B27" s="379"/>
      <c r="C27" s="380"/>
      <c r="D27" s="293"/>
      <c r="E27" s="540"/>
      <c r="F27" s="629"/>
      <c r="G27" s="296"/>
      <c r="H27" s="294"/>
      <c r="I27" s="295"/>
      <c r="J27" s="585"/>
      <c r="K27" s="381"/>
      <c r="L27" s="409"/>
      <c r="M27" s="435"/>
      <c r="N27" s="435"/>
      <c r="O27" s="435"/>
      <c r="P27" s="431"/>
    </row>
    <row r="28" spans="1:16" ht="14.25">
      <c r="A28" s="298"/>
      <c r="B28" s="299" t="str">
        <f>'Calc Sheet 20_21'!B295</f>
        <v>2. NEW THREE PHASE DOMESTIC CONNECTIONS: URBAN</v>
      </c>
      <c r="C28" s="341"/>
      <c r="D28" s="342"/>
      <c r="E28" s="534"/>
      <c r="F28" s="625"/>
      <c r="G28" s="317"/>
      <c r="H28" s="302"/>
      <c r="I28" s="303"/>
      <c r="J28" s="581"/>
      <c r="K28" s="303"/>
      <c r="L28" s="303"/>
      <c r="M28" s="426"/>
      <c r="N28" s="426"/>
      <c r="O28" s="426"/>
      <c r="P28" s="431"/>
    </row>
    <row r="29" spans="1:16" ht="14.25">
      <c r="A29" s="298"/>
      <c r="B29" s="239"/>
      <c r="C29" s="234"/>
      <c r="D29" s="229"/>
      <c r="E29" s="536"/>
      <c r="F29" s="626"/>
      <c r="G29" s="230"/>
      <c r="H29" s="231"/>
      <c r="I29" s="228"/>
      <c r="J29" s="582"/>
      <c r="K29" s="228"/>
      <c r="L29" s="228"/>
      <c r="M29" s="428"/>
      <c r="N29" s="428"/>
      <c r="O29" s="428"/>
      <c r="P29" s="431"/>
    </row>
    <row r="30" spans="1:16" ht="27">
      <c r="A30" s="298"/>
      <c r="B30" s="237" t="str">
        <f>+'Calc Sheet 20_21'!B297</f>
        <v>Three phase connection in meter box placed on stand boundary taken from underground cable network.</v>
      </c>
      <c r="C30" s="300"/>
      <c r="D30" s="301"/>
      <c r="E30" s="541"/>
      <c r="F30" s="630"/>
      <c r="G30" s="396"/>
      <c r="H30" s="302"/>
      <c r="I30" s="303"/>
      <c r="J30" s="581"/>
      <c r="K30" s="322"/>
      <c r="M30" s="427"/>
      <c r="N30" s="427"/>
      <c r="O30" s="427"/>
      <c r="P30" s="431"/>
    </row>
    <row r="31" spans="1:16" ht="12" customHeight="1">
      <c r="A31" s="281"/>
      <c r="B31" s="233"/>
      <c r="C31" s="234"/>
      <c r="D31" s="248"/>
      <c r="E31" s="542"/>
      <c r="F31" s="631"/>
      <c r="G31" s="397"/>
      <c r="H31" s="249"/>
      <c r="I31" s="250"/>
      <c r="J31" s="586"/>
      <c r="K31" s="286"/>
      <c r="M31" s="429"/>
      <c r="N31" s="429"/>
      <c r="O31" s="429"/>
      <c r="P31" s="431"/>
    </row>
    <row r="32" spans="1:16" ht="14.25">
      <c r="A32" s="281"/>
      <c r="B32" s="233" t="str">
        <f>+'Calc Sheet 20_21'!B299</f>
        <v>2.1 Three phase domestic connection (80A) in meter box,  Time of use (TOU) meter    </v>
      </c>
      <c r="C32" s="234" t="s">
        <v>343</v>
      </c>
      <c r="D32" s="213">
        <f>+'Calc Sheet 20_21'!H332</f>
        <v>19790</v>
      </c>
      <c r="E32" s="537">
        <v>18370</v>
      </c>
      <c r="F32" s="627">
        <v>18710</v>
      </c>
      <c r="G32" s="393">
        <f>+'Calc Sheet 20_21'!I332</f>
        <v>22990</v>
      </c>
      <c r="H32" s="240">
        <f>(G32-F32)/F32</f>
        <v>0.22875467664350616</v>
      </c>
      <c r="I32" s="241">
        <f>G32*I$3</f>
        <v>3448.5</v>
      </c>
      <c r="J32" s="583">
        <f>G32+I32</f>
        <v>26438.5</v>
      </c>
      <c r="K32" s="283">
        <v>9100033030416</v>
      </c>
      <c r="M32" s="431">
        <f>J32+L32</f>
        <v>26438.5</v>
      </c>
      <c r="N32" s="431">
        <f>+$M32*(1+'Unit tariffs'!$F$2)</f>
        <v>27548.917</v>
      </c>
      <c r="O32" s="431">
        <f>+$M32*(1+'Unit tariffs'!$F$2)</f>
        <v>27548.917</v>
      </c>
      <c r="P32" s="431">
        <f>+$O32*(1+'Unit tariffs'!$F$2)</f>
        <v>28705.971514</v>
      </c>
    </row>
    <row r="33" spans="1:16" ht="14.25">
      <c r="A33" s="281"/>
      <c r="B33" s="233"/>
      <c r="C33" s="234"/>
      <c r="D33" s="213"/>
      <c r="E33" s="537"/>
      <c r="F33" s="627"/>
      <c r="G33" s="393"/>
      <c r="H33" s="231"/>
      <c r="I33" s="228"/>
      <c r="J33" s="582"/>
      <c r="K33" s="282"/>
      <c r="M33" s="429"/>
      <c r="N33" s="429"/>
      <c r="O33" s="429"/>
      <c r="P33" s="431">
        <f>+$O33*(1+'Unit tariffs'!$F$2)</f>
        <v>0</v>
      </c>
    </row>
    <row r="34" spans="1:16" ht="14.25">
      <c r="A34" s="281"/>
      <c r="B34" s="233" t="str">
        <f>+'Calc Sheet 20_21'!B340</f>
        <v>2.2 Three phase connection (80A) in meter box,  Time of use (TOU) meter                                               </v>
      </c>
      <c r="C34" s="238" t="s">
        <v>344</v>
      </c>
      <c r="D34" s="213">
        <f>+'Calc Sheet 20_21'!H370</f>
        <v>16860</v>
      </c>
      <c r="E34" s="537">
        <v>15725</v>
      </c>
      <c r="F34" s="627">
        <f>+'Calc Sheet 20_21'!H370</f>
        <v>16860</v>
      </c>
      <c r="G34" s="393">
        <f>+'Calc Sheet 20_21'!I370</f>
        <v>18620</v>
      </c>
      <c r="H34" s="240">
        <f>(G34-F34)/F34</f>
        <v>0.10438908659549229</v>
      </c>
      <c r="I34" s="241">
        <f>G34*I$3</f>
        <v>2793</v>
      </c>
      <c r="J34" s="583">
        <f>G34+I34</f>
        <v>21413</v>
      </c>
      <c r="K34" s="283">
        <v>9100033030416</v>
      </c>
      <c r="M34" s="431">
        <f>J34+L34</f>
        <v>21413</v>
      </c>
      <c r="N34" s="431">
        <f>+$M34*(1+'Unit tariffs'!$F$2)</f>
        <v>22312.346</v>
      </c>
      <c r="O34" s="431">
        <f>+$M34*(1+'Unit tariffs'!$F$2)</f>
        <v>22312.346</v>
      </c>
      <c r="P34" s="431">
        <f>+$O34*(1+'Unit tariffs'!$F$2)</f>
        <v>23249.464532</v>
      </c>
    </row>
    <row r="35" spans="1:16" ht="14.25">
      <c r="A35" s="281"/>
      <c r="B35" s="233"/>
      <c r="C35" s="234" t="s">
        <v>241</v>
      </c>
      <c r="D35" s="248"/>
      <c r="E35" s="542"/>
      <c r="F35" s="627"/>
      <c r="G35" s="397"/>
      <c r="H35" s="249"/>
      <c r="I35" s="250"/>
      <c r="J35" s="586"/>
      <c r="K35" s="286"/>
      <c r="M35" s="429"/>
      <c r="N35" s="429"/>
      <c r="O35" s="429"/>
      <c r="P35" s="431"/>
    </row>
    <row r="36" spans="1:16" ht="14.25" hidden="1">
      <c r="A36" s="281"/>
      <c r="B36" s="233" t="str">
        <f>'Calc Sheet 20_21'!B376</f>
        <v>2.3 Three phase domestic connection in meter box, Split pre-payment meter </v>
      </c>
      <c r="C36" s="234" t="s">
        <v>343</v>
      </c>
      <c r="D36" s="213">
        <f>'Calc Sheet 20_21'!H408</f>
        <v>17560</v>
      </c>
      <c r="E36" s="537">
        <v>16375</v>
      </c>
      <c r="F36" s="627">
        <v>16040</v>
      </c>
      <c r="G36" s="393">
        <f>'Calc Sheet 20_21'!I408</f>
        <v>20320</v>
      </c>
      <c r="H36" s="240">
        <f>(G36-F36)/F36</f>
        <v>0.26683291770573564</v>
      </c>
      <c r="I36" s="241">
        <f>G36*I$3</f>
        <v>3048</v>
      </c>
      <c r="J36" s="583">
        <f>G36+I36</f>
        <v>23368</v>
      </c>
      <c r="K36" s="283">
        <v>9100033030416</v>
      </c>
      <c r="M36" s="431">
        <f>J36+L36</f>
        <v>23368</v>
      </c>
      <c r="N36" s="431">
        <f>+$M36*(1+'Unit tariffs'!$F$2)</f>
        <v>24349.456000000002</v>
      </c>
      <c r="O36" s="431">
        <f>+$M36*(1+'Unit tariffs'!$F$2)</f>
        <v>24349.456000000002</v>
      </c>
      <c r="P36" s="431">
        <f>+$O36*(1+'Unit tariffs'!$F$2)</f>
        <v>25372.133152000002</v>
      </c>
    </row>
    <row r="37" spans="1:16" ht="14.25" hidden="1">
      <c r="A37" s="281"/>
      <c r="B37" s="251"/>
      <c r="C37" s="234"/>
      <c r="D37" s="213"/>
      <c r="E37" s="537"/>
      <c r="F37" s="631"/>
      <c r="G37" s="393"/>
      <c r="H37" s="240"/>
      <c r="I37" s="241"/>
      <c r="J37" s="583"/>
      <c r="K37" s="287"/>
      <c r="M37" s="431"/>
      <c r="N37" s="431"/>
      <c r="O37" s="431"/>
      <c r="P37" s="431">
        <f>+$O37*(1+'Unit tariffs'!$F$2)</f>
        <v>0</v>
      </c>
    </row>
    <row r="38" spans="1:16" ht="14.25">
      <c r="A38" s="281"/>
      <c r="B38" s="233" t="str">
        <f>'Calc Sheet 20_21'!B415</f>
        <v>2.4 Three phase domestic connection in meter box, Split pre-payment meter.</v>
      </c>
      <c r="C38" s="238" t="s">
        <v>344</v>
      </c>
      <c r="D38" s="213">
        <f>'Calc Sheet 20_21'!H445</f>
        <v>14620</v>
      </c>
      <c r="E38" s="537">
        <v>13720</v>
      </c>
      <c r="F38" s="627">
        <f>+'Calc Sheet 20_21'!H445</f>
        <v>14620</v>
      </c>
      <c r="G38" s="393">
        <f>'Calc Sheet 20_21'!I445</f>
        <v>14330</v>
      </c>
      <c r="H38" s="240">
        <f>(G38-F38)/F38</f>
        <v>-0.019835841313269494</v>
      </c>
      <c r="I38" s="241">
        <f>G38*I$3</f>
        <v>2149.5</v>
      </c>
      <c r="J38" s="583">
        <f>G38+I38</f>
        <v>16479.5</v>
      </c>
      <c r="K38" s="283">
        <v>9100033030416</v>
      </c>
      <c r="M38" s="431">
        <f>J38+L38</f>
        <v>16479.5</v>
      </c>
      <c r="N38" s="431">
        <f>+$M38*(1+'Unit tariffs'!$F$2)</f>
        <v>17171.639</v>
      </c>
      <c r="O38" s="431">
        <f>+$M38*(1+'Unit tariffs'!$F$2)</f>
        <v>17171.639</v>
      </c>
      <c r="P38" s="431">
        <f>+$O38*(1+'Unit tariffs'!$F$2)</f>
        <v>17892.847838</v>
      </c>
    </row>
    <row r="39" spans="1:16" ht="15" thickBot="1">
      <c r="A39" s="305"/>
      <c r="B39" s="313"/>
      <c r="C39" s="314" t="s">
        <v>241</v>
      </c>
      <c r="D39" s="308"/>
      <c r="E39" s="543"/>
      <c r="F39" s="632"/>
      <c r="G39" s="311"/>
      <c r="H39" s="309"/>
      <c r="I39" s="310"/>
      <c r="J39" s="587"/>
      <c r="K39" s="282"/>
      <c r="M39" s="437"/>
      <c r="N39" s="437"/>
      <c r="O39" s="437"/>
      <c r="P39" s="437"/>
    </row>
    <row r="40" spans="1:16" ht="15" thickBot="1" thickTop="1">
      <c r="A40" s="410"/>
      <c r="B40" s="411"/>
      <c r="C40" s="412"/>
      <c r="D40" s="413"/>
      <c r="E40" s="544"/>
      <c r="F40" s="633"/>
      <c r="G40" s="414"/>
      <c r="H40" s="415"/>
      <c r="I40" s="416"/>
      <c r="J40" s="588"/>
      <c r="K40" s="282"/>
      <c r="M40" s="439"/>
      <c r="N40" s="439"/>
      <c r="O40" s="439"/>
      <c r="P40" s="439"/>
    </row>
    <row r="41" spans="1:16" ht="15">
      <c r="A41" s="410"/>
      <c r="B41" s="274" t="str">
        <f>+B1</f>
        <v>CENTLEC : ELECTRICITY SERVICES COSTS FOR KOPANONG MUNIC</v>
      </c>
      <c r="C41" s="275"/>
      <c r="D41" s="382" t="s">
        <v>319</v>
      </c>
      <c r="E41" s="545"/>
      <c r="F41" s="634" t="s">
        <v>74</v>
      </c>
      <c r="G41" s="384" t="s">
        <v>74</v>
      </c>
      <c r="H41" s="383" t="s">
        <v>85</v>
      </c>
      <c r="I41" s="55" t="s">
        <v>470</v>
      </c>
      <c r="J41" s="384" t="s">
        <v>138</v>
      </c>
      <c r="K41" s="385" t="s">
        <v>75</v>
      </c>
      <c r="M41" s="695" t="s">
        <v>138</v>
      </c>
      <c r="N41" s="695" t="s">
        <v>138</v>
      </c>
      <c r="O41" s="695" t="s">
        <v>138</v>
      </c>
      <c r="P41" s="695" t="s">
        <v>138</v>
      </c>
    </row>
    <row r="42" spans="1:16" ht="15">
      <c r="A42" s="410"/>
      <c r="B42" s="418"/>
      <c r="C42" s="316"/>
      <c r="D42" s="335" t="s">
        <v>320</v>
      </c>
      <c r="E42" s="546"/>
      <c r="F42" s="635" t="s">
        <v>320</v>
      </c>
      <c r="G42" s="320" t="s">
        <v>320</v>
      </c>
      <c r="H42" s="336" t="s">
        <v>86</v>
      </c>
      <c r="I42" s="665">
        <f>+'Unit tariffs'!F$3</f>
        <v>0.15</v>
      </c>
      <c r="J42" s="320" t="s">
        <v>139</v>
      </c>
      <c r="K42" s="337" t="s">
        <v>78</v>
      </c>
      <c r="M42" s="697" t="s">
        <v>139</v>
      </c>
      <c r="N42" s="697" t="s">
        <v>139</v>
      </c>
      <c r="O42" s="697" t="s">
        <v>139</v>
      </c>
      <c r="P42" s="697" t="s">
        <v>139</v>
      </c>
    </row>
    <row r="43" spans="1:16" ht="15">
      <c r="A43" s="410"/>
      <c r="B43" s="418"/>
      <c r="C43" s="238" t="s">
        <v>330</v>
      </c>
      <c r="D43" s="338" t="s">
        <v>280</v>
      </c>
      <c r="E43" s="547"/>
      <c r="F43" s="690" t="str">
        <f>'Calc Sheet 20_21'!$H$11</f>
        <v>2020/2021</v>
      </c>
      <c r="G43" s="236" t="str">
        <f>'Calc Sheet 20_21'!$I$11</f>
        <v>2021/2022</v>
      </c>
      <c r="H43" s="339" t="str">
        <f>G43</f>
        <v>2021/2022</v>
      </c>
      <c r="I43" s="55" t="str">
        <f>G43</f>
        <v>2021/2022</v>
      </c>
      <c r="J43" s="236" t="str">
        <f>I43</f>
        <v>2021/2022</v>
      </c>
      <c r="K43" s="337" t="s">
        <v>79</v>
      </c>
      <c r="M43" s="692" t="s">
        <v>481</v>
      </c>
      <c r="N43" s="692" t="s">
        <v>630</v>
      </c>
      <c r="O43" s="692" t="s">
        <v>631</v>
      </c>
      <c r="P43" s="692" t="s">
        <v>632</v>
      </c>
    </row>
    <row r="44" spans="1:16" ht="15" thickBot="1">
      <c r="A44" s="417"/>
      <c r="B44" s="419" t="str">
        <f>'Calc Sheet 20_21'!B453</f>
        <v>3. NEW SINGLE PHASE DOMESTIC CONNECTIONS: PERI-URBAN</v>
      </c>
      <c r="C44" s="307" t="s">
        <v>331</v>
      </c>
      <c r="D44" s="318" t="s">
        <v>80</v>
      </c>
      <c r="E44" s="548"/>
      <c r="F44" s="636" t="s">
        <v>80</v>
      </c>
      <c r="G44" s="395" t="s">
        <v>80</v>
      </c>
      <c r="H44" s="309"/>
      <c r="I44" s="310"/>
      <c r="J44" s="587"/>
      <c r="K44" s="323"/>
      <c r="M44" s="437"/>
      <c r="N44" s="437"/>
      <c r="O44" s="437"/>
      <c r="P44" s="437"/>
    </row>
    <row r="45" spans="1:16" ht="15" thickTop="1">
      <c r="A45" s="312"/>
      <c r="C45" s="300"/>
      <c r="D45" s="301"/>
      <c r="E45" s="541"/>
      <c r="F45" s="630"/>
      <c r="G45" s="396"/>
      <c r="H45" s="302"/>
      <c r="I45" s="303"/>
      <c r="J45" s="581"/>
      <c r="K45" s="322"/>
      <c r="M45" s="427"/>
      <c r="N45" s="427"/>
      <c r="O45" s="427"/>
      <c r="P45" s="427"/>
    </row>
    <row r="46" spans="1:16" ht="45.75" customHeight="1">
      <c r="A46" s="281"/>
      <c r="B46" s="233" t="str">
        <f>+'Calc Sheet 20_21'!B490:G490</f>
        <v>3.2 Single phase Peri-Urban domestic connection with TOU kWh meter.  Supplied by 25kVA single phase transformer (60A) from 11kV overhead line   (where an 11kV line exists and is within the first 350m)</v>
      </c>
      <c r="C46" s="234" t="s">
        <v>242</v>
      </c>
      <c r="D46" s="578">
        <f>+'Calc Sheet 20_21'!H484</f>
        <v>34840</v>
      </c>
      <c r="E46" s="549">
        <v>15930</v>
      </c>
      <c r="F46" s="637">
        <f>+'Calc Sheet 20_21'!H484</f>
        <v>34840</v>
      </c>
      <c r="G46" s="398">
        <f>+'Calc Sheet 20_21'!I484</f>
        <v>33420</v>
      </c>
      <c r="H46" s="240">
        <f>(G46-F46)/F46</f>
        <v>-0.04075774971297359</v>
      </c>
      <c r="I46" s="241">
        <f>G46*I$3</f>
        <v>5013</v>
      </c>
      <c r="J46" s="583">
        <f>G46+I46</f>
        <v>38433</v>
      </c>
      <c r="K46" s="283">
        <v>9100033030416</v>
      </c>
      <c r="M46" s="431">
        <f>J46+L46</f>
        <v>38433</v>
      </c>
      <c r="N46" s="431">
        <f>'Calc Sheet 20_21'!S518</f>
        <v>25650</v>
      </c>
      <c r="O46" s="431">
        <f>+$M46*(1+'Unit tariffs'!$F$2)</f>
        <v>40047.186</v>
      </c>
      <c r="P46" s="431">
        <f>+$O46*(1+'Unit tariffs'!$F$2)</f>
        <v>41729.167812</v>
      </c>
    </row>
    <row r="47" spans="1:16" ht="27">
      <c r="A47" s="281"/>
      <c r="B47" s="233" t="str">
        <f>+'Calc Sheet 20_21'!B577:G577</f>
        <v>3.4 Single phase Peri-Urban domestic connection - Prepayment meter. - Supplied by 25kVA single phase Trfr (60A) from 11kV overhead line   (where an 11kV line exists)</v>
      </c>
      <c r="C47" s="234" t="s">
        <v>242</v>
      </c>
      <c r="D47" s="213">
        <f>+'Calc Sheet 20_21'!H572</f>
        <v>41370</v>
      </c>
      <c r="E47" s="537">
        <v>12240</v>
      </c>
      <c r="F47" s="627">
        <f>+'Calc Sheet 20_21'!H572</f>
        <v>41370</v>
      </c>
      <c r="G47" s="393">
        <f>+'Calc Sheet 20_21'!I572</f>
        <v>37190</v>
      </c>
      <c r="H47" s="240">
        <f>(G47-F47)/F47</f>
        <v>-0.10103940053178632</v>
      </c>
      <c r="I47" s="241">
        <f>G47*I$3</f>
        <v>5578.5</v>
      </c>
      <c r="J47" s="583">
        <f>G47+I47</f>
        <v>42768.5</v>
      </c>
      <c r="K47" s="283">
        <v>9100033030416</v>
      </c>
      <c r="M47" s="431">
        <f>J47+L47</f>
        <v>42768.5</v>
      </c>
      <c r="N47" s="431">
        <f>'Calc Sheet 20_21'!T614</f>
        <v>12830</v>
      </c>
      <c r="O47" s="431">
        <f>+$M47*(1+'Unit tariffs'!$F$2)</f>
        <v>44564.777</v>
      </c>
      <c r="P47" s="431">
        <f>+$O47*(1+'Unit tariffs'!$F$2)</f>
        <v>46436.49763400001</v>
      </c>
    </row>
    <row r="48" spans="1:16" ht="63" customHeight="1">
      <c r="A48" s="281"/>
      <c r="B48" s="233" t="str">
        <f>+'Calc Sheet 20_21'!B622:G622</f>
        <v>3.5  Additional  Meters Peri-Urban Area:  New 1ph  Split pre-paid meter connection- limited up to 200kVA, LV per Erf. Cost estimates will be compiled based on the quantiry of meters required and Network contribution will be levied as per ruling R/kVA.</v>
      </c>
      <c r="C48" s="713" t="s">
        <v>242</v>
      </c>
      <c r="D48" s="213"/>
      <c r="E48" s="537"/>
      <c r="F48" s="628" t="str">
        <f>+'Calc Sheet 20_21'!H622</f>
        <v>Actual estimated cost plus network contribution depending on number of meters required </v>
      </c>
      <c r="G48" s="394" t="str">
        <f>+'Calc Sheet 20_21'!I622</f>
        <v>Actual estimated cost plus ADMD network contribution to be dertmined by number of meters needed </v>
      </c>
      <c r="H48" s="240"/>
      <c r="I48" s="241"/>
      <c r="J48" s="583"/>
      <c r="K48" s="283"/>
      <c r="M48" s="431"/>
      <c r="N48" s="431"/>
      <c r="O48" s="431"/>
      <c r="P48" s="431"/>
    </row>
    <row r="49" spans="1:16" ht="12.75" customHeight="1">
      <c r="A49" s="281"/>
      <c r="B49" s="233"/>
      <c r="C49" s="713"/>
      <c r="D49" s="213"/>
      <c r="E49" s="537"/>
      <c r="F49" s="628"/>
      <c r="G49" s="394"/>
      <c r="H49" s="240"/>
      <c r="I49" s="241"/>
      <c r="J49" s="583"/>
      <c r="K49" s="283"/>
      <c r="M49" s="431"/>
      <c r="N49" s="431"/>
      <c r="O49" s="431"/>
      <c r="P49" s="431"/>
    </row>
    <row r="50" spans="1:16" ht="18.75" customHeight="1">
      <c r="A50" s="281"/>
      <c r="B50" s="239" t="str">
        <f>'Calc Sheet 20_21'!B624</f>
        <v>4. NEW THREE PHASE DOMESTIC CONNECTIONS: PERI-URBAN</v>
      </c>
      <c r="C50" s="234"/>
      <c r="D50" s="213"/>
      <c r="E50" s="536"/>
      <c r="F50" s="626"/>
      <c r="G50" s="232"/>
      <c r="H50" s="231"/>
      <c r="I50" s="228"/>
      <c r="J50" s="582"/>
      <c r="K50" s="282"/>
      <c r="M50" s="431"/>
      <c r="N50" s="431"/>
      <c r="O50" s="429"/>
      <c r="P50" s="429"/>
    </row>
    <row r="51" spans="1:16" ht="28.5" customHeight="1">
      <c r="A51" s="298"/>
      <c r="B51" s="348" t="str">
        <f>+'Calc Sheet 20_21'!B626</f>
        <v>Three phase domestic connection in meterbox, where an 11kV line exists or has to be extended up to 350m.                                           </v>
      </c>
      <c r="C51" s="238"/>
      <c r="D51" s="213"/>
      <c r="E51" s="537"/>
      <c r="F51" s="627"/>
      <c r="G51" s="393"/>
      <c r="H51" s="231"/>
      <c r="I51" s="228"/>
      <c r="J51" s="582"/>
      <c r="K51" s="282"/>
      <c r="M51" s="431"/>
      <c r="N51" s="431"/>
      <c r="O51" s="429"/>
      <c r="P51" s="429"/>
    </row>
    <row r="52" spans="1:16" ht="12.75" customHeight="1">
      <c r="A52" s="281"/>
      <c r="B52" s="233"/>
      <c r="C52" s="234"/>
      <c r="D52" s="213"/>
      <c r="E52" s="537"/>
      <c r="F52" s="627"/>
      <c r="G52" s="393"/>
      <c r="H52" s="231"/>
      <c r="I52" s="228"/>
      <c r="J52" s="582"/>
      <c r="K52" s="282"/>
      <c r="M52" s="431"/>
      <c r="N52" s="431"/>
      <c r="O52" s="429"/>
      <c r="P52" s="429"/>
    </row>
    <row r="53" spans="1:16" ht="24.75" customHeight="1">
      <c r="A53" s="281"/>
      <c r="B53" s="233" t="str">
        <f>+'Calc Sheet 20_21'!B629</f>
        <v>4.1 New Three phase 80A/ph 25kVA domestic connection  in meter box with Time of use (TOU) meter in Mangaung - Peri urban                                              </v>
      </c>
      <c r="C53" s="234" t="str">
        <f>+C47</f>
        <v>Peri Urban Area</v>
      </c>
      <c r="D53" s="213">
        <f>+'Calc Sheet 20_21'!H668</f>
        <v>45010</v>
      </c>
      <c r="E53" s="537">
        <v>27150</v>
      </c>
      <c r="F53" s="627">
        <v>27500</v>
      </c>
      <c r="G53" s="393">
        <f>+'Calc Sheet 20_21'!I668</f>
        <v>45990</v>
      </c>
      <c r="H53" s="240">
        <f>(G53-F53)/F53</f>
        <v>0.6723636363636364</v>
      </c>
      <c r="I53" s="241">
        <f>G53*I$3</f>
        <v>6898.5</v>
      </c>
      <c r="J53" s="583">
        <f>G53+I53</f>
        <v>52888.5</v>
      </c>
      <c r="K53" s="283">
        <v>9100033030416</v>
      </c>
      <c r="M53" s="431">
        <f>J53+L53</f>
        <v>52888.5</v>
      </c>
      <c r="N53" s="431">
        <f>+$M53*(1+'Unit tariffs'!$F$2)</f>
        <v>55109.817</v>
      </c>
      <c r="O53" s="431">
        <f>+$M53*(1+'Unit tariffs'!$F$2)</f>
        <v>55109.817</v>
      </c>
      <c r="P53" s="431">
        <f>+$M53*(1+'Unit tariffs'!$F$2)</f>
        <v>55109.817</v>
      </c>
    </row>
    <row r="54" spans="1:16" ht="14.25">
      <c r="A54" s="281"/>
      <c r="B54" s="253"/>
      <c r="C54" s="234"/>
      <c r="D54" s="213"/>
      <c r="E54" s="537"/>
      <c r="F54" s="627"/>
      <c r="G54" s="393"/>
      <c r="H54" s="231"/>
      <c r="I54" s="228"/>
      <c r="J54" s="582"/>
      <c r="K54" s="282"/>
      <c r="M54" s="431"/>
      <c r="N54" s="431">
        <f>+$M54*(1+'Unit tariffs'!$F$2)</f>
        <v>0</v>
      </c>
      <c r="O54" s="429"/>
      <c r="P54" s="429"/>
    </row>
    <row r="55" spans="1:16" ht="39">
      <c r="A55" s="281"/>
      <c r="B55" s="233" t="str">
        <f>+'Calc Sheet 20_21'!B673</f>
        <v>4.2 New Three phase 80A/ph domestic connection in meter box with Time of use (TOU) meter in Regional.                                                                                      </v>
      </c>
      <c r="C55" s="238" t="s">
        <v>244</v>
      </c>
      <c r="D55" s="577">
        <f>+'Calc Sheet 20_21'!H709</f>
        <v>46750</v>
      </c>
      <c r="E55" s="537">
        <v>26870</v>
      </c>
      <c r="F55" s="627">
        <f>+'Calc Sheet 20_21'!H709</f>
        <v>46750</v>
      </c>
      <c r="G55" s="393">
        <f>+'Calc Sheet 20_21'!I709</f>
        <v>35160</v>
      </c>
      <c r="H55" s="240">
        <f>(G55-F55)/F55</f>
        <v>-0.2479144385026738</v>
      </c>
      <c r="I55" s="241">
        <f>G55*I$3</f>
        <v>5274</v>
      </c>
      <c r="J55" s="583">
        <f>G55+I55</f>
        <v>40434</v>
      </c>
      <c r="K55" s="283">
        <v>9100033030416</v>
      </c>
      <c r="M55" s="431">
        <f>J55+L55</f>
        <v>40434</v>
      </c>
      <c r="N55" s="431">
        <f>'Summary Mangaung 2020_2021'!M47</f>
        <v>16720</v>
      </c>
      <c r="O55" s="431">
        <f>+$M55*(1+'Unit tariffs'!$F$2)</f>
        <v>42132.228</v>
      </c>
      <c r="P55" s="431">
        <f>+$O55*(1+'Unit tariffs'!$F$2)</f>
        <v>43901.781576</v>
      </c>
    </row>
    <row r="56" spans="1:16" ht="14.25">
      <c r="A56" s="281"/>
      <c r="B56" s="253"/>
      <c r="C56" s="234"/>
      <c r="D56" s="213"/>
      <c r="E56" s="537"/>
      <c r="F56" s="627"/>
      <c r="G56" s="393"/>
      <c r="H56" s="231"/>
      <c r="I56" s="228"/>
      <c r="J56" s="582"/>
      <c r="K56" s="282"/>
      <c r="M56" s="429"/>
      <c r="N56" s="429"/>
      <c r="O56" s="429"/>
      <c r="P56" s="429"/>
    </row>
    <row r="57" spans="1:16" ht="23.25" customHeight="1" hidden="1">
      <c r="A57" s="281"/>
      <c r="B57" s="233" t="str">
        <f>'Calc Sheet 20_21'!B716</f>
        <v>4.3  New Three phase Peri-Urban domestic connection - Pre-payment meter (80A per phase)                                                    </v>
      </c>
      <c r="C57" s="234" t="str">
        <f>+C55</f>
        <v>[Regional - peri urban area]</v>
      </c>
      <c r="D57" s="213">
        <f>+'Calc Sheet 20_21'!H758</f>
        <v>36660</v>
      </c>
      <c r="E57" s="537">
        <v>27370</v>
      </c>
      <c r="F57" s="627">
        <v>27980</v>
      </c>
      <c r="G57" s="393">
        <f>+'Calc Sheet 20_21'!I758</f>
        <v>35780</v>
      </c>
      <c r="H57" s="240">
        <f>(G57-F57)/F57</f>
        <v>0.278770550393138</v>
      </c>
      <c r="I57" s="241">
        <f>G57*I$3</f>
        <v>5367</v>
      </c>
      <c r="J57" s="583">
        <f>G57+I57</f>
        <v>41147</v>
      </c>
      <c r="K57" s="283">
        <v>9100033030416</v>
      </c>
      <c r="M57" s="431">
        <f>J57+L57</f>
        <v>41147</v>
      </c>
      <c r="N57" s="431">
        <f>+$M57*(1+'Unit tariffs'!$F$2)</f>
        <v>42875.174</v>
      </c>
      <c r="O57" s="431">
        <f>+$M57*(1+'Unit tariffs'!$F$2)</f>
        <v>42875.174</v>
      </c>
      <c r="P57" s="431">
        <f>+$M57*(1+'Unit tariffs'!$F$2)</f>
        <v>42875.174</v>
      </c>
    </row>
    <row r="58" spans="1:16" ht="14.25" hidden="1">
      <c r="A58" s="281"/>
      <c r="B58" s="251"/>
      <c r="C58" s="234"/>
      <c r="D58" s="213"/>
      <c r="E58" s="537"/>
      <c r="F58" s="627"/>
      <c r="G58" s="393"/>
      <c r="H58" s="240"/>
      <c r="I58" s="241"/>
      <c r="J58" s="583"/>
      <c r="K58" s="287"/>
      <c r="M58" s="431"/>
      <c r="N58" s="431"/>
      <c r="O58" s="431"/>
      <c r="P58" s="431"/>
    </row>
    <row r="59" spans="1:16" ht="37.5" customHeight="1">
      <c r="A59" s="281"/>
      <c r="B59" s="233" t="str">
        <f>'Calc Sheet 20_21'!B763</f>
        <v>4.4 Three phase Peri-Urban domestic connection - Pre- payment meter (80A per phase)                                                    </v>
      </c>
      <c r="C59" s="238" t="str">
        <f>+'Calc Sheet 20_21'!I763</f>
        <v>[Regional - peri urban area]</v>
      </c>
      <c r="D59" s="213">
        <f>+'Calc Sheet 20_21'!H801</f>
        <v>35440</v>
      </c>
      <c r="E59" s="537">
        <v>24710</v>
      </c>
      <c r="F59" s="627">
        <f>+'Calc Sheet 20_21'!H801</f>
        <v>35440</v>
      </c>
      <c r="G59" s="393">
        <f>+'Calc Sheet 20_21'!I801</f>
        <v>34560</v>
      </c>
      <c r="H59" s="240">
        <f>(G59-F59)/F59</f>
        <v>-0.024830699774266364</v>
      </c>
      <c r="I59" s="241">
        <f>G59*I$3</f>
        <v>5184</v>
      </c>
      <c r="J59" s="583">
        <f>G59+I59</f>
        <v>39744</v>
      </c>
      <c r="K59" s="283">
        <v>9100033030416</v>
      </c>
      <c r="M59" s="431">
        <f>J59+L59</f>
        <v>39744</v>
      </c>
      <c r="N59" s="431">
        <f>'Calc Sheet 20_21'!V801</f>
        <v>26090</v>
      </c>
      <c r="O59" s="431">
        <f>+$M59*(1+'Unit tariffs'!$F$2)</f>
        <v>41413.248</v>
      </c>
      <c r="P59" s="431">
        <f>+$O59*(1+'Unit tariffs'!$F$2)</f>
        <v>43152.604416</v>
      </c>
    </row>
    <row r="60" spans="1:16" ht="14.25">
      <c r="A60" s="281"/>
      <c r="B60" s="251"/>
      <c r="C60" s="234"/>
      <c r="D60" s="213"/>
      <c r="E60" s="537"/>
      <c r="F60" s="627"/>
      <c r="G60" s="393"/>
      <c r="H60" s="240"/>
      <c r="I60" s="241"/>
      <c r="J60" s="583"/>
      <c r="K60" s="283"/>
      <c r="M60" s="431"/>
      <c r="N60" s="431"/>
      <c r="O60" s="431"/>
      <c r="P60" s="431"/>
    </row>
    <row r="61" spans="1:16" ht="14.25">
      <c r="A61" s="281"/>
      <c r="B61" s="239" t="str">
        <f>+'Calc Sheet 20_21'!B811</f>
        <v>4.5  Subdivision -  Peri-Urban area: </v>
      </c>
      <c r="C61" s="238"/>
      <c r="D61" s="213"/>
      <c r="E61" s="537"/>
      <c r="F61" s="627"/>
      <c r="G61" s="393"/>
      <c r="H61" s="240"/>
      <c r="I61" s="241"/>
      <c r="J61" s="583"/>
      <c r="K61" s="283"/>
      <c r="M61" s="431"/>
      <c r="N61" s="431"/>
      <c r="O61" s="431"/>
      <c r="P61" s="431"/>
    </row>
    <row r="62" spans="1:16" ht="35.25" customHeight="1">
      <c r="A62" s="281"/>
      <c r="B62" s="233" t="str">
        <f>+'Calc Sheet 20_21'!B813</f>
        <v>    4.5.1  Subdivision Pri Urban Area:  New Single Phase Split pre-payment meter connection in existing 11kV overhead line or  where 11kV overhead line needs to be exteded up to 350m.</v>
      </c>
      <c r="C62" s="234" t="s">
        <v>242</v>
      </c>
      <c r="D62" s="213">
        <f>+'Calc Sheet 20_21'!H842</f>
        <v>15970</v>
      </c>
      <c r="E62" s="537">
        <v>14510</v>
      </c>
      <c r="F62" s="627">
        <f>+'Calc Sheet 20_21'!H842</f>
        <v>15970</v>
      </c>
      <c r="G62" s="393">
        <f>+'Calc Sheet 20_21'!I842</f>
        <v>24380</v>
      </c>
      <c r="H62" s="240">
        <f>(G62-F62)/F62</f>
        <v>0.5266123982467126</v>
      </c>
      <c r="I62" s="241">
        <f>G62*I$3</f>
        <v>3657</v>
      </c>
      <c r="J62" s="583">
        <f>G62+I62</f>
        <v>28037</v>
      </c>
      <c r="K62" s="285">
        <v>9100033030416</v>
      </c>
      <c r="M62" s="431">
        <f>J62+L62</f>
        <v>28037</v>
      </c>
      <c r="N62" s="431">
        <f>+$M62*(1+'Unit tariffs'!$F$2)</f>
        <v>29214.554</v>
      </c>
      <c r="O62" s="431">
        <f>+$M62*(1+'Unit tariffs'!$F$2)</f>
        <v>29214.554</v>
      </c>
      <c r="P62" s="431">
        <f>+$O62*(1+'Unit tariffs'!$F$2)</f>
        <v>30441.565268000002</v>
      </c>
    </row>
    <row r="63" spans="1:16" ht="27">
      <c r="A63" s="281"/>
      <c r="B63" s="233"/>
      <c r="C63" s="234"/>
      <c r="D63" s="247" t="e">
        <f>+'Calc Sheet 20_21'!#REF!</f>
        <v>#REF!</v>
      </c>
      <c r="E63" s="539"/>
      <c r="F63" s="628" t="s">
        <v>262</v>
      </c>
      <c r="G63" s="394" t="e">
        <f>+'Calc Sheet 20_21'!#REF!</f>
        <v>#REF!</v>
      </c>
      <c r="H63" s="240"/>
      <c r="I63" s="241"/>
      <c r="J63" s="583"/>
      <c r="K63" s="283"/>
      <c r="M63" s="431"/>
      <c r="N63" s="431"/>
      <c r="O63" s="431"/>
      <c r="P63" s="431"/>
    </row>
    <row r="64" spans="1:16" ht="39.75">
      <c r="A64" s="281"/>
      <c r="B64" s="233" t="str">
        <f>+'Calc Sheet 20_21'!B847</f>
        <v>    4.5.2 Subdivision Peri Urban Area:  New Three Split pre-payment meter connection on the stand boundary, where 11kV overhead line needs to be exteded up to 350m at ADMD = 7,5KVA</v>
      </c>
      <c r="C64" s="234" t="s">
        <v>242</v>
      </c>
      <c r="D64" s="247" t="str">
        <f>+'Calc Sheet 20_21'!H850</f>
        <v>Actual estimated cost plus network contribution for 7.5kVA</v>
      </c>
      <c r="E64" s="539"/>
      <c r="F64" s="628" t="s">
        <v>262</v>
      </c>
      <c r="G64" s="394" t="str">
        <f>+'Calc Sheet 20_21'!I850</f>
        <v>Actual estimated cost plus network contribution for 7.5kVA</v>
      </c>
      <c r="H64" s="240"/>
      <c r="I64" s="241"/>
      <c r="J64" s="583"/>
      <c r="K64" s="283"/>
      <c r="M64" s="431"/>
      <c r="N64" s="431"/>
      <c r="O64" s="431"/>
      <c r="P64" s="431"/>
    </row>
    <row r="65" spans="1:16" ht="15" thickBot="1">
      <c r="A65" s="378"/>
      <c r="B65" s="290"/>
      <c r="C65" s="291"/>
      <c r="D65" s="293"/>
      <c r="E65" s="540"/>
      <c r="F65" s="629"/>
      <c r="G65" s="296"/>
      <c r="H65" s="294"/>
      <c r="I65" s="295"/>
      <c r="J65" s="585"/>
      <c r="K65" s="386"/>
      <c r="M65" s="435"/>
      <c r="N65" s="435"/>
      <c r="O65" s="435"/>
      <c r="P65" s="435"/>
    </row>
    <row r="66" spans="1:16" ht="15">
      <c r="A66" s="273"/>
      <c r="B66" s="274" t="str">
        <f>B1</f>
        <v>CENTLEC : ELECTRICITY SERVICES COSTS FOR KOPANONG MUNIC</v>
      </c>
      <c r="C66" s="275"/>
      <c r="D66" s="276"/>
      <c r="E66" s="550"/>
      <c r="F66" s="622"/>
      <c r="G66" s="279"/>
      <c r="H66" s="277"/>
      <c r="I66" s="278"/>
      <c r="J66" s="580"/>
      <c r="K66" s="280"/>
      <c r="M66" s="421"/>
      <c r="N66" s="421"/>
      <c r="O66" s="421"/>
      <c r="P66" s="421"/>
    </row>
    <row r="67" spans="1:16" ht="14.25">
      <c r="A67" s="298"/>
      <c r="B67" s="299" t="s">
        <v>1</v>
      </c>
      <c r="C67" s="300"/>
      <c r="D67" s="335" t="s">
        <v>74</v>
      </c>
      <c r="E67" s="546"/>
      <c r="F67" s="635" t="s">
        <v>74</v>
      </c>
      <c r="G67" s="320" t="s">
        <v>74</v>
      </c>
      <c r="H67" s="336" t="s">
        <v>85</v>
      </c>
      <c r="I67" s="55" t="s">
        <v>470</v>
      </c>
      <c r="J67" s="320" t="s">
        <v>138</v>
      </c>
      <c r="K67" s="337" t="s">
        <v>75</v>
      </c>
      <c r="M67" s="697" t="s">
        <v>138</v>
      </c>
      <c r="N67" s="697" t="s">
        <v>138</v>
      </c>
      <c r="O67" s="697" t="s">
        <v>138</v>
      </c>
      <c r="P67" s="697" t="s">
        <v>138</v>
      </c>
    </row>
    <row r="68" spans="1:16" ht="14.25">
      <c r="A68" s="281"/>
      <c r="B68" s="319" t="s">
        <v>333</v>
      </c>
      <c r="C68" s="238"/>
      <c r="D68" s="340" t="s">
        <v>77</v>
      </c>
      <c r="E68" s="532"/>
      <c r="F68" s="623" t="s">
        <v>77</v>
      </c>
      <c r="G68" s="236" t="s">
        <v>77</v>
      </c>
      <c r="H68" s="339" t="s">
        <v>86</v>
      </c>
      <c r="I68" s="665">
        <f>+'Unit tariffs'!F$3</f>
        <v>0.15</v>
      </c>
      <c r="J68" s="236" t="s">
        <v>139</v>
      </c>
      <c r="K68" s="337" t="s">
        <v>78</v>
      </c>
      <c r="M68" s="692" t="s">
        <v>139</v>
      </c>
      <c r="N68" s="692" t="s">
        <v>139</v>
      </c>
      <c r="O68" s="692" t="s">
        <v>139</v>
      </c>
      <c r="P68" s="692" t="s">
        <v>139</v>
      </c>
    </row>
    <row r="69" spans="1:16" ht="14.25">
      <c r="A69" s="281"/>
      <c r="B69" s="239" t="s">
        <v>1</v>
      </c>
      <c r="C69" s="238"/>
      <c r="D69" s="340" t="str">
        <f>D$4</f>
        <v>2016/2017</v>
      </c>
      <c r="E69" s="532"/>
      <c r="F69" s="690" t="str">
        <f>'Calc Sheet 20_21'!$H$11</f>
        <v>2020/2021</v>
      </c>
      <c r="G69" s="236" t="str">
        <f>'Calc Sheet 20_21'!$I$11</f>
        <v>2021/2022</v>
      </c>
      <c r="H69" s="339" t="str">
        <f>G69</f>
        <v>2021/2022</v>
      </c>
      <c r="I69" s="55" t="str">
        <f>G69</f>
        <v>2021/2022</v>
      </c>
      <c r="J69" s="236" t="str">
        <f>I69</f>
        <v>2021/2022</v>
      </c>
      <c r="K69" s="337" t="s">
        <v>79</v>
      </c>
      <c r="M69" s="692" t="s">
        <v>481</v>
      </c>
      <c r="N69" s="692" t="s">
        <v>630</v>
      </c>
      <c r="O69" s="692" t="s">
        <v>631</v>
      </c>
      <c r="P69" s="692" t="s">
        <v>632</v>
      </c>
    </row>
    <row r="70" spans="1:16" ht="14.25">
      <c r="A70" s="281"/>
      <c r="B70" s="239" t="s">
        <v>1</v>
      </c>
      <c r="C70" s="238"/>
      <c r="D70" s="340" t="s">
        <v>80</v>
      </c>
      <c r="E70" s="532"/>
      <c r="F70" s="623" t="s">
        <v>80</v>
      </c>
      <c r="G70" s="236" t="s">
        <v>80</v>
      </c>
      <c r="H70" s="339"/>
      <c r="I70" s="55"/>
      <c r="J70" s="236"/>
      <c r="K70" s="337"/>
      <c r="M70" s="423"/>
      <c r="N70" s="423"/>
      <c r="O70" s="423"/>
      <c r="P70" s="423"/>
    </row>
    <row r="71" spans="1:16" ht="19.5" customHeight="1">
      <c r="A71" s="281"/>
      <c r="B71" s="239" t="str">
        <f>'Calc Sheet 20_21'!B853</f>
        <v>5.  ILLUMINATING SIGNS</v>
      </c>
      <c r="C71" s="238"/>
      <c r="D71" s="230"/>
      <c r="E71" s="536"/>
      <c r="F71" s="626"/>
      <c r="G71" s="232"/>
      <c r="H71" s="231"/>
      <c r="I71" s="228"/>
      <c r="J71" s="582"/>
      <c r="K71" s="282"/>
      <c r="M71" s="429"/>
      <c r="N71" s="429"/>
      <c r="O71" s="429"/>
      <c r="P71" s="429"/>
    </row>
    <row r="72" spans="1:16" ht="14.25">
      <c r="A72" s="281"/>
      <c r="B72" s="233" t="s">
        <v>1</v>
      </c>
      <c r="C72" s="234"/>
      <c r="D72" s="230"/>
      <c r="E72" s="536"/>
      <c r="F72" s="626"/>
      <c r="G72" s="232"/>
      <c r="H72" s="231"/>
      <c r="I72" s="228"/>
      <c r="J72" s="582"/>
      <c r="K72" s="282" t="s">
        <v>1</v>
      </c>
      <c r="M72" s="429"/>
      <c r="N72" s="429"/>
      <c r="O72" s="429"/>
      <c r="P72" s="429"/>
    </row>
    <row r="73" spans="1:16" ht="14.25">
      <c r="A73" s="281"/>
      <c r="B73" s="233" t="s">
        <v>100</v>
      </c>
      <c r="C73" s="234"/>
      <c r="D73" s="230" t="s">
        <v>205</v>
      </c>
      <c r="E73" s="536"/>
      <c r="F73" s="626" t="s">
        <v>205</v>
      </c>
      <c r="G73" s="232" t="s">
        <v>205</v>
      </c>
      <c r="H73" s="231"/>
      <c r="I73" s="228"/>
      <c r="J73" s="582"/>
      <c r="K73" s="283">
        <v>9100033030416</v>
      </c>
      <c r="M73" s="429"/>
      <c r="N73" s="429"/>
      <c r="O73" s="429"/>
      <c r="P73" s="429"/>
    </row>
    <row r="74" spans="1:16" ht="14.25">
      <c r="A74" s="281"/>
      <c r="B74" s="233" t="s">
        <v>1</v>
      </c>
      <c r="C74" s="234"/>
      <c r="D74" s="230"/>
      <c r="E74" s="536"/>
      <c r="F74" s="626"/>
      <c r="G74" s="232"/>
      <c r="H74" s="231"/>
      <c r="I74" s="228"/>
      <c r="J74" s="582"/>
      <c r="K74" s="287"/>
      <c r="M74" s="429"/>
      <c r="N74" s="429"/>
      <c r="O74" s="429"/>
      <c r="P74" s="429"/>
    </row>
    <row r="75" spans="1:16" ht="14.25">
      <c r="A75" s="281"/>
      <c r="B75" s="233" t="str">
        <f>'Calc Sheet 20_21'!B857</f>
        <v>Levy for electricity consumed</v>
      </c>
      <c r="C75" s="234"/>
      <c r="D75" s="213">
        <f>'Calc Sheet 20_21'!H864</f>
        <v>103</v>
      </c>
      <c r="E75" s="537"/>
      <c r="F75" s="627">
        <f>+'Calc Sheet 20_21'!H864</f>
        <v>103</v>
      </c>
      <c r="G75" s="393">
        <f>'Calc Sheet 20_21'!I864</f>
        <v>111</v>
      </c>
      <c r="H75" s="240">
        <f>(G75-F75)/F75</f>
        <v>0.07766990291262135</v>
      </c>
      <c r="I75" s="241">
        <f>G75*I$3</f>
        <v>16.65</v>
      </c>
      <c r="J75" s="583">
        <f>G75+I75</f>
        <v>127.65</v>
      </c>
      <c r="K75" s="283">
        <v>9100033030416</v>
      </c>
      <c r="M75" s="431">
        <f>J75+L75</f>
        <v>127.65</v>
      </c>
      <c r="N75" s="431">
        <f>+$M75*(1+'Unit tariffs'!$F$2)</f>
        <v>133.0113</v>
      </c>
      <c r="O75" s="431">
        <f>+$M75*(1+'Unit tariffs'!$F$2)</f>
        <v>133.0113</v>
      </c>
      <c r="P75" s="431">
        <f>+$O75*(1+'Unit tariffs'!$F$2)</f>
        <v>138.5977746</v>
      </c>
    </row>
    <row r="76" spans="1:16" ht="14.25">
      <c r="A76" s="281"/>
      <c r="B76" s="233" t="s">
        <v>1</v>
      </c>
      <c r="C76" s="234"/>
      <c r="D76" s="213"/>
      <c r="E76" s="537"/>
      <c r="F76" s="627"/>
      <c r="G76" s="393"/>
      <c r="H76" s="254"/>
      <c r="I76" s="242"/>
      <c r="J76" s="236"/>
      <c r="K76" s="287"/>
      <c r="M76" s="423"/>
      <c r="N76" s="423"/>
      <c r="O76" s="423"/>
      <c r="P76" s="423"/>
    </row>
    <row r="77" spans="1:16" ht="16.5" customHeight="1">
      <c r="A77" s="298"/>
      <c r="B77" s="299" t="str">
        <f>'Calc Sheet 20_21'!B872</f>
        <v>6. TEMPORARY CONNECTIONS - MAXIMUM PERIOD OF 12 MONTHS </v>
      </c>
      <c r="C77" s="300"/>
      <c r="D77" s="301" t="s">
        <v>1</v>
      </c>
      <c r="E77" s="541"/>
      <c r="F77" s="630" t="s">
        <v>1</v>
      </c>
      <c r="G77" s="396" t="s">
        <v>1</v>
      </c>
      <c r="H77" s="302"/>
      <c r="I77" s="303"/>
      <c r="J77" s="581"/>
      <c r="K77" s="322" t="s">
        <v>1</v>
      </c>
      <c r="M77" s="427"/>
      <c r="N77" s="427"/>
      <c r="O77" s="427"/>
      <c r="P77" s="427"/>
    </row>
    <row r="78" spans="1:16" ht="14.25">
      <c r="A78" s="281"/>
      <c r="B78" s="233"/>
      <c r="C78" s="234"/>
      <c r="D78" s="213" t="s">
        <v>81</v>
      </c>
      <c r="E78" s="537"/>
      <c r="F78" s="627" t="s">
        <v>81</v>
      </c>
      <c r="G78" s="393" t="s">
        <v>81</v>
      </c>
      <c r="H78" s="231"/>
      <c r="I78" s="228"/>
      <c r="J78" s="582"/>
      <c r="K78" s="282"/>
      <c r="M78" s="429"/>
      <c r="N78" s="429"/>
      <c r="O78" s="429"/>
      <c r="P78" s="429"/>
    </row>
    <row r="79" spans="1:16" ht="14.25">
      <c r="A79" s="281"/>
      <c r="B79" s="233" t="s">
        <v>82</v>
      </c>
      <c r="C79" s="234"/>
      <c r="D79" s="213"/>
      <c r="E79" s="537"/>
      <c r="F79" s="627"/>
      <c r="G79" s="393"/>
      <c r="H79" s="231"/>
      <c r="I79" s="228"/>
      <c r="J79" s="582"/>
      <c r="K79" s="282"/>
      <c r="M79" s="429"/>
      <c r="N79" s="429"/>
      <c r="O79" s="429"/>
      <c r="P79" s="429"/>
    </row>
    <row r="80" spans="1:16" ht="14.25">
      <c r="A80" s="281"/>
      <c r="B80" s="233" t="s">
        <v>83</v>
      </c>
      <c r="C80" s="234"/>
      <c r="D80" s="213"/>
      <c r="E80" s="537"/>
      <c r="F80" s="627"/>
      <c r="G80" s="393"/>
      <c r="H80" s="231"/>
      <c r="I80" s="228"/>
      <c r="J80" s="582"/>
      <c r="K80" s="282"/>
      <c r="M80" s="429"/>
      <c r="N80" s="429"/>
      <c r="O80" s="429"/>
      <c r="P80" s="429"/>
    </row>
    <row r="81" spans="1:16" ht="14.25">
      <c r="A81" s="281"/>
      <c r="B81" s="233" t="s">
        <v>84</v>
      </c>
      <c r="C81" s="234"/>
      <c r="D81" s="213"/>
      <c r="E81" s="537"/>
      <c r="F81" s="627"/>
      <c r="G81" s="393"/>
      <c r="H81" s="231"/>
      <c r="I81" s="228"/>
      <c r="J81" s="582"/>
      <c r="K81" s="282" t="s">
        <v>1</v>
      </c>
      <c r="M81" s="429"/>
      <c r="N81" s="429"/>
      <c r="O81" s="429"/>
      <c r="P81" s="429"/>
    </row>
    <row r="82" spans="1:16" ht="14.25">
      <c r="A82" s="281"/>
      <c r="B82" s="233"/>
      <c r="C82" s="234"/>
      <c r="D82" s="213"/>
      <c r="E82" s="537"/>
      <c r="F82" s="627"/>
      <c r="G82" s="393"/>
      <c r="H82" s="231"/>
      <c r="I82" s="228"/>
      <c r="J82" s="582"/>
      <c r="K82" s="282"/>
      <c r="M82" s="429"/>
      <c r="N82" s="429"/>
      <c r="O82" s="429"/>
      <c r="P82" s="429"/>
    </row>
    <row r="83" spans="1:16" ht="39.75">
      <c r="A83" s="281"/>
      <c r="B83" s="233" t="str">
        <f>'Calc Sheet 20_21'!B874</f>
        <v>6.1 Temporary builders underground connection - Three phase 80 Ampère Prepaid meter only.  Please note: These connections would only be permitted  for a maximum period of 12 months after which it will be removed by CENTLEC. (Where a trench is not longer than 12m)</v>
      </c>
      <c r="C83" s="234"/>
      <c r="D83" s="213">
        <f>'Calc Sheet 20_21'!H910</f>
        <v>19730</v>
      </c>
      <c r="E83" s="537">
        <v>25880</v>
      </c>
      <c r="F83" s="627">
        <f>+'Calc Sheet 20_21'!H910</f>
        <v>19730</v>
      </c>
      <c r="G83" s="393">
        <f>'Calc Sheet 20_21'!I910</f>
        <v>27260</v>
      </c>
      <c r="H83" s="240">
        <f>(G83-F83)/F83</f>
        <v>0.3816523061327927</v>
      </c>
      <c r="I83" s="241">
        <f>G83*I$3</f>
        <v>4089</v>
      </c>
      <c r="J83" s="583">
        <f>G83+I83</f>
        <v>31349</v>
      </c>
      <c r="K83" s="283">
        <v>9100033030416</v>
      </c>
      <c r="M83" s="431">
        <f>J83+L83</f>
        <v>31349</v>
      </c>
      <c r="N83" s="431">
        <f>+$M83*(1+'Unit tariffs'!$F$2)</f>
        <v>32665.658</v>
      </c>
      <c r="O83" s="431">
        <f>+$M83*(1+'Unit tariffs'!$F$2)</f>
        <v>32665.658</v>
      </c>
      <c r="P83" s="431">
        <f>+$O83*(1+'Unit tariffs'!$F$2)</f>
        <v>34037.615636</v>
      </c>
    </row>
    <row r="84" spans="1:16" ht="12.75" customHeight="1">
      <c r="A84" s="281"/>
      <c r="B84" s="233"/>
      <c r="C84" s="234"/>
      <c r="D84" s="213"/>
      <c r="E84" s="537"/>
      <c r="F84" s="627"/>
      <c r="G84" s="393"/>
      <c r="H84" s="240"/>
      <c r="I84" s="241"/>
      <c r="J84" s="583"/>
      <c r="K84" s="283"/>
      <c r="M84" s="431"/>
      <c r="N84" s="431"/>
      <c r="O84" s="431"/>
      <c r="P84" s="431"/>
    </row>
    <row r="85" spans="1:16" ht="44.25" customHeight="1">
      <c r="A85" s="281"/>
      <c r="B85" s="233" t="s">
        <v>334</v>
      </c>
      <c r="C85" s="234"/>
      <c r="D85" s="255"/>
      <c r="E85" s="538"/>
      <c r="F85" s="638"/>
      <c r="G85" s="399"/>
      <c r="H85" s="240"/>
      <c r="I85" s="241"/>
      <c r="J85" s="583"/>
      <c r="K85" s="283"/>
      <c r="M85" s="431"/>
      <c r="N85" s="431"/>
      <c r="O85" s="431"/>
      <c r="P85" s="431"/>
    </row>
    <row r="86" spans="1:16" ht="6.75" customHeight="1">
      <c r="A86" s="281"/>
      <c r="B86" s="233"/>
      <c r="C86" s="234"/>
      <c r="D86" s="255"/>
      <c r="E86" s="538"/>
      <c r="F86" s="638"/>
      <c r="G86" s="399"/>
      <c r="H86" s="240"/>
      <c r="I86" s="241"/>
      <c r="J86" s="583"/>
      <c r="K86" s="283"/>
      <c r="M86" s="431"/>
      <c r="N86" s="431"/>
      <c r="O86" s="431"/>
      <c r="P86" s="431"/>
    </row>
    <row r="87" spans="1:16" ht="39.75">
      <c r="A87" s="281"/>
      <c r="B87" s="233" t="str">
        <f>+'Calc Sheet 20_21'!B915:G915</f>
        <v>6.2.1 Temporary connection for a special event - Single phase 80Ampère P/P with over head Airdac - Church Crusades, Social, Cultural and community events, temporary creches, police stations, etc.</v>
      </c>
      <c r="C87" s="234"/>
      <c r="D87" s="252">
        <f>+'Calc Sheet 20_21'!H946</f>
        <v>9070</v>
      </c>
      <c r="E87" s="549">
        <v>8260</v>
      </c>
      <c r="F87" s="637">
        <f>+'Calc Sheet 20_21'!H946</f>
        <v>9070</v>
      </c>
      <c r="G87" s="398">
        <f>+'Calc Sheet 20_21'!I946</f>
        <v>11690</v>
      </c>
      <c r="H87" s="240">
        <f>(G87-F87)/F87</f>
        <v>0.288864388092613</v>
      </c>
      <c r="I87" s="241">
        <f>G87*I$3</f>
        <v>1753.5</v>
      </c>
      <c r="J87" s="583">
        <f>G87+I87</f>
        <v>13443.5</v>
      </c>
      <c r="K87" s="283">
        <v>9100033030416</v>
      </c>
      <c r="M87" s="431">
        <f>J87+L87</f>
        <v>13443.5</v>
      </c>
      <c r="N87" s="431">
        <f>+$M87*(1+'Unit tariffs'!$F$2)</f>
        <v>14008.127</v>
      </c>
      <c r="O87" s="431">
        <f>+$M87*(1+'Unit tariffs'!$F$2)</f>
        <v>14008.127</v>
      </c>
      <c r="P87" s="431">
        <f>+$O87*(1+'Unit tariffs'!$F$2)</f>
        <v>14596.468334000001</v>
      </c>
    </row>
    <row r="88" spans="1:16" ht="39.75">
      <c r="A88" s="281"/>
      <c r="B88" s="233" t="str">
        <f>+'Calc Sheet 20_21'!B949:G949</f>
        <v>6.2.2 Temporary connection for a special event - Three phase 80Ampère P/P- Church Crusades, Social, Cultural and community events, temporary creches, police stations, Car wash ect (where a trench is not longer than 12m)</v>
      </c>
      <c r="C88" s="234"/>
      <c r="D88" s="252">
        <f>+'Calc Sheet 20_21'!H947</f>
        <v>0.03775743707093822</v>
      </c>
      <c r="E88" s="549">
        <v>25880</v>
      </c>
      <c r="F88" s="637">
        <f>+'Calc Sheet 20_21'!H984</f>
        <v>36090</v>
      </c>
      <c r="G88" s="398">
        <f>+'Calc Sheet 20_21'!I984</f>
        <v>38230</v>
      </c>
      <c r="H88" s="240">
        <f>(G88-F88)/F88</f>
        <v>0.059296203934607924</v>
      </c>
      <c r="I88" s="241">
        <f>G88*I$3</f>
        <v>5734.5</v>
      </c>
      <c r="J88" s="583">
        <f>G88+I88</f>
        <v>43964.5</v>
      </c>
      <c r="K88" s="283">
        <v>9100033030416</v>
      </c>
      <c r="M88" s="431">
        <f>J88+L88</f>
        <v>43964.5</v>
      </c>
      <c r="N88" s="431">
        <f>+$M88*(1+'Unit tariffs'!$F$2)</f>
        <v>45811.009</v>
      </c>
      <c r="O88" s="431">
        <f>+$M88*(1+'Unit tariffs'!$F$2)</f>
        <v>45811.009</v>
      </c>
      <c r="P88" s="431">
        <f>+$O88*(1+'Unit tariffs'!$F$2)</f>
        <v>47735.071378</v>
      </c>
    </row>
    <row r="89" spans="1:16" ht="43.5" customHeight="1">
      <c r="A89" s="350"/>
      <c r="B89" s="351" t="str">
        <f>+'Calc Sheet 20_21'!B987:G987</f>
        <v>6.2.3 Temporary connection for a special event - Three phase 80Ampère P/P- Car wash etc (Subsidised sites)</v>
      </c>
      <c r="C89" s="352"/>
      <c r="D89" s="252">
        <f>+'Calc Sheet 20_21'!H948</f>
        <v>0</v>
      </c>
      <c r="E89" s="551">
        <v>20525</v>
      </c>
      <c r="F89" s="639">
        <f>+'Calc Sheet 20_21'!H1022</f>
        <v>13620</v>
      </c>
      <c r="G89" s="529">
        <f>+'Calc Sheet 20_21'!I1022</f>
        <v>37560</v>
      </c>
      <c r="H89" s="240">
        <f>(G89-F89)/F89</f>
        <v>1.7577092511013215</v>
      </c>
      <c r="I89" s="241">
        <f>G89*I$3</f>
        <v>5634</v>
      </c>
      <c r="J89" s="583">
        <f>G89+I89</f>
        <v>43194</v>
      </c>
      <c r="K89" s="353">
        <v>9100033030416</v>
      </c>
      <c r="M89" s="431">
        <f>J89+L89</f>
        <v>43194</v>
      </c>
      <c r="N89" s="431">
        <f>+$M89*(1+'Unit tariffs'!$F$2)</f>
        <v>45008.148</v>
      </c>
      <c r="O89" s="431">
        <f>+$M89*(1+'Unit tariffs'!$F$2)</f>
        <v>45008.148</v>
      </c>
      <c r="P89" s="431">
        <f>+$O89*(1+'Unit tariffs'!$F$2)</f>
        <v>46898.490216000006</v>
      </c>
    </row>
    <row r="90" spans="1:16" ht="15" thickBot="1">
      <c r="A90" s="378"/>
      <c r="B90" s="387"/>
      <c r="C90" s="291"/>
      <c r="D90" s="293"/>
      <c r="E90" s="540"/>
      <c r="F90" s="629"/>
      <c r="G90" s="296"/>
      <c r="H90" s="294"/>
      <c r="I90" s="295"/>
      <c r="J90" s="585"/>
      <c r="K90" s="297"/>
      <c r="M90" s="435"/>
      <c r="N90" s="435"/>
      <c r="O90" s="435"/>
      <c r="P90" s="435"/>
    </row>
    <row r="91" spans="1:16" ht="16.5" customHeight="1">
      <c r="A91" s="273"/>
      <c r="B91" s="274" t="str">
        <f>$B1</f>
        <v>CENTLEC : ELECTRICITY SERVICES COSTS FOR KOPANONG MUNIC</v>
      </c>
      <c r="C91" s="275"/>
      <c r="D91" s="276"/>
      <c r="E91" s="550"/>
      <c r="F91" s="622"/>
      <c r="G91" s="279"/>
      <c r="H91" s="277"/>
      <c r="I91" s="278"/>
      <c r="J91" s="580"/>
      <c r="K91" s="280"/>
      <c r="M91" s="421"/>
      <c r="N91" s="421"/>
      <c r="O91" s="421"/>
      <c r="P91" s="421"/>
    </row>
    <row r="92" spans="1:16" ht="14.25">
      <c r="A92" s="281"/>
      <c r="B92" s="239" t="s">
        <v>1</v>
      </c>
      <c r="C92" s="238"/>
      <c r="D92" s="340" t="s">
        <v>74</v>
      </c>
      <c r="E92" s="532"/>
      <c r="F92" s="623" t="s">
        <v>74</v>
      </c>
      <c r="G92" s="236" t="s">
        <v>74</v>
      </c>
      <c r="H92" s="339" t="s">
        <v>85</v>
      </c>
      <c r="I92" s="55" t="s">
        <v>470</v>
      </c>
      <c r="J92" s="236" t="s">
        <v>138</v>
      </c>
      <c r="K92" s="337" t="s">
        <v>75</v>
      </c>
      <c r="M92" s="692" t="s">
        <v>138</v>
      </c>
      <c r="N92" s="692" t="s">
        <v>138</v>
      </c>
      <c r="O92" s="692" t="s">
        <v>138</v>
      </c>
      <c r="P92" s="692" t="s">
        <v>138</v>
      </c>
    </row>
    <row r="93" spans="1:16" ht="14.25">
      <c r="A93" s="281"/>
      <c r="B93" s="237" t="s">
        <v>76</v>
      </c>
      <c r="C93" s="238"/>
      <c r="D93" s="340" t="s">
        <v>77</v>
      </c>
      <c r="E93" s="532"/>
      <c r="F93" s="623" t="s">
        <v>77</v>
      </c>
      <c r="G93" s="236" t="s">
        <v>77</v>
      </c>
      <c r="H93" s="339" t="s">
        <v>86</v>
      </c>
      <c r="I93" s="665">
        <f>+'Unit tariffs'!F$3</f>
        <v>0.15</v>
      </c>
      <c r="J93" s="236" t="s">
        <v>139</v>
      </c>
      <c r="K93" s="337" t="s">
        <v>78</v>
      </c>
      <c r="M93" s="692" t="s">
        <v>139</v>
      </c>
      <c r="N93" s="692" t="s">
        <v>139</v>
      </c>
      <c r="O93" s="692" t="s">
        <v>139</v>
      </c>
      <c r="P93" s="692" t="s">
        <v>139</v>
      </c>
    </row>
    <row r="94" spans="1:16" ht="14.25">
      <c r="A94" s="281"/>
      <c r="B94" s="239" t="s">
        <v>1</v>
      </c>
      <c r="C94" s="238"/>
      <c r="D94" s="340" t="str">
        <f>D$4</f>
        <v>2016/2017</v>
      </c>
      <c r="E94" s="532"/>
      <c r="F94" s="690" t="str">
        <f>'Calc Sheet 20_21'!$H$11</f>
        <v>2020/2021</v>
      </c>
      <c r="G94" s="236" t="str">
        <f>'Calc Sheet 20_21'!$I$11</f>
        <v>2021/2022</v>
      </c>
      <c r="H94" s="339" t="str">
        <f>G94</f>
        <v>2021/2022</v>
      </c>
      <c r="I94" s="55" t="str">
        <f>G94</f>
        <v>2021/2022</v>
      </c>
      <c r="J94" s="236" t="str">
        <f>I94</f>
        <v>2021/2022</v>
      </c>
      <c r="K94" s="337" t="s">
        <v>79</v>
      </c>
      <c r="M94" s="692" t="s">
        <v>481</v>
      </c>
      <c r="N94" s="692" t="s">
        <v>630</v>
      </c>
      <c r="O94" s="692" t="s">
        <v>631</v>
      </c>
      <c r="P94" s="692" t="s">
        <v>632</v>
      </c>
    </row>
    <row r="95" spans="1:16" ht="15" thickBot="1">
      <c r="A95" s="305"/>
      <c r="B95" s="306" t="s">
        <v>1</v>
      </c>
      <c r="C95" s="307"/>
      <c r="D95" s="343" t="s">
        <v>80</v>
      </c>
      <c r="E95" s="533"/>
      <c r="F95" s="624" t="s">
        <v>80</v>
      </c>
      <c r="G95" s="346" t="s">
        <v>80</v>
      </c>
      <c r="H95" s="344"/>
      <c r="I95" s="345"/>
      <c r="J95" s="346"/>
      <c r="K95" s="347"/>
      <c r="M95" s="425"/>
      <c r="N95" s="425"/>
      <c r="O95" s="425"/>
      <c r="P95" s="425"/>
    </row>
    <row r="96" spans="1:16" ht="15" thickTop="1">
      <c r="A96" s="298"/>
      <c r="B96" s="299" t="str">
        <f>'Calc Sheet 20_21'!B1027</f>
        <v>7. ALTERATIONS TO ELECTRICITY SERVICES</v>
      </c>
      <c r="C96" s="300"/>
      <c r="D96" s="301" t="s">
        <v>1</v>
      </c>
      <c r="E96" s="541"/>
      <c r="F96" s="630" t="s">
        <v>1</v>
      </c>
      <c r="G96" s="396" t="s">
        <v>1</v>
      </c>
      <c r="H96" s="302" t="s">
        <v>1</v>
      </c>
      <c r="I96" s="303"/>
      <c r="J96" s="581"/>
      <c r="K96" s="322"/>
      <c r="L96" s="46"/>
      <c r="M96" s="427"/>
      <c r="N96" s="427"/>
      <c r="O96" s="427"/>
      <c r="P96" s="427"/>
    </row>
    <row r="97" spans="1:16" ht="14.25">
      <c r="A97" s="281"/>
      <c r="B97" s="233" t="s">
        <v>1</v>
      </c>
      <c r="C97" s="234"/>
      <c r="D97" s="213"/>
      <c r="E97" s="537"/>
      <c r="F97" s="627"/>
      <c r="G97" s="393"/>
      <c r="H97" s="231" t="s">
        <v>1</v>
      </c>
      <c r="I97" s="228"/>
      <c r="J97" s="582"/>
      <c r="K97" s="282"/>
      <c r="L97" s="46"/>
      <c r="M97" s="429"/>
      <c r="N97" s="429"/>
      <c r="O97" s="429"/>
      <c r="P97" s="429"/>
    </row>
    <row r="98" spans="1:16" ht="27">
      <c r="A98" s="281"/>
      <c r="B98" s="233" t="str">
        <f>'Calc Sheet 20_21'!B1029</f>
        <v>7.1.1 Conversion of a single register meter to Single phase Pre-payment where meterbox exist on erf boundary - ( No charge for Prepayment  meter)</v>
      </c>
      <c r="C98" s="234"/>
      <c r="D98" s="213">
        <f>'Calc Sheet 20_21'!H1051</f>
        <v>1610</v>
      </c>
      <c r="E98" s="537">
        <v>1410</v>
      </c>
      <c r="F98" s="393">
        <f>'Calc Sheet 20_21'!H1051</f>
        <v>1610</v>
      </c>
      <c r="G98" s="393">
        <f>'Calc Sheet 20_21'!I1051</f>
        <v>1990</v>
      </c>
      <c r="H98" s="240">
        <f aca="true" t="shared" si="0" ref="H98:H105">(G98-F98)/F98</f>
        <v>0.2360248447204969</v>
      </c>
      <c r="I98" s="241">
        <f aca="true" t="shared" si="1" ref="I98:I109">G98*I$3</f>
        <v>298.5</v>
      </c>
      <c r="J98" s="583">
        <f aca="true" t="shared" si="2" ref="J98:J109">G98+I98</f>
        <v>2288.5</v>
      </c>
      <c r="K98" s="283">
        <v>9100033030416</v>
      </c>
      <c r="L98" s="46"/>
      <c r="M98" s="431">
        <f aca="true" t="shared" si="3" ref="M98:M109">J98+L98</f>
        <v>2288.5</v>
      </c>
      <c r="N98" s="431">
        <f>+$M98*(1+'Unit tariffs'!$F$2)</f>
        <v>2384.617</v>
      </c>
      <c r="O98" s="431">
        <f>+$N98*(1+'Unit tariffs'!$F$2)</f>
        <v>2484.770914</v>
      </c>
      <c r="P98" s="431">
        <f>+$O98*(1+'Unit tariffs'!$F$2)</f>
        <v>2589.1312923880005</v>
      </c>
    </row>
    <row r="99" spans="1:16" ht="27">
      <c r="A99" s="281"/>
      <c r="B99" s="233" t="str">
        <f>'Calc Sheet 20_21'!B1058</f>
        <v>7.1.2 Conversion of Three phase (TOU/kWH) connection to Prepayment meter - Existing meterbox on erf boundary</v>
      </c>
      <c r="C99" s="234" t="s">
        <v>296</v>
      </c>
      <c r="D99" s="213">
        <f>'Calc Sheet 20_21'!H1081</f>
        <v>9900</v>
      </c>
      <c r="E99" s="537">
        <v>9390</v>
      </c>
      <c r="F99" s="393">
        <f>'Calc Sheet 20_21'!H1081</f>
        <v>9900</v>
      </c>
      <c r="G99" s="393">
        <f>'Calc Sheet 20_21'!I1081</f>
        <v>1760</v>
      </c>
      <c r="H99" s="240">
        <f t="shared" si="0"/>
        <v>-0.8222222222222222</v>
      </c>
      <c r="I99" s="241">
        <f t="shared" si="1"/>
        <v>264</v>
      </c>
      <c r="J99" s="583">
        <f t="shared" si="2"/>
        <v>2024</v>
      </c>
      <c r="K99" s="283">
        <v>9100033030416</v>
      </c>
      <c r="L99" s="46"/>
      <c r="M99" s="431">
        <f t="shared" si="3"/>
        <v>2024</v>
      </c>
      <c r="N99" s="431">
        <f>+$M99*(1+'Unit tariffs'!$F$2)</f>
        <v>2109.0080000000003</v>
      </c>
      <c r="O99" s="431">
        <f>+$N99*(1+'Unit tariffs'!$F$2)</f>
        <v>2197.5863360000003</v>
      </c>
      <c r="P99" s="431">
        <f>+$O99*(1+'Unit tariffs'!$F$2)</f>
        <v>2289.8849621120003</v>
      </c>
    </row>
    <row r="100" spans="1:16" ht="14.25">
      <c r="A100" s="281"/>
      <c r="B100" s="233" t="str">
        <f>'Calc Sheet 20_21'!B1087</f>
        <v>7.1.3 Upgrade of single phase Urban connection to three phase - Time of Use Meter(TOU)            </v>
      </c>
      <c r="C100" s="234" t="s">
        <v>296</v>
      </c>
      <c r="D100" s="213">
        <f>'Calc Sheet 20_21'!H1119</f>
        <v>19520</v>
      </c>
      <c r="E100" s="537">
        <v>18190</v>
      </c>
      <c r="F100" s="393">
        <f>'Calc Sheet 20_21'!H1119</f>
        <v>19520</v>
      </c>
      <c r="G100" s="393">
        <f>'Calc Sheet 20_21'!I1119</f>
        <v>20140</v>
      </c>
      <c r="H100" s="240">
        <f t="shared" si="0"/>
        <v>0.031762295081967214</v>
      </c>
      <c r="I100" s="241">
        <f t="shared" si="1"/>
        <v>3021</v>
      </c>
      <c r="J100" s="583">
        <f t="shared" si="2"/>
        <v>23161</v>
      </c>
      <c r="K100" s="283">
        <v>9100033030416</v>
      </c>
      <c r="L100" s="46"/>
      <c r="M100" s="431">
        <f t="shared" si="3"/>
        <v>23161</v>
      </c>
      <c r="N100" s="431">
        <f>+$M100*(1+'Unit tariffs'!$F$2)</f>
        <v>24133.762000000002</v>
      </c>
      <c r="O100" s="431">
        <f>+$N100*(1+'Unit tariffs'!$F$2)</f>
        <v>25147.380004000002</v>
      </c>
      <c r="P100" s="431">
        <f>+$O100*(1+'Unit tariffs'!$F$2)</f>
        <v>26203.569964168004</v>
      </c>
    </row>
    <row r="101" spans="1:16" ht="14.25">
      <c r="A101" s="281"/>
      <c r="B101" s="233" t="str">
        <f>'Calc Sheet 20_21'!B1124</f>
        <v>7.1.4 Upgrade of single phase Urban connection to three phase - Split pre-payment meter             </v>
      </c>
      <c r="C101" s="234" t="s">
        <v>296</v>
      </c>
      <c r="D101" s="213">
        <f>'Calc Sheet 20_21'!H1155</f>
        <v>12020</v>
      </c>
      <c r="E101" s="537">
        <v>10960</v>
      </c>
      <c r="F101" s="393">
        <f>'Calc Sheet 20_21'!H1155</f>
        <v>12020</v>
      </c>
      <c r="G101" s="393">
        <f>'Calc Sheet 20_21'!I1155</f>
        <v>12760</v>
      </c>
      <c r="H101" s="240">
        <f t="shared" si="0"/>
        <v>0.06156405990016639</v>
      </c>
      <c r="I101" s="241">
        <f t="shared" si="1"/>
        <v>1914</v>
      </c>
      <c r="J101" s="583">
        <f t="shared" si="2"/>
        <v>14674</v>
      </c>
      <c r="K101" s="283">
        <v>9100033030416</v>
      </c>
      <c r="L101" s="46"/>
      <c r="M101" s="431">
        <f t="shared" si="3"/>
        <v>14674</v>
      </c>
      <c r="N101" s="431">
        <f>+$M101*(1+'Unit tariffs'!$F$2)</f>
        <v>15290.308</v>
      </c>
      <c r="O101" s="431">
        <f>+$N101*(1+'Unit tariffs'!$F$2)</f>
        <v>15932.500936000002</v>
      </c>
      <c r="P101" s="431">
        <f>+$O101*(1+'Unit tariffs'!$F$2)</f>
        <v>16601.665975312004</v>
      </c>
    </row>
    <row r="102" spans="1:16" ht="14.25">
      <c r="A102" s="281"/>
      <c r="B102" s="233" t="str">
        <f>'Calc Sheet 20_21'!B1161</f>
        <v>8.1.5 Upgrading of single phase Urban connection to three phase - Time of Use Meter(TOU)            </v>
      </c>
      <c r="C102" s="234" t="s">
        <v>296</v>
      </c>
      <c r="D102" s="213">
        <f>'Calc Sheet 20_21'!H1192</f>
        <v>16970</v>
      </c>
      <c r="E102" s="537">
        <v>15890</v>
      </c>
      <c r="F102" s="393">
        <f>'Calc Sheet 20_21'!H1192</f>
        <v>16970</v>
      </c>
      <c r="G102" s="393">
        <f>'Calc Sheet 20_21'!I1192</f>
        <v>17490</v>
      </c>
      <c r="H102" s="240">
        <f t="shared" si="0"/>
        <v>0.030642309958750738</v>
      </c>
      <c r="I102" s="241">
        <f t="shared" si="1"/>
        <v>2623.5</v>
      </c>
      <c r="J102" s="583">
        <f t="shared" si="2"/>
        <v>20113.5</v>
      </c>
      <c r="K102" s="283">
        <v>9100033030416</v>
      </c>
      <c r="L102" s="46"/>
      <c r="M102" s="431">
        <f t="shared" si="3"/>
        <v>20113.5</v>
      </c>
      <c r="N102" s="431">
        <f>+$M102*(1+'Unit tariffs'!$F$2)</f>
        <v>20958.267</v>
      </c>
      <c r="O102" s="431">
        <f>+$N102*(1+'Unit tariffs'!$F$2)</f>
        <v>21838.514214</v>
      </c>
      <c r="P102" s="431">
        <f>+$O102*(1+'Unit tariffs'!$F$2)</f>
        <v>22755.731810988</v>
      </c>
    </row>
    <row r="103" spans="1:16" ht="14.25">
      <c r="A103" s="281"/>
      <c r="B103" s="233" t="str">
        <f>'Calc Sheet 20_21'!B1196</f>
        <v>7.1.6 Upgrade of single phase Urban connection to three phase - Split pre-payment meter            </v>
      </c>
      <c r="C103" s="234" t="s">
        <v>296</v>
      </c>
      <c r="D103" s="213">
        <f>'Calc Sheet 20_21'!H1226</f>
        <v>15370</v>
      </c>
      <c r="E103" s="537">
        <v>14355</v>
      </c>
      <c r="F103" s="393">
        <f>'Calc Sheet 20_21'!H1226</f>
        <v>15370</v>
      </c>
      <c r="G103" s="393">
        <f>'Calc Sheet 20_21'!I1226</f>
        <v>15460</v>
      </c>
      <c r="H103" s="240">
        <f t="shared" si="0"/>
        <v>0.005855562784645413</v>
      </c>
      <c r="I103" s="241">
        <f t="shared" si="1"/>
        <v>2319</v>
      </c>
      <c r="J103" s="583">
        <f t="shared" si="2"/>
        <v>17779</v>
      </c>
      <c r="K103" s="283">
        <v>9100033030416</v>
      </c>
      <c r="M103" s="431">
        <f t="shared" si="3"/>
        <v>17779</v>
      </c>
      <c r="N103" s="431">
        <f>+$M103*(1+'Unit tariffs'!$F$2)</f>
        <v>18525.718</v>
      </c>
      <c r="O103" s="431">
        <f>+$N103*(1+'Unit tariffs'!$F$2)</f>
        <v>19303.798156</v>
      </c>
      <c r="P103" s="431">
        <f>+$O103*(1+'Unit tariffs'!$F$2)</f>
        <v>20114.557678552002</v>
      </c>
    </row>
    <row r="104" spans="1:16" ht="14.25">
      <c r="A104" s="281"/>
      <c r="B104" s="233" t="str">
        <f>'Calc Sheet 20_21'!B1231</f>
        <v>7.1.7 Upgrade of single phase Peri-Urban connection to three phase -Time of Use Meter(TOU)  </v>
      </c>
      <c r="C104" s="234" t="s">
        <v>298</v>
      </c>
      <c r="D104" s="213">
        <f>'Calc Sheet 20_21'!H1263</f>
        <v>22380</v>
      </c>
      <c r="E104" s="537">
        <v>20570</v>
      </c>
      <c r="F104" s="393">
        <f>'Calc Sheet 20_21'!H1263</f>
        <v>22380</v>
      </c>
      <c r="G104" s="393">
        <f>'Calc Sheet 20_21'!I1263</f>
        <v>21510</v>
      </c>
      <c r="H104" s="240">
        <f t="shared" si="0"/>
        <v>-0.0388739946380697</v>
      </c>
      <c r="I104" s="241">
        <f t="shared" si="1"/>
        <v>3226.5</v>
      </c>
      <c r="J104" s="583">
        <f t="shared" si="2"/>
        <v>24736.5</v>
      </c>
      <c r="K104" s="283">
        <v>9100033030416</v>
      </c>
      <c r="M104" s="431">
        <f t="shared" si="3"/>
        <v>24736.5</v>
      </c>
      <c r="N104" s="431">
        <f>+$M104*(1+'Unit tariffs'!$F$2)</f>
        <v>25775.433</v>
      </c>
      <c r="O104" s="431">
        <f>+$N104*(1+'Unit tariffs'!$F$2)</f>
        <v>26858.001186</v>
      </c>
      <c r="P104" s="431">
        <f>+$O104*(1+'Unit tariffs'!$F$2)</f>
        <v>27986.037235812004</v>
      </c>
    </row>
    <row r="105" spans="1:16" ht="14.25">
      <c r="A105" s="281"/>
      <c r="B105" s="233" t="str">
        <f>'Calc Sheet 20_21'!B1268</f>
        <v>7.1.8 Upgrade of single phase Peri-Urban connection to three phase -Split pre-payment meter    </v>
      </c>
      <c r="C105" s="234" t="s">
        <v>298</v>
      </c>
      <c r="D105" s="213">
        <f>'Calc Sheet 20_21'!H1300</f>
        <v>25120</v>
      </c>
      <c r="E105" s="537">
        <v>23200</v>
      </c>
      <c r="F105" s="393">
        <f>'Calc Sheet 20_21'!H1300</f>
        <v>25120</v>
      </c>
      <c r="G105" s="393">
        <f>'Calc Sheet 20_21'!I1300</f>
        <v>23390</v>
      </c>
      <c r="H105" s="240">
        <f t="shared" si="0"/>
        <v>-0.06886942675159236</v>
      </c>
      <c r="I105" s="241">
        <f t="shared" si="1"/>
        <v>3508.5</v>
      </c>
      <c r="J105" s="583">
        <f t="shared" si="2"/>
        <v>26898.5</v>
      </c>
      <c r="K105" s="283">
        <v>9100033030416</v>
      </c>
      <c r="M105" s="431">
        <f t="shared" si="3"/>
        <v>26898.5</v>
      </c>
      <c r="N105" s="431">
        <f>+$M105*(1+'Unit tariffs'!$F$2)</f>
        <v>28028.237</v>
      </c>
      <c r="O105" s="431">
        <f>+$N105*(1+'Unit tariffs'!$F$2)</f>
        <v>29205.422954</v>
      </c>
      <c r="P105" s="431">
        <f>+$O105*(1+'Unit tariffs'!$F$2)</f>
        <v>30432.050718068003</v>
      </c>
    </row>
    <row r="106" spans="1:16" ht="14.25">
      <c r="A106" s="281"/>
      <c r="B106" s="233" t="str">
        <f>'Calc Sheet 20_21'!B1305</f>
        <v>7.1.9 Upgrade of single phase Peri-Urban connection to three phase -Time of Use Meter(TOU)  </v>
      </c>
      <c r="C106" s="234" t="s">
        <v>298</v>
      </c>
      <c r="D106" s="213">
        <f>'Calc Sheet 20_21'!H1337</f>
        <v>20530</v>
      </c>
      <c r="E106" s="537">
        <v>18810</v>
      </c>
      <c r="F106" s="393">
        <f>'Calc Sheet 20_21'!H1337</f>
        <v>20530</v>
      </c>
      <c r="G106" s="393">
        <f>'Calc Sheet 20_21'!I1337</f>
        <v>22640</v>
      </c>
      <c r="H106" s="240">
        <f>(G106-D106)/D106</f>
        <v>0.10277642474427667</v>
      </c>
      <c r="I106" s="241">
        <f t="shared" si="1"/>
        <v>3396</v>
      </c>
      <c r="J106" s="583">
        <f t="shared" si="2"/>
        <v>26036</v>
      </c>
      <c r="K106" s="283">
        <v>9100033030416</v>
      </c>
      <c r="M106" s="431">
        <f t="shared" si="3"/>
        <v>26036</v>
      </c>
      <c r="N106" s="431">
        <f>+$M106*(1+'Unit tariffs'!$F$2)</f>
        <v>27129.512000000002</v>
      </c>
      <c r="O106" s="431">
        <f>+$N106*(1+'Unit tariffs'!$F$2)</f>
        <v>28268.951504000004</v>
      </c>
      <c r="P106" s="431">
        <f>+$O106*(1+'Unit tariffs'!$F$2)</f>
        <v>29456.247467168007</v>
      </c>
    </row>
    <row r="107" spans="1:16" ht="27">
      <c r="A107" s="281"/>
      <c r="B107" s="233" t="str">
        <f>'Calc Sheet 20_21'!B1342</f>
        <v>7.1.10 Conversion of single phase Peri-Urban connection to three phase - Split pre-payment meter      </v>
      </c>
      <c r="C107" s="234" t="s">
        <v>298</v>
      </c>
      <c r="D107" s="213">
        <f>'Calc Sheet 20_21'!H1373</f>
        <v>22180</v>
      </c>
      <c r="E107" s="537">
        <v>20540</v>
      </c>
      <c r="F107" s="393">
        <f>'Calc Sheet 20_21'!H1373</f>
        <v>22180</v>
      </c>
      <c r="G107" s="393">
        <f>'Calc Sheet 20_21'!I1373</f>
        <v>20220</v>
      </c>
      <c r="H107" s="240">
        <f>(G107-F107)/F107</f>
        <v>-0.08836789900811542</v>
      </c>
      <c r="I107" s="241">
        <f t="shared" si="1"/>
        <v>3033</v>
      </c>
      <c r="J107" s="583">
        <f t="shared" si="2"/>
        <v>23253</v>
      </c>
      <c r="K107" s="283">
        <v>9100033030416</v>
      </c>
      <c r="M107" s="431">
        <f t="shared" si="3"/>
        <v>23253</v>
      </c>
      <c r="N107" s="431">
        <f>+$M107*(1+'Unit tariffs'!$F$2)</f>
        <v>24229.626</v>
      </c>
      <c r="O107" s="431">
        <f>+$N107*(1+'Unit tariffs'!$F$2)</f>
        <v>25247.270292</v>
      </c>
      <c r="P107" s="431">
        <f>+$O107*(1+'Unit tariffs'!$F$2)</f>
        <v>26307.655644264003</v>
      </c>
    </row>
    <row r="108" spans="1:16" ht="14.25">
      <c r="A108" s="281"/>
      <c r="B108" s="233" t="str">
        <f>'Calc Sheet 20_21'!B1378</f>
        <v>8.1.11 Shifting of meter to meter box on stand boundary - Domestic connection - Urban</v>
      </c>
      <c r="C108" s="234" t="s">
        <v>296</v>
      </c>
      <c r="D108" s="213">
        <f>'Calc Sheet 20_21'!H1385</f>
        <v>4680</v>
      </c>
      <c r="E108" s="538">
        <v>2230</v>
      </c>
      <c r="F108" s="393">
        <f>'Calc Sheet 20_21'!H1385</f>
        <v>4680</v>
      </c>
      <c r="G108" s="393">
        <f>'Calc Sheet 20_21'!I1385</f>
        <v>4800</v>
      </c>
      <c r="H108" s="240">
        <f>(G108-F108)/F108</f>
        <v>0.02564102564102564</v>
      </c>
      <c r="I108" s="241">
        <f t="shared" si="1"/>
        <v>720</v>
      </c>
      <c r="J108" s="583">
        <f t="shared" si="2"/>
        <v>5520</v>
      </c>
      <c r="K108" s="283">
        <v>9100033030416</v>
      </c>
      <c r="M108" s="431">
        <f t="shared" si="3"/>
        <v>5520</v>
      </c>
      <c r="N108" s="431">
        <f>+$M108*(1+'Unit tariffs'!$F$2)</f>
        <v>5751.84</v>
      </c>
      <c r="O108" s="431">
        <f>+$N108*(1+'Unit tariffs'!$F$2)</f>
        <v>5993.417280000001</v>
      </c>
      <c r="P108" s="431">
        <f>+$O108*(1+'Unit tariffs'!$F$2)</f>
        <v>6245.140805760001</v>
      </c>
    </row>
    <row r="109" spans="1:16" ht="27">
      <c r="A109" s="281"/>
      <c r="B109" s="233" t="str">
        <f>'Calc Sheet 20_21'!B1390</f>
        <v>8.1.12 Shifting of connection - Pre-payment with ready board (per single connection) - Overhead only</v>
      </c>
      <c r="C109" s="234"/>
      <c r="D109" s="213">
        <f>'Calc Sheet 20_21'!H1414</f>
        <v>2060</v>
      </c>
      <c r="E109" s="537">
        <v>1840</v>
      </c>
      <c r="F109" s="393">
        <f>'Calc Sheet 20_21'!H1414</f>
        <v>2060</v>
      </c>
      <c r="G109" s="393">
        <f>'Calc Sheet 20_21'!I1414</f>
        <v>2670</v>
      </c>
      <c r="H109" s="240">
        <f>(G109-F109)/F109</f>
        <v>0.2961165048543689</v>
      </c>
      <c r="I109" s="241">
        <f t="shared" si="1"/>
        <v>400.5</v>
      </c>
      <c r="J109" s="583">
        <f t="shared" si="2"/>
        <v>3070.5</v>
      </c>
      <c r="K109" s="283">
        <v>9100033030416</v>
      </c>
      <c r="M109" s="431">
        <f t="shared" si="3"/>
        <v>3070.5</v>
      </c>
      <c r="N109" s="431">
        <f>+$M109*(1+'Unit tariffs'!$F$2)</f>
        <v>3199.4610000000002</v>
      </c>
      <c r="O109" s="431">
        <f>+$N109*(1+'Unit tariffs'!$F$2)</f>
        <v>3333.8383620000004</v>
      </c>
      <c r="P109" s="431">
        <f>+$O109*(1+'Unit tariffs'!$F$2)</f>
        <v>3473.8595732040008</v>
      </c>
    </row>
    <row r="110" spans="1:16" ht="14.25">
      <c r="A110" s="281"/>
      <c r="B110" s="233" t="s">
        <v>1</v>
      </c>
      <c r="C110" s="234"/>
      <c r="D110" s="230" t="s">
        <v>1</v>
      </c>
      <c r="E110" s="536"/>
      <c r="F110" s="232" t="s">
        <v>1</v>
      </c>
      <c r="G110" s="232" t="s">
        <v>1</v>
      </c>
      <c r="H110" s="254" t="s">
        <v>1</v>
      </c>
      <c r="I110" s="242"/>
      <c r="J110" s="236"/>
      <c r="K110" s="284" t="s">
        <v>81</v>
      </c>
      <c r="M110" s="423"/>
      <c r="N110" s="423"/>
      <c r="O110" s="431"/>
      <c r="P110" s="431"/>
    </row>
    <row r="111" spans="1:16" ht="21" customHeight="1">
      <c r="A111" s="298"/>
      <c r="B111" s="299" t="str">
        <f>'Calc Sheet 20_21'!B1419</f>
        <v>9. SPECIAL SERVICE LEVIES</v>
      </c>
      <c r="C111" s="300"/>
      <c r="D111" s="317"/>
      <c r="E111" s="534"/>
      <c r="F111" s="304"/>
      <c r="G111" s="304"/>
      <c r="H111" s="302"/>
      <c r="I111" s="303"/>
      <c r="J111" s="581"/>
      <c r="K111" s="322"/>
      <c r="M111" s="427"/>
      <c r="N111" s="427"/>
      <c r="O111" s="431"/>
      <c r="P111" s="431"/>
    </row>
    <row r="112" spans="1:16" ht="14.25">
      <c r="A112" s="281"/>
      <c r="B112" s="233" t="s">
        <v>1</v>
      </c>
      <c r="C112" s="234"/>
      <c r="D112" s="230"/>
      <c r="E112" s="536"/>
      <c r="F112" s="232"/>
      <c r="G112" s="232"/>
      <c r="H112" s="231"/>
      <c r="I112" s="228"/>
      <c r="J112" s="582"/>
      <c r="K112" s="282"/>
      <c r="M112" s="429"/>
      <c r="N112" s="429"/>
      <c r="O112" s="431"/>
      <c r="P112" s="431"/>
    </row>
    <row r="113" spans="1:16" ht="14.25">
      <c r="A113" s="281"/>
      <c r="B113" s="233" t="str">
        <f>'Calc Sheet 20_21'!B1421</f>
        <v>9.1.1 Electricity meter accuracy test at request by the consumer - Removal of meter</v>
      </c>
      <c r="C113" s="234"/>
      <c r="D113" s="213">
        <f>'Calc Sheet 20_21'!H1443</f>
        <v>1110</v>
      </c>
      <c r="E113" s="537">
        <v>390</v>
      </c>
      <c r="F113" s="393">
        <f>'Calc Sheet 20_21'!H1443</f>
        <v>1110</v>
      </c>
      <c r="G113" s="393">
        <f>'Calc Sheet 20_21'!I1443</f>
        <v>1370</v>
      </c>
      <c r="H113" s="240">
        <f>(G113-F113)/F113</f>
        <v>0.23423423423423423</v>
      </c>
      <c r="I113" s="241">
        <f>G113*I$3</f>
        <v>205.5</v>
      </c>
      <c r="J113" s="583">
        <f>G113+I113</f>
        <v>1575.5</v>
      </c>
      <c r="K113" s="283">
        <v>9100033030416</v>
      </c>
      <c r="M113" s="431">
        <f>J113+L113</f>
        <v>1575.5</v>
      </c>
      <c r="N113" s="431">
        <f>+$M113*(1+'Unit tariffs'!$F$2)</f>
        <v>1641.671</v>
      </c>
      <c r="O113" s="431">
        <f>+$N113*(1+'Unit tariffs'!$F$2)</f>
        <v>1710.621182</v>
      </c>
      <c r="P113" s="431">
        <f>+$O113*(1+'Unit tariffs'!$F$2)</f>
        <v>1782.4672716440002</v>
      </c>
    </row>
    <row r="114" spans="1:16" ht="14.25">
      <c r="A114" s="281"/>
      <c r="B114" s="233" t="str">
        <f>'Calc Sheet 20_21'!B1423</f>
        <v>       Meter to be removed by supplier for testing. Testing of the meter under item 9.1.2 or 9.1.3</v>
      </c>
      <c r="C114" s="234"/>
      <c r="D114" s="213"/>
      <c r="E114" s="537"/>
      <c r="F114" s="393"/>
      <c r="G114" s="393"/>
      <c r="H114" s="254" t="s">
        <v>1</v>
      </c>
      <c r="I114" s="242"/>
      <c r="J114" s="236"/>
      <c r="K114" s="284"/>
      <c r="M114" s="423"/>
      <c r="N114" s="423"/>
      <c r="O114" s="431"/>
      <c r="P114" s="431"/>
    </row>
    <row r="115" spans="1:16" ht="14.25">
      <c r="A115" s="281"/>
      <c r="B115" s="233" t="str">
        <f>'Calc Sheet 20_21'!B1448</f>
        <v>9.1.2 Request for accuracy test of electricity meter - Testing of meter (1 or 3 phase)</v>
      </c>
      <c r="C115" s="234"/>
      <c r="D115" s="213">
        <f>'Calc Sheet 20_21'!H1465</f>
        <v>284</v>
      </c>
      <c r="E115" s="538">
        <v>140</v>
      </c>
      <c r="F115" s="393">
        <f>'Calc Sheet 20_21'!H1465</f>
        <v>284</v>
      </c>
      <c r="G115" s="393">
        <f>'Calc Sheet 20_21'!I1465</f>
        <v>311</v>
      </c>
      <c r="H115" s="240">
        <f>(G115-F115)/F115</f>
        <v>0.09507042253521127</v>
      </c>
      <c r="I115" s="241">
        <f>G115*I$3</f>
        <v>46.65</v>
      </c>
      <c r="J115" s="583">
        <f>G115+I115</f>
        <v>357.65</v>
      </c>
      <c r="K115" s="283">
        <v>9100033030416</v>
      </c>
      <c r="M115" s="431">
        <f>J115+L115</f>
        <v>357.65</v>
      </c>
      <c r="N115" s="431">
        <f>+$M115*(1+'Unit tariffs'!$F$2)</f>
        <v>372.6713</v>
      </c>
      <c r="O115" s="431">
        <f>+$N115*(1+'Unit tariffs'!$F$2)</f>
        <v>388.3234946</v>
      </c>
      <c r="P115" s="431">
        <f>+$O115*(1+'Unit tariffs'!$F$2)</f>
        <v>404.6330813732</v>
      </c>
    </row>
    <row r="116" spans="1:16" ht="14.25">
      <c r="A116" s="281"/>
      <c r="B116" s="233" t="str">
        <f>'Calc Sheet 20_21'!B1450</f>
        <v>      Meter to be removed under item 9.1.1</v>
      </c>
      <c r="C116" s="234"/>
      <c r="D116" s="213"/>
      <c r="E116" s="537"/>
      <c r="F116" s="393"/>
      <c r="G116" s="393"/>
      <c r="H116" s="254" t="s">
        <v>1</v>
      </c>
      <c r="I116" s="242"/>
      <c r="J116" s="236"/>
      <c r="K116" s="284"/>
      <c r="M116" s="423"/>
      <c r="N116" s="423"/>
      <c r="O116" s="431"/>
      <c r="P116" s="431"/>
    </row>
    <row r="117" spans="1:16" ht="14.25">
      <c r="A117" s="281"/>
      <c r="B117" s="233" t="str">
        <f>'Calc Sheet 20_21'!B1472</f>
        <v>9.1.3 Request for accuracy test of Bulk electricity meter - Testing of meter</v>
      </c>
      <c r="C117" s="234"/>
      <c r="D117" s="213">
        <f>'Calc Sheet 20_21'!H1489</f>
        <v>1260</v>
      </c>
      <c r="E117" s="538">
        <v>515</v>
      </c>
      <c r="F117" s="393">
        <f>'Calc Sheet 20_21'!H1489</f>
        <v>1260</v>
      </c>
      <c r="G117" s="393">
        <f>'Calc Sheet 20_21'!I1489</f>
        <v>1170</v>
      </c>
      <c r="H117" s="240">
        <f>(G117-F117)/F117</f>
        <v>-0.07142857142857142</v>
      </c>
      <c r="I117" s="241">
        <f>G117*I$3</f>
        <v>175.5</v>
      </c>
      <c r="J117" s="583">
        <f>G117+I117</f>
        <v>1345.5</v>
      </c>
      <c r="K117" s="283">
        <v>9100033030416</v>
      </c>
      <c r="M117" s="431">
        <f>J117+L117</f>
        <v>1345.5</v>
      </c>
      <c r="N117" s="431">
        <f>+$M117*(1+'Unit tariffs'!$F$2)</f>
        <v>1402.011</v>
      </c>
      <c r="O117" s="431">
        <f>+$N117*(1+'Unit tariffs'!$F$2)</f>
        <v>1460.895462</v>
      </c>
      <c r="P117" s="431">
        <f>+$O117*(1+'Unit tariffs'!$F$2)</f>
        <v>1522.253071404</v>
      </c>
    </row>
    <row r="118" spans="1:16" ht="14.25">
      <c r="A118" s="281"/>
      <c r="B118" s="233" t="str">
        <f>'Calc Sheet 20_21'!B1474</f>
        <v>      Meter to be removed under item 9.1.1</v>
      </c>
      <c r="C118" s="234"/>
      <c r="D118" s="213"/>
      <c r="E118" s="537"/>
      <c r="F118" s="393"/>
      <c r="G118" s="393"/>
      <c r="H118" s="254"/>
      <c r="I118" s="242"/>
      <c r="J118" s="236"/>
      <c r="K118" s="284"/>
      <c r="M118" s="423"/>
      <c r="N118" s="423"/>
      <c r="O118" s="431"/>
      <c r="P118" s="431"/>
    </row>
    <row r="119" spans="1:16" ht="33" customHeight="1">
      <c r="A119" s="281"/>
      <c r="B119" s="233" t="str">
        <f>'Calc Sheet 20_21'!B1496</f>
        <v>MATERIAL (None)</v>
      </c>
      <c r="C119" s="234"/>
      <c r="D119" s="213">
        <f>'Calc Sheet 20_21'!H1512</f>
        <v>10080</v>
      </c>
      <c r="E119" s="537">
        <v>5855</v>
      </c>
      <c r="F119" s="393">
        <f>'Calc Sheet 20_21'!H1512</f>
        <v>10080</v>
      </c>
      <c r="G119" s="393">
        <f>'Calc Sheet 20_21'!I1512</f>
        <v>14740</v>
      </c>
      <c r="H119" s="240">
        <f aca="true" t="shared" si="4" ref="H119:H127">(G119-F119)/F119</f>
        <v>0.4623015873015873</v>
      </c>
      <c r="I119" s="241">
        <f>G119*I$3</f>
        <v>2211</v>
      </c>
      <c r="J119" s="583">
        <f>G119+I119</f>
        <v>16951</v>
      </c>
      <c r="K119" s="283">
        <v>9100033030416</v>
      </c>
      <c r="M119" s="431">
        <f>J119+L119</f>
        <v>16951</v>
      </c>
      <c r="N119" s="431">
        <f>+$M119*(1+'Unit tariffs'!$F$2)</f>
        <v>17662.942</v>
      </c>
      <c r="O119" s="431">
        <f>+$N119*(1+'Unit tariffs'!$F$2)</f>
        <v>18404.785563999998</v>
      </c>
      <c r="P119" s="431">
        <f>+$O119*(1+'Unit tariffs'!$F$2)</f>
        <v>19177.786557688</v>
      </c>
    </row>
    <row r="120" spans="1:16" ht="29.25" customHeight="1">
      <c r="A120" s="281"/>
      <c r="B120" s="530" t="s">
        <v>427</v>
      </c>
      <c r="C120" s="265"/>
      <c r="D120" s="213">
        <v>4943.73</v>
      </c>
      <c r="E120" s="537"/>
      <c r="F120" s="393">
        <f>+'Calc Sheet 20_21'!H1529</f>
        <v>5700</v>
      </c>
      <c r="G120" s="393">
        <f>+'Calc Sheet 20_21'!I1529</f>
        <v>6200</v>
      </c>
      <c r="H120" s="240">
        <f t="shared" si="4"/>
        <v>0.08771929824561403</v>
      </c>
      <c r="I120" s="241">
        <f>G120*I$3</f>
        <v>930</v>
      </c>
      <c r="J120" s="583">
        <f>G120+I120</f>
        <v>7130</v>
      </c>
      <c r="K120" s="283">
        <v>9100033030417</v>
      </c>
      <c r="M120" s="431">
        <f>J120+L120</f>
        <v>7130</v>
      </c>
      <c r="N120" s="431">
        <f>+$M120*(1+'Unit tariffs'!$F$2)</f>
        <v>7429.46</v>
      </c>
      <c r="O120" s="431">
        <f>+$N120*(1+'Unit tariffs'!$F$2)</f>
        <v>7741.49732</v>
      </c>
      <c r="P120" s="431">
        <f>+$O120*(1+'Unit tariffs'!$F$2)</f>
        <v>8066.64020744</v>
      </c>
    </row>
    <row r="121" spans="1:16" ht="33" customHeight="1">
      <c r="A121" s="281"/>
      <c r="B121" s="530" t="s">
        <v>426</v>
      </c>
      <c r="C121" s="234"/>
      <c r="D121" s="213">
        <v>0</v>
      </c>
      <c r="E121" s="537"/>
      <c r="F121" s="393">
        <f>+'Calc Sheet 20_21'!H1545</f>
        <v>8600</v>
      </c>
      <c r="G121" s="393">
        <f>+'Calc Sheet 20_21'!I1545</f>
        <v>9200</v>
      </c>
      <c r="H121" s="240">
        <f t="shared" si="4"/>
        <v>0.06976744186046512</v>
      </c>
      <c r="I121" s="241">
        <f>G121*I$3</f>
        <v>1380</v>
      </c>
      <c r="J121" s="583">
        <f>G121+I121</f>
        <v>10580</v>
      </c>
      <c r="K121" s="283">
        <v>9100033030418</v>
      </c>
      <c r="M121" s="431">
        <f>J121+L121</f>
        <v>10580</v>
      </c>
      <c r="N121" s="431">
        <f>+$M121*(1+'Unit tariffs'!$F$2)</f>
        <v>11024.36</v>
      </c>
      <c r="O121" s="431">
        <f>+$N121*(1+'Unit tariffs'!$F$2)</f>
        <v>11487.38312</v>
      </c>
      <c r="P121" s="431">
        <f>+$O121*(1+'Unit tariffs'!$F$2)</f>
        <v>11969.853211040001</v>
      </c>
    </row>
    <row r="122" spans="1:16" ht="39.75">
      <c r="A122" s="281"/>
      <c r="B122" s="233" t="str">
        <f>'Calc Sheet 20_21'!B1552</f>
        <v>9.7 Reinstatement of supply following disconnection of Std 3 phase service -  Where meter was damaged or persistant tampering occurred (RMD 3 Ph) - Replaced with 100A Time of Use meter (TOU) </v>
      </c>
      <c r="C122" s="234"/>
      <c r="D122" s="213">
        <f>'Calc Sheet 20_21'!H1576</f>
        <v>11360</v>
      </c>
      <c r="E122" s="537">
        <v>10470</v>
      </c>
      <c r="F122" s="393">
        <f>'Calc Sheet 20_21'!H1576</f>
        <v>11360</v>
      </c>
      <c r="G122" s="393">
        <f>'Calc Sheet 20_21'!I1576</f>
        <v>12170</v>
      </c>
      <c r="H122" s="240">
        <f t="shared" si="4"/>
        <v>0.07130281690140845</v>
      </c>
      <c r="I122" s="241">
        <f>G122*I$3</f>
        <v>1825.5</v>
      </c>
      <c r="J122" s="583">
        <f>G122+I122</f>
        <v>13995.5</v>
      </c>
      <c r="K122" s="283">
        <v>9100033030419</v>
      </c>
      <c r="M122" s="431">
        <f>J122+L122</f>
        <v>13995.5</v>
      </c>
      <c r="N122" s="431">
        <f>+$M122*(1+'Unit tariffs'!$F$2)</f>
        <v>14583.311</v>
      </c>
      <c r="O122" s="431">
        <f>+$N122*(1+'Unit tariffs'!$F$2)</f>
        <v>15195.810062</v>
      </c>
      <c r="P122" s="431">
        <f>+$O122*(1+'Unit tariffs'!$F$2)</f>
        <v>15834.034084604002</v>
      </c>
    </row>
    <row r="123" spans="1:16" ht="29.25" customHeight="1">
      <c r="A123" s="281"/>
      <c r="B123" s="530" t="s">
        <v>428</v>
      </c>
      <c r="C123" s="234"/>
      <c r="D123" s="213">
        <v>0</v>
      </c>
      <c r="E123" s="537"/>
      <c r="F123" s="393">
        <f>+'Calc Sheet 20_21'!H1593</f>
        <v>13200</v>
      </c>
      <c r="G123" s="393">
        <f>+'Calc Sheet 20_21'!I1593</f>
        <v>15400</v>
      </c>
      <c r="H123" s="240">
        <f t="shared" si="4"/>
        <v>0.16666666666666666</v>
      </c>
      <c r="I123" s="241">
        <f>G123*I$3</f>
        <v>2310</v>
      </c>
      <c r="J123" s="583">
        <f>G123+I123</f>
        <v>17710</v>
      </c>
      <c r="K123" s="283">
        <v>9100033030420</v>
      </c>
      <c r="M123" s="431">
        <f>J123+L123</f>
        <v>17710</v>
      </c>
      <c r="N123" s="431">
        <f>+$M123*(1+'Unit tariffs'!$F$2)</f>
        <v>18453.82</v>
      </c>
      <c r="O123" s="431">
        <f>+$N123*(1+'Unit tariffs'!$F$2)</f>
        <v>19228.88044</v>
      </c>
      <c r="P123" s="431">
        <f>+$O123*(1+'Unit tariffs'!$F$2)</f>
        <v>20036.49341848</v>
      </c>
    </row>
    <row r="124" spans="1:16" ht="33" customHeight="1">
      <c r="A124" s="281"/>
      <c r="B124" s="530" t="s">
        <v>429</v>
      </c>
      <c r="C124" s="234"/>
      <c r="D124" s="213">
        <v>0</v>
      </c>
      <c r="E124" s="537"/>
      <c r="F124" s="393">
        <f>+'Calc Sheet 20_21'!H1611</f>
        <v>26300</v>
      </c>
      <c r="G124" s="393">
        <f>+'Calc Sheet 20_21'!I1611</f>
        <v>30800</v>
      </c>
      <c r="H124" s="240">
        <f t="shared" si="4"/>
        <v>0.17110266159695817</v>
      </c>
      <c r="I124" s="241">
        <f>G124*I$3</f>
        <v>4620</v>
      </c>
      <c r="J124" s="583">
        <f>G124+I124</f>
        <v>35420</v>
      </c>
      <c r="K124" s="283">
        <v>9100033030421</v>
      </c>
      <c r="M124" s="431">
        <f>J124+L124</f>
        <v>35420</v>
      </c>
      <c r="N124" s="431">
        <f>+$M124*(1+'Unit tariffs'!$F$2)</f>
        <v>36907.64</v>
      </c>
      <c r="O124" s="431">
        <f>+$N124*(1+'Unit tariffs'!$F$2)</f>
        <v>38457.76088</v>
      </c>
      <c r="P124" s="431">
        <f>+$O124*(1+'Unit tariffs'!$F$2)</f>
        <v>40072.98683696</v>
      </c>
    </row>
    <row r="125" spans="1:16" ht="30.75" customHeight="1">
      <c r="A125" s="281"/>
      <c r="B125" s="233" t="str">
        <f>'Calc Sheet 20_21'!B1646</f>
        <v>9.9 Reinstatement of supply following disconnection of service by CENTLEC - 1Phase pre-payment meter damaged or persistent tampering (PPD)</v>
      </c>
      <c r="C125" s="234"/>
      <c r="D125" s="213">
        <f>+'Calc Sheet 20_21'!H1669</f>
        <v>6410</v>
      </c>
      <c r="E125" s="537">
        <v>5990</v>
      </c>
      <c r="F125" s="393">
        <f>+'Calc Sheet 20_21'!H1669</f>
        <v>6410</v>
      </c>
      <c r="G125" s="393">
        <f>+'Calc Sheet 20_21'!I1669</f>
        <v>7590</v>
      </c>
      <c r="H125" s="240">
        <f t="shared" si="4"/>
        <v>0.18408736349453977</v>
      </c>
      <c r="I125" s="241">
        <f>G125*I$3</f>
        <v>1138.5</v>
      </c>
      <c r="J125" s="583">
        <f>G125+I125</f>
        <v>8728.5</v>
      </c>
      <c r="K125" s="283">
        <v>9100033030416</v>
      </c>
      <c r="M125" s="431">
        <f>J125+L125</f>
        <v>8728.5</v>
      </c>
      <c r="N125" s="431">
        <f>+$M125*(1+'Unit tariffs'!$F$2)</f>
        <v>9095.097</v>
      </c>
      <c r="O125" s="431">
        <f>+$N125*(1+'Unit tariffs'!$F$2)</f>
        <v>9477.091074</v>
      </c>
      <c r="P125" s="431">
        <f>+$O125*(1+'Unit tariffs'!$F$2)</f>
        <v>9875.128899108</v>
      </c>
    </row>
    <row r="126" spans="1:16" ht="29.25" customHeight="1">
      <c r="A126" s="281"/>
      <c r="B126" s="530" t="s">
        <v>430</v>
      </c>
      <c r="C126" s="234"/>
      <c r="D126" s="213">
        <v>4943.73</v>
      </c>
      <c r="E126" s="537"/>
      <c r="F126" s="393">
        <f>+'Calc Sheet 20_21'!H1687</f>
        <v>5300</v>
      </c>
      <c r="G126" s="393">
        <f>+'Calc Sheet 20_21'!I1687</f>
        <v>6200</v>
      </c>
      <c r="H126" s="240">
        <f t="shared" si="4"/>
        <v>0.16981132075471697</v>
      </c>
      <c r="I126" s="241">
        <f>G126*I$3</f>
        <v>930</v>
      </c>
      <c r="J126" s="583">
        <f>G126+I126</f>
        <v>7130</v>
      </c>
      <c r="K126" s="283">
        <v>9100033030417</v>
      </c>
      <c r="M126" s="431">
        <f>J126+L126</f>
        <v>7130</v>
      </c>
      <c r="N126" s="431">
        <f>+$M126*(1+'Unit tariffs'!$F$2)</f>
        <v>7429.46</v>
      </c>
      <c r="O126" s="431">
        <f>+$N126*(1+'Unit tariffs'!$F$2)</f>
        <v>7741.49732</v>
      </c>
      <c r="P126" s="431">
        <f>+$O126*(1+'Unit tariffs'!$F$2)</f>
        <v>8066.64020744</v>
      </c>
    </row>
    <row r="127" spans="1:16" ht="33" customHeight="1">
      <c r="A127" s="281"/>
      <c r="B127" s="530" t="s">
        <v>431</v>
      </c>
      <c r="C127" s="234"/>
      <c r="D127" s="213">
        <v>0</v>
      </c>
      <c r="E127" s="537"/>
      <c r="F127" s="393">
        <f>+'Calc Sheet 20_21'!H1704</f>
        <v>7900</v>
      </c>
      <c r="G127" s="393">
        <f>+'Calc Sheet 20_21'!I1704</f>
        <v>9200</v>
      </c>
      <c r="H127" s="240">
        <f t="shared" si="4"/>
        <v>0.16455696202531644</v>
      </c>
      <c r="I127" s="241">
        <f>G127*I$3</f>
        <v>1380</v>
      </c>
      <c r="J127" s="583">
        <f>G127+I127</f>
        <v>10580</v>
      </c>
      <c r="K127" s="283">
        <v>9100033030418</v>
      </c>
      <c r="M127" s="431">
        <f>J127+L127</f>
        <v>10580</v>
      </c>
      <c r="N127" s="431">
        <f>+$M127*(1+'Unit tariffs'!$F$2)</f>
        <v>11024.36</v>
      </c>
      <c r="O127" s="431">
        <f>+$N127*(1+'Unit tariffs'!$F$2)</f>
        <v>11487.38312</v>
      </c>
      <c r="P127" s="431">
        <f>+$O127*(1+'Unit tariffs'!$F$2)</f>
        <v>11969.853211040001</v>
      </c>
    </row>
    <row r="128" spans="1:16" ht="13.5" customHeight="1" thickBot="1">
      <c r="A128" s="378"/>
      <c r="B128" s="290"/>
      <c r="C128" s="291"/>
      <c r="D128" s="374"/>
      <c r="E128" s="552"/>
      <c r="F128" s="642"/>
      <c r="G128" s="400"/>
      <c r="H128" s="375"/>
      <c r="I128" s="376"/>
      <c r="J128" s="589"/>
      <c r="K128" s="377"/>
      <c r="M128" s="441"/>
      <c r="N128" s="441"/>
      <c r="O128" s="441"/>
      <c r="P128" s="441"/>
    </row>
    <row r="129" spans="1:16" ht="15">
      <c r="A129" s="273"/>
      <c r="B129" s="274" t="str">
        <f>B1</f>
        <v>CENTLEC : ELECTRICITY SERVICES COSTS FOR KOPANONG MUNIC</v>
      </c>
      <c r="C129" s="388"/>
      <c r="D129" s="382" t="s">
        <v>74</v>
      </c>
      <c r="E129" s="545"/>
      <c r="F129" s="634" t="s">
        <v>74</v>
      </c>
      <c r="G129" s="384" t="s">
        <v>74</v>
      </c>
      <c r="H129" s="383" t="s">
        <v>85</v>
      </c>
      <c r="I129" s="55" t="s">
        <v>470</v>
      </c>
      <c r="J129" s="384" t="s">
        <v>138</v>
      </c>
      <c r="K129" s="385" t="s">
        <v>75</v>
      </c>
      <c r="M129" s="695" t="s">
        <v>138</v>
      </c>
      <c r="N129" s="695" t="s">
        <v>138</v>
      </c>
      <c r="O129" s="695" t="s">
        <v>138</v>
      </c>
      <c r="P129" s="695" t="s">
        <v>138</v>
      </c>
    </row>
    <row r="130" spans="1:16" ht="14.25">
      <c r="A130" s="281"/>
      <c r="B130" s="239"/>
      <c r="C130" s="238"/>
      <c r="D130" s="340" t="s">
        <v>77</v>
      </c>
      <c r="E130" s="532"/>
      <c r="F130" s="623" t="s">
        <v>77</v>
      </c>
      <c r="G130" s="236" t="s">
        <v>77</v>
      </c>
      <c r="H130" s="339" t="s">
        <v>86</v>
      </c>
      <c r="I130" s="665">
        <f>+'Unit tariffs'!F$3</f>
        <v>0.15</v>
      </c>
      <c r="J130" s="236" t="s">
        <v>139</v>
      </c>
      <c r="K130" s="337" t="s">
        <v>78</v>
      </c>
      <c r="M130" s="692" t="s">
        <v>139</v>
      </c>
      <c r="N130" s="692" t="s">
        <v>139</v>
      </c>
      <c r="O130" s="692" t="s">
        <v>139</v>
      </c>
      <c r="P130" s="692" t="s">
        <v>139</v>
      </c>
    </row>
    <row r="131" spans="1:16" ht="14.25">
      <c r="A131" s="281"/>
      <c r="B131" s="239"/>
      <c r="C131" s="238"/>
      <c r="D131" s="340" t="str">
        <f>D$4</f>
        <v>2016/2017</v>
      </c>
      <c r="E131" s="532"/>
      <c r="F131" s="690" t="str">
        <f>'Calc Sheet 20_21'!$H$11</f>
        <v>2020/2021</v>
      </c>
      <c r="G131" s="236" t="str">
        <f>'Calc Sheet 20_21'!$I$11</f>
        <v>2021/2022</v>
      </c>
      <c r="H131" s="339" t="str">
        <f>G131</f>
        <v>2021/2022</v>
      </c>
      <c r="I131" s="55" t="str">
        <f>G131</f>
        <v>2021/2022</v>
      </c>
      <c r="J131" s="236" t="str">
        <f>I131</f>
        <v>2021/2022</v>
      </c>
      <c r="K131" s="337" t="s">
        <v>79</v>
      </c>
      <c r="M131" s="692" t="s">
        <v>481</v>
      </c>
      <c r="N131" s="692" t="s">
        <v>630</v>
      </c>
      <c r="O131" s="692" t="s">
        <v>631</v>
      </c>
      <c r="P131" s="692" t="s">
        <v>632</v>
      </c>
    </row>
    <row r="132" spans="1:16" ht="15.75" thickBot="1">
      <c r="A132" s="305"/>
      <c r="B132" s="349" t="s">
        <v>105</v>
      </c>
      <c r="C132" s="307"/>
      <c r="D132" s="343" t="s">
        <v>80</v>
      </c>
      <c r="E132" s="533"/>
      <c r="F132" s="624" t="s">
        <v>80</v>
      </c>
      <c r="G132" s="346" t="s">
        <v>80</v>
      </c>
      <c r="H132" s="344"/>
      <c r="I132" s="345"/>
      <c r="J132" s="346"/>
      <c r="K132" s="347"/>
      <c r="M132" s="425"/>
      <c r="N132" s="425"/>
      <c r="O132" s="425"/>
      <c r="P132" s="425"/>
    </row>
    <row r="133" spans="1:16" ht="27" thickTop="1">
      <c r="A133" s="281"/>
      <c r="B133" s="530" t="s">
        <v>370</v>
      </c>
      <c r="C133" s="234"/>
      <c r="D133" s="213">
        <f>+'Calc Sheet 20_21'!H1734</f>
        <v>11890</v>
      </c>
      <c r="E133" s="537">
        <v>11360</v>
      </c>
      <c r="F133" s="393">
        <f>+'Calc Sheet 20_21'!H1734</f>
        <v>11890</v>
      </c>
      <c r="G133" s="393">
        <f>+'Calc Sheet 20_21'!I1734</f>
        <v>14120</v>
      </c>
      <c r="H133" s="240">
        <f>IF(G133&lt;0.01,"0",(G133-D133)/D133)</f>
        <v>0.18755256518082422</v>
      </c>
      <c r="I133" s="241">
        <f>G133*I$3</f>
        <v>2118</v>
      </c>
      <c r="J133" s="583">
        <f aca="true" t="shared" si="5" ref="J133:J148">G133+I133</f>
        <v>16238</v>
      </c>
      <c r="K133" s="283">
        <v>9100033030416</v>
      </c>
      <c r="M133" s="431">
        <f aca="true" t="shared" si="6" ref="M133:M148">J133+L133</f>
        <v>16238</v>
      </c>
      <c r="N133" s="431">
        <f>+$M133*(1+'Unit tariffs'!$F$2)</f>
        <v>16919.996</v>
      </c>
      <c r="O133" s="431">
        <f>+$N133*(1+'Unit tariffs'!$F$2)</f>
        <v>17630.635832</v>
      </c>
      <c r="P133" s="431">
        <f>+$O133*(1+'Unit tariffs'!$F$2)</f>
        <v>18371.122536944</v>
      </c>
    </row>
    <row r="134" spans="1:16" ht="29.25" customHeight="1">
      <c r="A134" s="281"/>
      <c r="B134" s="530" t="s">
        <v>439</v>
      </c>
      <c r="C134" s="234"/>
      <c r="D134" s="213">
        <v>0</v>
      </c>
      <c r="E134" s="537"/>
      <c r="F134" s="393">
        <f>+'Calc Sheet 20_21'!H1751</f>
        <v>13200</v>
      </c>
      <c r="G134" s="393">
        <f>+'Calc Sheet 20_21'!I1751</f>
        <v>15400</v>
      </c>
      <c r="H134" s="256">
        <f aca="true" t="shared" si="7" ref="H134:H145">(G134-F134)/F134</f>
        <v>0.16666666666666666</v>
      </c>
      <c r="I134" s="241">
        <f>G134*I$3</f>
        <v>2310</v>
      </c>
      <c r="J134" s="583">
        <f>G134+I134</f>
        <v>17710</v>
      </c>
      <c r="K134" s="283">
        <v>9100033030416</v>
      </c>
      <c r="M134" s="431">
        <f t="shared" si="6"/>
        <v>17710</v>
      </c>
      <c r="N134" s="431">
        <f>+$M134*(1+'Unit tariffs'!$F$2)</f>
        <v>18453.82</v>
      </c>
      <c r="O134" s="431">
        <f>+$N134*(1+'Unit tariffs'!$F$2)</f>
        <v>19228.88044</v>
      </c>
      <c r="P134" s="431">
        <f>+$O134*(1+'Unit tariffs'!$F$2)</f>
        <v>20036.49341848</v>
      </c>
    </row>
    <row r="135" spans="1:16" ht="33" customHeight="1">
      <c r="A135" s="281"/>
      <c r="B135" s="530" t="s">
        <v>440</v>
      </c>
      <c r="C135" s="234"/>
      <c r="D135" s="213">
        <v>0</v>
      </c>
      <c r="E135" s="537"/>
      <c r="F135" s="393">
        <f>+'Calc Sheet 20_21'!H1768</f>
        <v>26300</v>
      </c>
      <c r="G135" s="393">
        <f>+'Calc Sheet 20_21'!I1768</f>
        <v>30800</v>
      </c>
      <c r="H135" s="240">
        <f t="shared" si="7"/>
        <v>0.17110266159695817</v>
      </c>
      <c r="I135" s="241">
        <f>G135*I$3</f>
        <v>4620</v>
      </c>
      <c r="J135" s="583">
        <f>G135+I135</f>
        <v>35420</v>
      </c>
      <c r="K135" s="283">
        <v>9100033030416</v>
      </c>
      <c r="M135" s="431">
        <f t="shared" si="6"/>
        <v>35420</v>
      </c>
      <c r="N135" s="431">
        <f>+$M135*(1+'Unit tariffs'!$F$2)</f>
        <v>36907.64</v>
      </c>
      <c r="O135" s="431">
        <f>+$N135*(1+'Unit tariffs'!$F$2)</f>
        <v>38457.76088</v>
      </c>
      <c r="P135" s="431">
        <f>+$O135*(1+'Unit tariffs'!$F$2)</f>
        <v>40072.98683696</v>
      </c>
    </row>
    <row r="136" spans="1:16" ht="18.75" customHeight="1">
      <c r="A136" s="281"/>
      <c r="B136" s="530" t="s">
        <v>459</v>
      </c>
      <c r="C136" s="234"/>
      <c r="D136" s="213">
        <f>+'Calc Sheet 20_21'!H1796</f>
        <v>793</v>
      </c>
      <c r="E136" s="538">
        <v>240</v>
      </c>
      <c r="F136" s="393">
        <f>+'Calc Sheet 20_21'!H1796</f>
        <v>793</v>
      </c>
      <c r="G136" s="393">
        <f>+'Calc Sheet 20_21'!I1796</f>
        <v>950</v>
      </c>
      <c r="H136" s="240">
        <f t="shared" si="7"/>
        <v>0.19798234552332913</v>
      </c>
      <c r="I136" s="241">
        <f aca="true" t="shared" si="8" ref="I136:I149">G136*I$3</f>
        <v>142.5</v>
      </c>
      <c r="J136" s="583">
        <f t="shared" si="5"/>
        <v>1092.5</v>
      </c>
      <c r="K136" s="283">
        <v>9100033030416</v>
      </c>
      <c r="M136" s="431">
        <f t="shared" si="6"/>
        <v>1092.5</v>
      </c>
      <c r="N136" s="431">
        <f>+$M136*(1+'Unit tariffs'!$F$2)</f>
        <v>1138.385</v>
      </c>
      <c r="O136" s="431">
        <f>+$N136*(1+'Unit tariffs'!$F$2)</f>
        <v>1186.1971700000001</v>
      </c>
      <c r="P136" s="431">
        <f>+$O136*(1+'Unit tariffs'!$F$2)</f>
        <v>1236.0174511400003</v>
      </c>
    </row>
    <row r="137" spans="1:16" ht="27">
      <c r="A137" s="281"/>
      <c r="B137" s="233" t="str">
        <f>+'Calc Sheet 20_21'!B1803:G1803</f>
        <v>9.12 Reinstatement of supply by CENTLEC - Where supplied from overhead transmission systems or a substation</v>
      </c>
      <c r="C137" s="234"/>
      <c r="D137" s="213">
        <f>+'Calc Sheet 20_21'!H1825</f>
        <v>1430</v>
      </c>
      <c r="E137" s="537">
        <v>1330</v>
      </c>
      <c r="F137" s="393">
        <f>+'Calc Sheet 20_21'!H1825</f>
        <v>1430</v>
      </c>
      <c r="G137" s="393">
        <f>+'Calc Sheet 20_21'!I1825</f>
        <v>1780</v>
      </c>
      <c r="H137" s="240">
        <f t="shared" si="7"/>
        <v>0.24475524475524477</v>
      </c>
      <c r="I137" s="241">
        <f t="shared" si="8"/>
        <v>267</v>
      </c>
      <c r="J137" s="583">
        <f t="shared" si="5"/>
        <v>2047</v>
      </c>
      <c r="K137" s="283">
        <v>9100033030416</v>
      </c>
      <c r="M137" s="431">
        <f t="shared" si="6"/>
        <v>2047</v>
      </c>
      <c r="N137" s="431">
        <f>+$M137*(1+'Unit tariffs'!$F$2)</f>
        <v>2132.974</v>
      </c>
      <c r="O137" s="431">
        <f>+$N137*(1+'Unit tariffs'!$F$2)</f>
        <v>2222.5589080000004</v>
      </c>
      <c r="P137" s="431">
        <f>+$O137*(1+'Unit tariffs'!$F$2)</f>
        <v>2315.9063821360005</v>
      </c>
    </row>
    <row r="138" spans="1:16" ht="27">
      <c r="A138" s="281"/>
      <c r="B138" s="530" t="s">
        <v>371</v>
      </c>
      <c r="C138" s="234"/>
      <c r="D138" s="213">
        <f>+'Calc Sheet 20_21'!H1856</f>
        <v>2370</v>
      </c>
      <c r="E138" s="538">
        <v>1170</v>
      </c>
      <c r="F138" s="393">
        <f>+'Calc Sheet 20_21'!H1856</f>
        <v>2370</v>
      </c>
      <c r="G138" s="393">
        <f>+'Calc Sheet 20_21'!I1856</f>
        <v>2830</v>
      </c>
      <c r="H138" s="256">
        <f t="shared" si="7"/>
        <v>0.1940928270042194</v>
      </c>
      <c r="I138" s="241">
        <f t="shared" si="8"/>
        <v>424.5</v>
      </c>
      <c r="J138" s="583">
        <f t="shared" si="5"/>
        <v>3254.5</v>
      </c>
      <c r="K138" s="283">
        <v>9100033030416</v>
      </c>
      <c r="M138" s="431">
        <f t="shared" si="6"/>
        <v>3254.5</v>
      </c>
      <c r="N138" s="431">
        <f>+$M138*(1+'Unit tariffs'!$F$2)</f>
        <v>3391.1890000000003</v>
      </c>
      <c r="O138" s="431">
        <f>+$N138*(1+'Unit tariffs'!$F$2)</f>
        <v>3533.6189380000005</v>
      </c>
      <c r="P138" s="431">
        <f>+$O138*(1+'Unit tariffs'!$F$2)</f>
        <v>3682.030933396001</v>
      </c>
    </row>
    <row r="139" spans="1:16" ht="27">
      <c r="A139" s="281"/>
      <c r="B139" s="530" t="s">
        <v>372</v>
      </c>
      <c r="C139" s="234"/>
      <c r="D139" s="213">
        <f>+'Calc Sheet 20_21'!H1887</f>
        <v>2500</v>
      </c>
      <c r="E139" s="538">
        <v>1295</v>
      </c>
      <c r="F139" s="393">
        <f>+'Calc Sheet 20_21'!H1887</f>
        <v>2500</v>
      </c>
      <c r="G139" s="393">
        <f>+'Calc Sheet 20_21'!I1887</f>
        <v>2950</v>
      </c>
      <c r="H139" s="240">
        <f t="shared" si="7"/>
        <v>0.18</v>
      </c>
      <c r="I139" s="241">
        <f t="shared" si="8"/>
        <v>442.5</v>
      </c>
      <c r="J139" s="583">
        <f t="shared" si="5"/>
        <v>3392.5</v>
      </c>
      <c r="K139" s="283">
        <v>9100033030416</v>
      </c>
      <c r="M139" s="431">
        <f t="shared" si="6"/>
        <v>3392.5</v>
      </c>
      <c r="N139" s="431">
        <f>+$M139*(1+'Unit tariffs'!$F$2)</f>
        <v>3534.985</v>
      </c>
      <c r="O139" s="431">
        <f>+$N139*(1+'Unit tariffs'!$F$2)</f>
        <v>3683.4543700000004</v>
      </c>
      <c r="P139" s="431">
        <f>+$O139*(1+'Unit tariffs'!$F$2)</f>
        <v>3838.1594535400004</v>
      </c>
    </row>
    <row r="140" spans="1:16" ht="14.25">
      <c r="A140" s="281"/>
      <c r="B140" s="233" t="s">
        <v>135</v>
      </c>
      <c r="C140" s="234"/>
      <c r="D140" s="213">
        <f>'Calc Sheet 20_21'!H1919</f>
        <v>3900</v>
      </c>
      <c r="E140" s="537">
        <v>3210</v>
      </c>
      <c r="F140" s="393">
        <f>'Calc Sheet 20_21'!H1919</f>
        <v>3900</v>
      </c>
      <c r="G140" s="393">
        <f>'Calc Sheet 20_21'!I1919</f>
        <v>4310</v>
      </c>
      <c r="H140" s="240">
        <f t="shared" si="7"/>
        <v>0.10512820512820513</v>
      </c>
      <c r="I140" s="241">
        <f t="shared" si="8"/>
        <v>646.5</v>
      </c>
      <c r="J140" s="583">
        <f t="shared" si="5"/>
        <v>4956.5</v>
      </c>
      <c r="K140" s="283">
        <v>9100033030416</v>
      </c>
      <c r="M140" s="431">
        <f t="shared" si="6"/>
        <v>4956.5</v>
      </c>
      <c r="N140" s="431">
        <f>+$M140*(1+'Unit tariffs'!$F$2)</f>
        <v>5164.673</v>
      </c>
      <c r="O140" s="431">
        <f>+$N140*(1+'Unit tariffs'!$F$2)</f>
        <v>5381.589266</v>
      </c>
      <c r="P140" s="431">
        <f>+$O140*(1+'Unit tariffs'!$F$2)</f>
        <v>5607.6160151720005</v>
      </c>
    </row>
    <row r="141" spans="1:16" ht="14.25">
      <c r="A141" s="281"/>
      <c r="B141" s="233" t="s">
        <v>136</v>
      </c>
      <c r="C141" s="234"/>
      <c r="D141" s="213">
        <f>+'Calc Sheet 20_21'!H1951</f>
        <v>9990</v>
      </c>
      <c r="E141" s="537">
        <v>9025</v>
      </c>
      <c r="F141" s="393">
        <f>+'Calc Sheet 20_21'!H1951</f>
        <v>9990</v>
      </c>
      <c r="G141" s="393">
        <f>+'Calc Sheet 20_21'!I1951</f>
        <v>10140</v>
      </c>
      <c r="H141" s="240">
        <f t="shared" si="7"/>
        <v>0.015015015015015015</v>
      </c>
      <c r="I141" s="241">
        <f t="shared" si="8"/>
        <v>1521</v>
      </c>
      <c r="J141" s="583">
        <f t="shared" si="5"/>
        <v>11661</v>
      </c>
      <c r="K141" s="283">
        <v>9100033030416</v>
      </c>
      <c r="M141" s="431">
        <f t="shared" si="6"/>
        <v>11661</v>
      </c>
      <c r="N141" s="431">
        <f>+$M141*(1+'Unit tariffs'!$F$2)</f>
        <v>12150.762</v>
      </c>
      <c r="O141" s="431">
        <f>+$N141*(1+'Unit tariffs'!$F$2)</f>
        <v>12661.094004</v>
      </c>
      <c r="P141" s="431">
        <f>+$O141*(1+'Unit tariffs'!$F$2)</f>
        <v>13192.859952168</v>
      </c>
    </row>
    <row r="142" spans="1:16" ht="27">
      <c r="A142" s="281"/>
      <c r="B142" s="530" t="s">
        <v>432</v>
      </c>
      <c r="C142" s="234"/>
      <c r="D142" s="213">
        <f>+'Calc Sheet 20_21'!H1669</f>
        <v>6410</v>
      </c>
      <c r="E142" s="537">
        <v>5990</v>
      </c>
      <c r="F142" s="393">
        <f>+'Calc Sheet 20_21'!H1669</f>
        <v>6410</v>
      </c>
      <c r="G142" s="393">
        <f>+'Calc Sheet 20_21'!I1669</f>
        <v>7590</v>
      </c>
      <c r="H142" s="256">
        <f t="shared" si="7"/>
        <v>0.18408736349453977</v>
      </c>
      <c r="I142" s="241">
        <f t="shared" si="8"/>
        <v>1138.5</v>
      </c>
      <c r="J142" s="583">
        <f>G142+I142</f>
        <v>8728.5</v>
      </c>
      <c r="K142" s="283">
        <v>9100033030416</v>
      </c>
      <c r="M142" s="431">
        <f>J142+L142</f>
        <v>8728.5</v>
      </c>
      <c r="N142" s="431">
        <f>+$M142*(1+'Unit tariffs'!$F$2)</f>
        <v>9095.097</v>
      </c>
      <c r="O142" s="431">
        <f>+$N142*(1+'Unit tariffs'!$F$2)</f>
        <v>9477.091074</v>
      </c>
      <c r="P142" s="431">
        <f>+$O142*(1+'Unit tariffs'!$F$2)</f>
        <v>9875.128899108</v>
      </c>
    </row>
    <row r="143" spans="1:16" ht="33" customHeight="1">
      <c r="A143" s="281"/>
      <c r="B143" s="530" t="s">
        <v>434</v>
      </c>
      <c r="C143" s="234"/>
      <c r="D143" s="213">
        <v>0</v>
      </c>
      <c r="E143" s="537"/>
      <c r="F143" s="393">
        <f>+'Calc Sheet 20_21'!H2020</f>
        <v>11400</v>
      </c>
      <c r="G143" s="393">
        <f>+'Calc Sheet 20_21'!I2020</f>
        <v>12300</v>
      </c>
      <c r="H143" s="256">
        <f t="shared" si="7"/>
        <v>0.07894736842105263</v>
      </c>
      <c r="I143" s="241">
        <f t="shared" si="8"/>
        <v>1845</v>
      </c>
      <c r="J143" s="583">
        <f>G143+I143</f>
        <v>14145</v>
      </c>
      <c r="K143" s="283">
        <v>9100033030416</v>
      </c>
      <c r="M143" s="431">
        <f>J143+L143</f>
        <v>14145</v>
      </c>
      <c r="N143" s="431">
        <f>+$M143*(1+'Unit tariffs'!$F$2)</f>
        <v>14739.09</v>
      </c>
      <c r="O143" s="431">
        <f>+$N143*(1+'Unit tariffs'!$F$2)</f>
        <v>15358.131780000002</v>
      </c>
      <c r="P143" s="431">
        <f>+$O143*(1+'Unit tariffs'!$F$2)</f>
        <v>16003.173314760003</v>
      </c>
    </row>
    <row r="144" spans="1:16" ht="27">
      <c r="A144" s="281"/>
      <c r="B144" s="530" t="s">
        <v>433</v>
      </c>
      <c r="C144" s="234"/>
      <c r="D144" s="213">
        <f>+'Calc Sheet 20_21'!H2075</f>
        <v>18240</v>
      </c>
      <c r="E144" s="538">
        <v>16065</v>
      </c>
      <c r="F144" s="393">
        <f>+'Calc Sheet 20_21'!H2075</f>
        <v>18240</v>
      </c>
      <c r="G144" s="393">
        <f>+'Calc Sheet 20_21'!I2075</f>
        <v>18940</v>
      </c>
      <c r="H144" s="256">
        <f t="shared" si="7"/>
        <v>0.03837719298245614</v>
      </c>
      <c r="I144" s="241">
        <f t="shared" si="8"/>
        <v>2841</v>
      </c>
      <c r="J144" s="583">
        <f>G144+I144</f>
        <v>21781</v>
      </c>
      <c r="K144" s="283">
        <v>9100033030416</v>
      </c>
      <c r="M144" s="431">
        <f>J144+L144</f>
        <v>21781</v>
      </c>
      <c r="N144" s="431">
        <f>+$M144*(1+'Unit tariffs'!$F$2)</f>
        <v>22695.802</v>
      </c>
      <c r="O144" s="431">
        <f>+$N144*(1+'Unit tariffs'!$F$2)</f>
        <v>23649.025684</v>
      </c>
      <c r="P144" s="431">
        <f>+$O144*(1+'Unit tariffs'!$F$2)</f>
        <v>24642.284762728003</v>
      </c>
    </row>
    <row r="145" spans="1:16" ht="33" customHeight="1">
      <c r="A145" s="281"/>
      <c r="B145" s="530" t="s">
        <v>435</v>
      </c>
      <c r="C145" s="234"/>
      <c r="D145" s="213">
        <v>15894.94</v>
      </c>
      <c r="E145" s="537"/>
      <c r="F145" s="393">
        <f>+'Calc Sheet 20_21'!H2092</f>
        <v>39000</v>
      </c>
      <c r="G145" s="393">
        <f>+'Calc Sheet 20_21'!I2092</f>
        <v>41100</v>
      </c>
      <c r="H145" s="240">
        <f t="shared" si="7"/>
        <v>0.05384615384615385</v>
      </c>
      <c r="I145" s="241">
        <f t="shared" si="8"/>
        <v>6165</v>
      </c>
      <c r="J145" s="583">
        <f>G145+I145</f>
        <v>47265</v>
      </c>
      <c r="K145" s="283">
        <v>9100033030416</v>
      </c>
      <c r="M145" s="431">
        <f>J145+L145</f>
        <v>47265</v>
      </c>
      <c r="N145" s="431">
        <f>+$M145*(1+'Unit tariffs'!$F$2)</f>
        <v>49250.130000000005</v>
      </c>
      <c r="O145" s="431">
        <f>+$N145*(1+'Unit tariffs'!$F$2)</f>
        <v>51318.635460000005</v>
      </c>
      <c r="P145" s="431">
        <f>+$O145*(1+'Unit tariffs'!$F$2)</f>
        <v>53474.01814932001</v>
      </c>
    </row>
    <row r="146" spans="1:16" ht="14.25">
      <c r="A146" s="281"/>
      <c r="B146" s="233" t="s">
        <v>137</v>
      </c>
      <c r="C146" s="234"/>
      <c r="D146" s="213">
        <f>+'Calc Sheet 20_21'!H2146</f>
        <v>25530</v>
      </c>
      <c r="E146" s="538">
        <v>20260</v>
      </c>
      <c r="F146" s="393">
        <f>+'Calc Sheet 20_21'!H2146</f>
        <v>25530</v>
      </c>
      <c r="G146" s="393">
        <f>+'Calc Sheet 20_21'!I2146</f>
        <v>27230</v>
      </c>
      <c r="H146" s="240">
        <f>IF(G146&lt;0.01,"0",(G146-D146)/D146)</f>
        <v>0.06658832745789267</v>
      </c>
      <c r="I146" s="241">
        <f t="shared" si="8"/>
        <v>4084.5</v>
      </c>
      <c r="J146" s="583">
        <f t="shared" si="5"/>
        <v>31314.5</v>
      </c>
      <c r="K146" s="283">
        <v>9100033030416</v>
      </c>
      <c r="M146" s="431">
        <f t="shared" si="6"/>
        <v>31314.5</v>
      </c>
      <c r="N146" s="431">
        <f>+$M146*(1+'Unit tariffs'!$F$2)</f>
        <v>32629.709000000003</v>
      </c>
      <c r="O146" s="431">
        <f>+$N146*(1+'Unit tariffs'!$F$2)</f>
        <v>34000.156778000004</v>
      </c>
      <c r="P146" s="431">
        <f>+$O146*(1+'Unit tariffs'!$F$2)</f>
        <v>35428.16336267601</v>
      </c>
    </row>
    <row r="147" spans="1:16" ht="23.25" customHeight="1">
      <c r="A147" s="281"/>
      <c r="B147" s="530" t="s">
        <v>437</v>
      </c>
      <c r="C147" s="234"/>
      <c r="D147" s="213">
        <v>0</v>
      </c>
      <c r="E147" s="537"/>
      <c r="F147" s="393">
        <f>+'Calc Sheet 20_21'!H2163</f>
        <v>90000</v>
      </c>
      <c r="G147" s="393">
        <f>+'Calc Sheet 20_21'!I2163</f>
        <v>100000</v>
      </c>
      <c r="H147" s="240">
        <f>(G147-F147)/F147</f>
        <v>0.1111111111111111</v>
      </c>
      <c r="I147" s="241">
        <f t="shared" si="8"/>
        <v>15000</v>
      </c>
      <c r="J147" s="583">
        <f t="shared" si="5"/>
        <v>115000</v>
      </c>
      <c r="K147" s="283">
        <v>9100033030416</v>
      </c>
      <c r="M147" s="431">
        <f t="shared" si="6"/>
        <v>115000</v>
      </c>
      <c r="N147" s="431">
        <f>+$M147*(1+'Unit tariffs'!$F$2)</f>
        <v>119830</v>
      </c>
      <c r="O147" s="431">
        <f>+$N147*(1+'Unit tariffs'!$F$2)</f>
        <v>124862.86</v>
      </c>
      <c r="P147" s="431">
        <f>+$O147*(1+'Unit tariffs'!$F$2)</f>
        <v>130107.10012</v>
      </c>
    </row>
    <row r="148" spans="1:16" ht="23.25" customHeight="1">
      <c r="A148" s="281"/>
      <c r="B148" s="530" t="s">
        <v>438</v>
      </c>
      <c r="C148" s="234"/>
      <c r="D148" s="213">
        <v>0</v>
      </c>
      <c r="E148" s="537"/>
      <c r="F148" s="393">
        <f>+'Calc Sheet 20_21'!H2179</f>
        <v>150000</v>
      </c>
      <c r="G148" s="393">
        <f>+'Calc Sheet 20_21'!I2179</f>
        <v>170000</v>
      </c>
      <c r="H148" s="240">
        <f>(G148-F148)/F148</f>
        <v>0.13333333333333333</v>
      </c>
      <c r="I148" s="241">
        <f t="shared" si="8"/>
        <v>25500</v>
      </c>
      <c r="J148" s="583">
        <f t="shared" si="5"/>
        <v>195500</v>
      </c>
      <c r="K148" s="283">
        <v>9100033030416</v>
      </c>
      <c r="M148" s="431">
        <f t="shared" si="6"/>
        <v>195500</v>
      </c>
      <c r="N148" s="431">
        <f>+$M148*(1+'Unit tariffs'!$F$2)</f>
        <v>203711</v>
      </c>
      <c r="O148" s="431">
        <f>+$N148*(1+'Unit tariffs'!$F$2)</f>
        <v>212266.862</v>
      </c>
      <c r="P148" s="431">
        <f>+$O148*(1+'Unit tariffs'!$F$2)</f>
        <v>221182.070204</v>
      </c>
    </row>
    <row r="149" spans="1:16" ht="14.25">
      <c r="A149" s="281"/>
      <c r="B149" s="530" t="s">
        <v>441</v>
      </c>
      <c r="C149" s="234"/>
      <c r="D149" s="577">
        <v>954.07</v>
      </c>
      <c r="E149" s="537"/>
      <c r="F149" s="393">
        <f>+'Calc Sheet 20_21'!H2210</f>
        <v>1740</v>
      </c>
      <c r="G149" s="393">
        <f>+'Calc Sheet 20_21'!I2210</f>
        <v>1750</v>
      </c>
      <c r="H149" s="240">
        <f>(G149-F149)/F149</f>
        <v>0.005747126436781609</v>
      </c>
      <c r="I149" s="241">
        <f t="shared" si="8"/>
        <v>262.5</v>
      </c>
      <c r="J149" s="583">
        <f>+I149+G149</f>
        <v>2012.5</v>
      </c>
      <c r="K149" s="283">
        <v>9100033030416</v>
      </c>
      <c r="M149" s="431">
        <f>+L149+J149</f>
        <v>2012.5</v>
      </c>
      <c r="N149" s="431">
        <f>+$M149*(1+'Unit tariffs'!$F$2)</f>
        <v>2097.025</v>
      </c>
      <c r="O149" s="431">
        <f>+$N149*(1+'Unit tariffs'!$F$2)</f>
        <v>2185.10005</v>
      </c>
      <c r="P149" s="431">
        <f>+$O149*(1+'Unit tariffs'!$F$2)</f>
        <v>2276.8742521</v>
      </c>
    </row>
    <row r="150" spans="1:16" ht="20.25" customHeight="1">
      <c r="A150" s="281"/>
      <c r="B150" s="579" t="s">
        <v>436</v>
      </c>
      <c r="C150" s="234"/>
      <c r="D150" s="213"/>
      <c r="E150" s="537"/>
      <c r="F150" s="627"/>
      <c r="G150" s="393"/>
      <c r="H150" s="256"/>
      <c r="I150" s="257"/>
      <c r="J150" s="583"/>
      <c r="K150" s="283"/>
      <c r="M150" s="431"/>
      <c r="N150" s="431"/>
      <c r="O150" s="431"/>
      <c r="P150" s="431"/>
    </row>
    <row r="151" spans="1:16" ht="21" customHeight="1">
      <c r="A151" s="298"/>
      <c r="B151" s="334" t="s">
        <v>250</v>
      </c>
      <c r="C151" s="329"/>
      <c r="D151" s="317"/>
      <c r="E151" s="534"/>
      <c r="F151" s="625"/>
      <c r="G151" s="304"/>
      <c r="H151" s="302"/>
      <c r="I151" s="303"/>
      <c r="J151" s="590"/>
      <c r="K151" s="322"/>
      <c r="M151" s="427"/>
      <c r="N151" s="427"/>
      <c r="O151" s="427"/>
      <c r="P151" s="427"/>
    </row>
    <row r="152" spans="1:16" ht="57.75" customHeight="1">
      <c r="A152" s="281"/>
      <c r="B152" s="373" t="s">
        <v>251</v>
      </c>
      <c r="C152" s="258"/>
      <c r="D152" s="260" t="s">
        <v>252</v>
      </c>
      <c r="E152" s="553"/>
      <c r="F152" s="643" t="s">
        <v>347</v>
      </c>
      <c r="G152" s="666" t="s">
        <v>471</v>
      </c>
      <c r="H152" s="240"/>
      <c r="I152" s="241"/>
      <c r="J152" s="591"/>
      <c r="K152" s="283">
        <v>9100033030416</v>
      </c>
      <c r="M152" s="431"/>
      <c r="N152" s="431"/>
      <c r="O152" s="431"/>
      <c r="P152" s="431"/>
    </row>
    <row r="153" spans="1:16" ht="57.75" customHeight="1">
      <c r="A153" s="281"/>
      <c r="B153" s="259" t="s">
        <v>253</v>
      </c>
      <c r="C153" s="258"/>
      <c r="D153" s="260" t="s">
        <v>252</v>
      </c>
      <c r="E153" s="553"/>
      <c r="F153" s="643" t="s">
        <v>347</v>
      </c>
      <c r="G153" s="401" t="s">
        <v>347</v>
      </c>
      <c r="H153" s="240"/>
      <c r="I153" s="241"/>
      <c r="J153" s="591"/>
      <c r="K153" s="283">
        <v>9100033030416</v>
      </c>
      <c r="M153" s="431"/>
      <c r="N153" s="431"/>
      <c r="O153" s="431"/>
      <c r="P153" s="431"/>
    </row>
    <row r="154" spans="1:16" ht="57.75" customHeight="1">
      <c r="A154" s="281"/>
      <c r="B154" s="261" t="s">
        <v>259</v>
      </c>
      <c r="C154" s="258"/>
      <c r="D154" s="262" t="s">
        <v>254</v>
      </c>
      <c r="E154" s="554"/>
      <c r="F154" s="643" t="s">
        <v>346</v>
      </c>
      <c r="G154" s="401" t="s">
        <v>346</v>
      </c>
      <c r="H154" s="240"/>
      <c r="I154" s="241"/>
      <c r="J154" s="591"/>
      <c r="K154" s="283">
        <v>9100033030416</v>
      </c>
      <c r="M154" s="431"/>
      <c r="N154" s="431"/>
      <c r="O154" s="431"/>
      <c r="P154" s="431"/>
    </row>
    <row r="155" spans="1:16" ht="57.75" customHeight="1">
      <c r="A155" s="281"/>
      <c r="B155" s="261" t="s">
        <v>348</v>
      </c>
      <c r="C155" s="258"/>
      <c r="D155" s="262" t="s">
        <v>255</v>
      </c>
      <c r="E155" s="554"/>
      <c r="F155" s="643" t="s">
        <v>256</v>
      </c>
      <c r="G155" s="401" t="s">
        <v>256</v>
      </c>
      <c r="H155" s="240"/>
      <c r="I155" s="241"/>
      <c r="J155" s="591"/>
      <c r="K155" s="283">
        <v>9100033030416</v>
      </c>
      <c r="M155" s="431"/>
      <c r="N155" s="431"/>
      <c r="O155" s="431"/>
      <c r="P155" s="431"/>
    </row>
    <row r="156" spans="1:16" ht="57.75" customHeight="1">
      <c r="A156" s="281"/>
      <c r="B156" s="261" t="s">
        <v>349</v>
      </c>
      <c r="C156" s="258"/>
      <c r="D156" s="262" t="s">
        <v>256</v>
      </c>
      <c r="E156" s="554"/>
      <c r="F156" s="643" t="s">
        <v>345</v>
      </c>
      <c r="G156" s="401" t="s">
        <v>345</v>
      </c>
      <c r="H156" s="406"/>
      <c r="I156" s="241"/>
      <c r="J156" s="591"/>
      <c r="K156" s="283">
        <v>9100033030416</v>
      </c>
      <c r="M156" s="431"/>
      <c r="N156" s="431"/>
      <c r="O156" s="431"/>
      <c r="P156" s="431"/>
    </row>
    <row r="157" spans="1:16" ht="30.75" customHeight="1">
      <c r="A157" s="281"/>
      <c r="B157" s="862" t="s">
        <v>257</v>
      </c>
      <c r="C157" s="863"/>
      <c r="D157" s="863"/>
      <c r="E157" s="863"/>
      <c r="F157" s="863"/>
      <c r="G157" s="863"/>
      <c r="H157" s="863"/>
      <c r="I157" s="863"/>
      <c r="J157" s="864"/>
      <c r="K157" s="283"/>
      <c r="M157" s="431"/>
      <c r="N157" s="431"/>
      <c r="O157" s="431"/>
      <c r="P157" s="431"/>
    </row>
    <row r="158" spans="1:16" ht="15" thickBot="1">
      <c r="A158" s="378"/>
      <c r="B158" s="379"/>
      <c r="C158" s="389"/>
      <c r="D158" s="390"/>
      <c r="E158" s="555"/>
      <c r="F158" s="644"/>
      <c r="G158" s="402"/>
      <c r="H158" s="375"/>
      <c r="I158" s="376"/>
      <c r="J158" s="592"/>
      <c r="K158" s="377"/>
      <c r="M158" s="441"/>
      <c r="N158" s="441"/>
      <c r="O158" s="441"/>
      <c r="P158" s="441"/>
    </row>
    <row r="159" spans="1:16" ht="19.5" customHeight="1">
      <c r="A159" s="273"/>
      <c r="B159" s="274" t="s">
        <v>148</v>
      </c>
      <c r="C159" s="388"/>
      <c r="D159" s="382" t="s">
        <v>74</v>
      </c>
      <c r="E159" s="545"/>
      <c r="F159" s="634" t="s">
        <v>74</v>
      </c>
      <c r="G159" s="384" t="s">
        <v>74</v>
      </c>
      <c r="H159" s="383" t="s">
        <v>85</v>
      </c>
      <c r="I159" s="55" t="s">
        <v>470</v>
      </c>
      <c r="J159" s="384" t="s">
        <v>138</v>
      </c>
      <c r="K159" s="385" t="s">
        <v>75</v>
      </c>
      <c r="M159" s="695" t="s">
        <v>138</v>
      </c>
      <c r="N159" s="695" t="s">
        <v>138</v>
      </c>
      <c r="O159" s="695" t="s">
        <v>138</v>
      </c>
      <c r="P159" s="695" t="s">
        <v>138</v>
      </c>
    </row>
    <row r="160" spans="1:16" ht="14.25">
      <c r="A160" s="281"/>
      <c r="B160" s="239"/>
      <c r="C160" s="238"/>
      <c r="D160" s="340" t="s">
        <v>77</v>
      </c>
      <c r="E160" s="532"/>
      <c r="F160" s="623" t="s">
        <v>77</v>
      </c>
      <c r="G160" s="236" t="s">
        <v>77</v>
      </c>
      <c r="H160" s="339" t="s">
        <v>86</v>
      </c>
      <c r="I160" s="665">
        <f>+'Unit tariffs'!F$3</f>
        <v>0.15</v>
      </c>
      <c r="J160" s="236" t="s">
        <v>139</v>
      </c>
      <c r="K160" s="337" t="s">
        <v>78</v>
      </c>
      <c r="M160" s="692" t="s">
        <v>139</v>
      </c>
      <c r="N160" s="692" t="s">
        <v>139</v>
      </c>
      <c r="O160" s="692" t="s">
        <v>139</v>
      </c>
      <c r="P160" s="692" t="s">
        <v>139</v>
      </c>
    </row>
    <row r="161" spans="1:16" ht="14.25">
      <c r="A161" s="281"/>
      <c r="B161" s="239" t="s">
        <v>105</v>
      </c>
      <c r="C161" s="238"/>
      <c r="D161" s="340" t="str">
        <f>D$4</f>
        <v>2016/2017</v>
      </c>
      <c r="E161" s="532"/>
      <c r="F161" s="690" t="str">
        <f>'Calc Sheet 20_21'!$H$11</f>
        <v>2020/2021</v>
      </c>
      <c r="G161" s="236" t="str">
        <f>'Calc Sheet 20_21'!$I$11</f>
        <v>2021/2022</v>
      </c>
      <c r="H161" s="339" t="str">
        <f>G161</f>
        <v>2021/2022</v>
      </c>
      <c r="I161" s="55" t="str">
        <f>G161</f>
        <v>2021/2022</v>
      </c>
      <c r="J161" s="236" t="str">
        <f>I161</f>
        <v>2021/2022</v>
      </c>
      <c r="K161" s="337" t="s">
        <v>79</v>
      </c>
      <c r="M161" s="692" t="s">
        <v>481</v>
      </c>
      <c r="N161" s="692" t="s">
        <v>630</v>
      </c>
      <c r="O161" s="692" t="s">
        <v>631</v>
      </c>
      <c r="P161" s="692" t="s">
        <v>632</v>
      </c>
    </row>
    <row r="162" spans="1:16" ht="15" thickBot="1">
      <c r="A162" s="305"/>
      <c r="B162" s="306"/>
      <c r="C162" s="307"/>
      <c r="D162" s="343" t="s">
        <v>80</v>
      </c>
      <c r="E162" s="533"/>
      <c r="F162" s="624" t="s">
        <v>80</v>
      </c>
      <c r="G162" s="346" t="s">
        <v>80</v>
      </c>
      <c r="H162" s="344"/>
      <c r="I162" s="345"/>
      <c r="J162" s="346"/>
      <c r="K162" s="347"/>
      <c r="M162" s="425"/>
      <c r="N162" s="425"/>
      <c r="O162" s="425"/>
      <c r="P162" s="425"/>
    </row>
    <row r="163" spans="1:16" ht="15.75" thickTop="1">
      <c r="A163" s="298"/>
      <c r="B163" s="315"/>
      <c r="C163" s="329"/>
      <c r="D163" s="330"/>
      <c r="E163" s="556"/>
      <c r="F163" s="645"/>
      <c r="G163" s="403"/>
      <c r="H163" s="699" t="s">
        <v>486</v>
      </c>
      <c r="I163" s="332"/>
      <c r="J163" s="593"/>
      <c r="K163" s="333"/>
      <c r="M163" s="443"/>
      <c r="N163" s="443"/>
      <c r="O163" s="443"/>
      <c r="P163" s="443"/>
    </row>
    <row r="164" spans="1:16" ht="26.25">
      <c r="A164" s="281"/>
      <c r="B164" s="261" t="s">
        <v>258</v>
      </c>
      <c r="C164" s="263"/>
      <c r="D164" s="392">
        <v>82.005</v>
      </c>
      <c r="E164" s="557"/>
      <c r="F164" s="646">
        <v>93.18687378000001</v>
      </c>
      <c r="G164" s="404">
        <f>+F164*(1+'Unit tariffs'!$F$2)</f>
        <v>97.10072247876002</v>
      </c>
      <c r="H164" s="240">
        <f>(G164-F164)/F164</f>
        <v>0.04200000000000006</v>
      </c>
      <c r="I164" s="241">
        <f>G164*I$3</f>
        <v>14.565108371814002</v>
      </c>
      <c r="J164" s="594">
        <f>+I164+G164</f>
        <v>111.66583085057403</v>
      </c>
      <c r="K164" s="364">
        <v>9100033030416</v>
      </c>
      <c r="L164" s="210" t="s">
        <v>276</v>
      </c>
      <c r="M164" s="431">
        <f>11.67</f>
        <v>11.67</v>
      </c>
      <c r="N164" s="431">
        <f>+$M164*(1+'Unit tariffs'!$F$2)</f>
        <v>12.16014</v>
      </c>
      <c r="O164" s="431">
        <f>+$N164*(1+'Unit tariffs'!$F$2)</f>
        <v>12.670865880000001</v>
      </c>
      <c r="P164" s="431">
        <f>+$O164*(1+'Unit tariffs'!$F$2)</f>
        <v>13.20304224696</v>
      </c>
    </row>
    <row r="165" spans="1:16" ht="14.25">
      <c r="A165" s="281"/>
      <c r="B165" s="228" t="s">
        <v>321</v>
      </c>
      <c r="C165" s="265"/>
      <c r="D165" s="392">
        <v>63.9</v>
      </c>
      <c r="E165" s="557"/>
      <c r="F165" s="646">
        <v>72.61314840000001</v>
      </c>
      <c r="G165" s="404">
        <f>+F165*(1+'Unit tariffs'!$F$2)</f>
        <v>75.66290063280002</v>
      </c>
      <c r="H165" s="240">
        <f>(G165-F165)/F165</f>
        <v>0.04200000000000004</v>
      </c>
      <c r="I165" s="241">
        <f>G165*I$3</f>
        <v>11.349435094920002</v>
      </c>
      <c r="J165" s="595">
        <f>+I165+G165</f>
        <v>87.01233572772001</v>
      </c>
      <c r="K165" s="364">
        <v>9100033030416</v>
      </c>
      <c r="M165" s="431">
        <f>+L165+J165</f>
        <v>87.01233572772001</v>
      </c>
      <c r="N165" s="431">
        <v>98.25385615663508</v>
      </c>
      <c r="O165" s="431">
        <v>102.57702582752702</v>
      </c>
      <c r="P165" s="431">
        <v>107.19299198976574</v>
      </c>
    </row>
    <row r="166" spans="1:16" ht="14.25">
      <c r="A166" s="281"/>
      <c r="B166" s="228"/>
      <c r="C166" s="266"/>
      <c r="D166" s="271"/>
      <c r="E166" s="558"/>
      <c r="F166" s="647"/>
      <c r="G166" s="270"/>
      <c r="H166" s="272"/>
      <c r="I166" s="267"/>
      <c r="J166" s="596"/>
      <c r="K166" s="365"/>
      <c r="M166" s="445"/>
      <c r="N166" s="445"/>
      <c r="O166" s="431"/>
      <c r="P166" s="431"/>
    </row>
    <row r="167" spans="1:16" ht="14.25">
      <c r="A167" s="281"/>
      <c r="B167" s="228" t="s">
        <v>322</v>
      </c>
      <c r="C167" s="266"/>
      <c r="D167" s="271"/>
      <c r="E167" s="558"/>
      <c r="F167" s="647"/>
      <c r="G167" s="270"/>
      <c r="H167" s="272"/>
      <c r="I167" s="267"/>
      <c r="J167" s="596"/>
      <c r="K167" s="365"/>
      <c r="M167" s="445"/>
      <c r="N167" s="445"/>
      <c r="O167" s="431"/>
      <c r="P167" s="431"/>
    </row>
    <row r="168" spans="1:16" ht="14.25">
      <c r="A168" s="281"/>
      <c r="B168" s="228" t="s">
        <v>275</v>
      </c>
      <c r="C168" s="266"/>
      <c r="D168" s="271">
        <v>170.13375</v>
      </c>
      <c r="E168" s="558"/>
      <c r="F168" s="646">
        <v>193.33250761500003</v>
      </c>
      <c r="G168" s="404">
        <f>+F168*(1+'Unit tariffs'!$F$2)</f>
        <v>201.45247293483004</v>
      </c>
      <c r="H168" s="240">
        <f>(G168-F168)/F168</f>
        <v>0.04200000000000007</v>
      </c>
      <c r="I168" s="241">
        <f>G168*I$3</f>
        <v>30.217870940224504</v>
      </c>
      <c r="J168" s="595">
        <f>+I168+G168</f>
        <v>231.67034387505456</v>
      </c>
      <c r="K168" s="364">
        <v>9100033030416</v>
      </c>
      <c r="M168" s="431">
        <f>+L168+J168</f>
        <v>231.67034387505456</v>
      </c>
      <c r="N168" s="431">
        <f>+$M168*(1+'Unit tariffs'!$F$2)</f>
        <v>241.40049831780686</v>
      </c>
      <c r="O168" s="431">
        <f>+$N168*(1+'Unit tariffs'!$F$2)</f>
        <v>251.53931924715476</v>
      </c>
      <c r="P168" s="431">
        <f>+$O168*(1+'Unit tariffs'!$F$2)</f>
        <v>262.10397065553525</v>
      </c>
    </row>
    <row r="169" spans="1:16" ht="21.75" customHeight="1">
      <c r="A169" s="288" t="s">
        <v>264</v>
      </c>
      <c r="B169" s="268"/>
      <c r="C169" s="266"/>
      <c r="D169" s="271"/>
      <c r="E169" s="558"/>
      <c r="F169" s="647"/>
      <c r="G169" s="270"/>
      <c r="H169" s="272"/>
      <c r="I169" s="269"/>
      <c r="J169" s="597"/>
      <c r="K169" s="365"/>
      <c r="M169" s="447"/>
      <c r="N169" s="447"/>
      <c r="O169" s="431"/>
      <c r="P169" s="431"/>
    </row>
    <row r="170" spans="1:16" ht="14.25">
      <c r="A170" s="281"/>
      <c r="B170" s="228" t="s">
        <v>323</v>
      </c>
      <c r="C170" s="266"/>
      <c r="D170" s="392">
        <v>63.768319353</v>
      </c>
      <c r="E170" s="557"/>
      <c r="F170" s="646">
        <v>72.46351230669768</v>
      </c>
      <c r="G170" s="404">
        <f>+F170*(1+'Unit tariffs'!$F$2)</f>
        <v>75.50697982357899</v>
      </c>
      <c r="H170" s="240">
        <f>(G170-F170)/F170</f>
        <v>0.042000000000000065</v>
      </c>
      <c r="I170" s="241">
        <f>G170*I$3</f>
        <v>11.326046973536847</v>
      </c>
      <c r="J170" s="595">
        <f>+I170+G170</f>
        <v>86.83302679711583</v>
      </c>
      <c r="K170" s="364">
        <v>9100033030416</v>
      </c>
      <c r="M170" s="431">
        <f>+L170+J170</f>
        <v>86.83302679711583</v>
      </c>
      <c r="N170" s="431">
        <f>+$M170*(1+'Unit tariffs'!$F$2)</f>
        <v>90.48001392259471</v>
      </c>
      <c r="O170" s="431">
        <f>+$N170*(1+'Unit tariffs'!$F$2)</f>
        <v>94.28017450734369</v>
      </c>
      <c r="P170" s="431">
        <f>+$O170*(1+'Unit tariffs'!$F$2)</f>
        <v>98.23994183665212</v>
      </c>
    </row>
    <row r="171" spans="1:16" ht="14.25">
      <c r="A171" s="288" t="s">
        <v>265</v>
      </c>
      <c r="B171" s="239"/>
      <c r="C171" s="266"/>
      <c r="D171" s="271"/>
      <c r="E171" s="558"/>
      <c r="F171" s="647"/>
      <c r="G171" s="270"/>
      <c r="H171" s="272"/>
      <c r="I171" s="266"/>
      <c r="J171" s="598"/>
      <c r="K171" s="365"/>
      <c r="M171" s="449"/>
      <c r="N171" s="449"/>
      <c r="O171" s="431"/>
      <c r="P171" s="431"/>
    </row>
    <row r="172" spans="1:16" ht="14.25">
      <c r="A172" s="281"/>
      <c r="B172" s="228" t="s">
        <v>324</v>
      </c>
      <c r="C172" s="266"/>
      <c r="D172" s="392">
        <v>379.45599615</v>
      </c>
      <c r="E172" s="557"/>
      <c r="F172" s="646">
        <v>431.1970979610294</v>
      </c>
      <c r="G172" s="404">
        <f>+F172*(1+'Unit tariffs'!$F$2)</f>
        <v>449.30737607539265</v>
      </c>
      <c r="H172" s="240">
        <f>(G172-F172)/F172</f>
        <v>0.04200000000000008</v>
      </c>
      <c r="I172" s="241">
        <f>G172*I$3</f>
        <v>67.39610641130889</v>
      </c>
      <c r="J172" s="595">
        <f>+I172+G172</f>
        <v>516.7034824867015</v>
      </c>
      <c r="K172" s="364">
        <v>9100033030416</v>
      </c>
      <c r="M172" s="431">
        <f>+L172+J172</f>
        <v>516.7034824867015</v>
      </c>
      <c r="N172" s="431">
        <f>+$M172*(1+'Unit tariffs'!$F$2)</f>
        <v>538.405028751143</v>
      </c>
      <c r="O172" s="431">
        <f>+$N172*(1+'Unit tariffs'!$F$2)</f>
        <v>561.0180399586911</v>
      </c>
      <c r="P172" s="431">
        <f>+$O172*(1+'Unit tariffs'!$F$2)</f>
        <v>584.5807976369562</v>
      </c>
    </row>
    <row r="173" spans="1:16" ht="14.25">
      <c r="A173" s="281"/>
      <c r="B173" s="228" t="s">
        <v>325</v>
      </c>
      <c r="C173" s="266"/>
      <c r="D173" s="527">
        <f>+D172*1.33</f>
        <v>504.6764748795</v>
      </c>
      <c r="E173" s="559"/>
      <c r="F173" s="648">
        <v>0</v>
      </c>
      <c r="G173" s="687" t="s">
        <v>477</v>
      </c>
      <c r="H173" s="526"/>
      <c r="I173" s="241"/>
      <c r="J173" s="599"/>
      <c r="K173" s="365"/>
      <c r="M173" s="431"/>
      <c r="N173" s="431"/>
      <c r="O173" s="431"/>
      <c r="P173" s="431"/>
    </row>
    <row r="174" spans="1:16" ht="14.25">
      <c r="A174" s="281"/>
      <c r="B174" s="228" t="s">
        <v>326</v>
      </c>
      <c r="C174" s="266"/>
      <c r="D174" s="528">
        <v>1300.9796274750001</v>
      </c>
      <c r="E174" s="560"/>
      <c r="F174" s="649">
        <v>1478.3760055589814</v>
      </c>
      <c r="G174" s="404">
        <f>+F174*(1+'Unit tariffs'!$F$2)</f>
        <v>1540.4677977924587</v>
      </c>
      <c r="H174" s="240">
        <f>(G174-F174)/F174</f>
        <v>0.04200000000000001</v>
      </c>
      <c r="I174" s="241">
        <f>G174*I$3</f>
        <v>231.0701696688688</v>
      </c>
      <c r="J174" s="595">
        <f>+I174+G174</f>
        <v>1771.5379674613275</v>
      </c>
      <c r="K174" s="364">
        <v>9100033030416</v>
      </c>
      <c r="M174" s="431">
        <f>+L174+J174</f>
        <v>1771.5379674613275</v>
      </c>
      <c r="N174" s="431">
        <f>+$M174*(1+'Unit tariffs'!$F$2)</f>
        <v>1845.9425620947034</v>
      </c>
      <c r="O174" s="431">
        <f>+$N174*(1+'Unit tariffs'!$F$2)</f>
        <v>1923.472149702681</v>
      </c>
      <c r="P174" s="431">
        <f>+$O174*(1+'Unit tariffs'!$F$2)</f>
        <v>2004.2579799901937</v>
      </c>
    </row>
    <row r="175" spans="1:16" ht="14.25">
      <c r="A175" s="281"/>
      <c r="B175" s="228" t="s">
        <v>327</v>
      </c>
      <c r="C175" s="266"/>
      <c r="D175" s="527">
        <f>+D174*1.33</f>
        <v>1730.3029045417502</v>
      </c>
      <c r="E175" s="559"/>
      <c r="F175" s="648">
        <v>0</v>
      </c>
      <c r="G175" s="687" t="s">
        <v>477</v>
      </c>
      <c r="H175" s="526"/>
      <c r="I175" s="241"/>
      <c r="J175" s="599"/>
      <c r="K175" s="365"/>
      <c r="M175" s="431"/>
      <c r="N175" s="431"/>
      <c r="O175" s="431"/>
      <c r="P175" s="431"/>
    </row>
    <row r="176" spans="1:16" ht="14.25">
      <c r="A176" s="281"/>
      <c r="B176" s="228" t="s">
        <v>328</v>
      </c>
      <c r="C176" s="266"/>
      <c r="D176" s="528">
        <v>2710.3752538500003</v>
      </c>
      <c r="E176" s="560"/>
      <c r="F176" s="649">
        <v>3079.9511819639715</v>
      </c>
      <c r="G176" s="404">
        <f>+F176*(1+'Unit tariffs'!$F$2)</f>
        <v>3209.3091316064583</v>
      </c>
      <c r="H176" s="240">
        <f>(G176-F176)/F176</f>
        <v>0.041999999999999996</v>
      </c>
      <c r="I176" s="241">
        <f>G176*I$3</f>
        <v>481.39636974096874</v>
      </c>
      <c r="J176" s="595">
        <f>+I176+G176</f>
        <v>3690.705501347427</v>
      </c>
      <c r="K176" s="364">
        <v>9100033030416</v>
      </c>
      <c r="M176" s="431">
        <f>+L176+J176</f>
        <v>3690.705501347427</v>
      </c>
      <c r="N176" s="431">
        <f>+$M176*(1+'Unit tariffs'!$F$2)</f>
        <v>3845.7151324040187</v>
      </c>
      <c r="O176" s="431">
        <f>+$N176*(1+'Unit tariffs'!$F$2)</f>
        <v>4007.235167964988</v>
      </c>
      <c r="P176" s="431">
        <f>+$O176*(1+'Unit tariffs'!$F$2)</f>
        <v>4175.539045019517</v>
      </c>
    </row>
    <row r="177" spans="1:16" ht="14.25">
      <c r="A177" s="281"/>
      <c r="B177" s="228" t="s">
        <v>329</v>
      </c>
      <c r="C177" s="266"/>
      <c r="D177" s="527">
        <f>+D176*1.33</f>
        <v>3604.7990876205004</v>
      </c>
      <c r="E177" s="559"/>
      <c r="F177" s="648">
        <v>0</v>
      </c>
      <c r="G177" s="687" t="s">
        <v>477</v>
      </c>
      <c r="H177" s="526"/>
      <c r="I177" s="241"/>
      <c r="J177" s="599"/>
      <c r="K177" s="365"/>
      <c r="M177" s="431"/>
      <c r="N177" s="431"/>
      <c r="O177" s="431"/>
      <c r="P177" s="431"/>
    </row>
    <row r="178" spans="1:16" ht="14.25">
      <c r="A178" s="281"/>
      <c r="B178" s="228"/>
      <c r="C178" s="266"/>
      <c r="D178" s="392"/>
      <c r="E178" s="557"/>
      <c r="F178" s="646"/>
      <c r="G178" s="404"/>
      <c r="H178" s="367"/>
      <c r="I178" s="264"/>
      <c r="J178" s="598"/>
      <c r="K178" s="365"/>
      <c r="M178" s="449"/>
      <c r="N178" s="449"/>
      <c r="O178" s="431"/>
      <c r="P178" s="431"/>
    </row>
    <row r="179" spans="1:16" ht="14.25">
      <c r="A179" s="326" t="s">
        <v>269</v>
      </c>
      <c r="B179" s="327"/>
      <c r="C179" s="324"/>
      <c r="D179" s="328"/>
      <c r="E179" s="561"/>
      <c r="F179" s="650"/>
      <c r="G179" s="325"/>
      <c r="H179" s="368"/>
      <c r="I179" s="324"/>
      <c r="J179" s="600"/>
      <c r="K179" s="366"/>
      <c r="M179" s="451"/>
      <c r="N179" s="451"/>
      <c r="O179" s="431"/>
      <c r="P179" s="431"/>
    </row>
    <row r="180" spans="1:16" ht="19.5" customHeight="1">
      <c r="A180" s="281"/>
      <c r="B180" s="228" t="s">
        <v>270</v>
      </c>
      <c r="C180" s="266"/>
      <c r="D180" s="271">
        <v>500</v>
      </c>
      <c r="E180" s="558"/>
      <c r="F180" s="647">
        <v>639.6</v>
      </c>
      <c r="G180" s="404">
        <f>+F180*(1+'Unit tariffs'!$F$2)</f>
        <v>666.4632</v>
      </c>
      <c r="H180" s="240">
        <f>(G180-F180)/F180</f>
        <v>0.04200000000000001</v>
      </c>
      <c r="I180" s="241">
        <f>G180*I$3</f>
        <v>99.96948</v>
      </c>
      <c r="J180" s="595">
        <f>+I180+G180</f>
        <v>766.43268</v>
      </c>
      <c r="K180" s="364">
        <v>9100033030416</v>
      </c>
      <c r="M180" s="431">
        <f>+L180+J180</f>
        <v>766.43268</v>
      </c>
      <c r="N180" s="431">
        <f>+$M180*(1+'Unit tariffs'!$F$2)</f>
        <v>798.6228525600001</v>
      </c>
      <c r="O180" s="431">
        <f>+$N180*(1+'Unit tariffs'!$F$2)</f>
        <v>832.1650123675201</v>
      </c>
      <c r="P180" s="431">
        <f>+$O180*(1+'Unit tariffs'!$F$2)</f>
        <v>867.1159428869561</v>
      </c>
    </row>
    <row r="181" spans="1:16" ht="14.25">
      <c r="A181" s="281"/>
      <c r="B181" s="228" t="s">
        <v>271</v>
      </c>
      <c r="C181" s="266"/>
      <c r="D181" s="271">
        <v>1500</v>
      </c>
      <c r="E181" s="558"/>
      <c r="F181" s="647">
        <v>1705.6000000000001</v>
      </c>
      <c r="G181" s="404">
        <f>+F181*(1+'Unit tariffs'!$F$2)</f>
        <v>1777.2352000000003</v>
      </c>
      <c r="H181" s="240">
        <f>(G181-F181)/F181</f>
        <v>0.04200000000000009</v>
      </c>
      <c r="I181" s="241">
        <f>G181*I$3</f>
        <v>266.58528</v>
      </c>
      <c r="J181" s="595">
        <f>+I181+G181</f>
        <v>2043.8204800000003</v>
      </c>
      <c r="K181" s="364">
        <v>9100033030416</v>
      </c>
      <c r="M181" s="431">
        <f>+L181+J181</f>
        <v>2043.8204800000003</v>
      </c>
      <c r="N181" s="431">
        <f>+$M181*(1+'Unit tariffs'!$F$2)</f>
        <v>2129.6609401600003</v>
      </c>
      <c r="O181" s="431">
        <f>+$N181*(1+'Unit tariffs'!$F$2)</f>
        <v>2219.1066996467202</v>
      </c>
      <c r="P181" s="431">
        <f>+$O181*(1+'Unit tariffs'!$F$2)</f>
        <v>2312.3091810318824</v>
      </c>
    </row>
    <row r="182" spans="1:16" ht="14.25">
      <c r="A182" s="281"/>
      <c r="B182" s="228" t="s">
        <v>351</v>
      </c>
      <c r="C182" s="266"/>
      <c r="D182" s="271">
        <v>6600</v>
      </c>
      <c r="E182" s="558"/>
      <c r="F182" s="647">
        <v>7568.6</v>
      </c>
      <c r="G182" s="404">
        <f>+F182*(1+'Unit tariffs'!$F$2)</f>
        <v>7886.481200000001</v>
      </c>
      <c r="H182" s="240">
        <f>(G182-F182)/F182</f>
        <v>0.04200000000000009</v>
      </c>
      <c r="I182" s="241">
        <f>G182*I$3</f>
        <v>1182.9721800000002</v>
      </c>
      <c r="J182" s="595">
        <f>+I182+G182</f>
        <v>9069.45338</v>
      </c>
      <c r="K182" s="364">
        <v>9100033030416</v>
      </c>
      <c r="M182" s="431">
        <f>+L182+J182</f>
        <v>9069.45338</v>
      </c>
      <c r="N182" s="431">
        <f>+$M182*(1+'Unit tariffs'!$F$2)</f>
        <v>9450.37042196</v>
      </c>
      <c r="O182" s="431">
        <f>+$N182*(1+'Unit tariffs'!$F$2)</f>
        <v>9847.285979682321</v>
      </c>
      <c r="P182" s="431">
        <f>+$O182*(1+'Unit tariffs'!$F$2)</f>
        <v>10260.871990828979</v>
      </c>
    </row>
    <row r="183" spans="1:16" ht="14.25">
      <c r="A183" s="281"/>
      <c r="B183" s="228" t="s">
        <v>354</v>
      </c>
      <c r="C183" s="266"/>
      <c r="D183" s="271">
        <v>6600</v>
      </c>
      <c r="E183" s="558"/>
      <c r="F183" s="647">
        <v>7568.6</v>
      </c>
      <c r="G183" s="404">
        <f>+F183*(1+'Unit tariffs'!$F$2)</f>
        <v>7886.481200000001</v>
      </c>
      <c r="H183" s="240">
        <f>(G183-F183)/F183</f>
        <v>0.04200000000000009</v>
      </c>
      <c r="I183" s="241">
        <f>G183*I$3</f>
        <v>1182.9721800000002</v>
      </c>
      <c r="J183" s="595">
        <f>+I183+G183</f>
        <v>9069.45338</v>
      </c>
      <c r="K183" s="364">
        <v>9100033030416</v>
      </c>
      <c r="M183" s="431">
        <f>+L183+J183</f>
        <v>9069.45338</v>
      </c>
      <c r="N183" s="431">
        <f>+$M183*(1+'Unit tariffs'!$F$2)</f>
        <v>9450.37042196</v>
      </c>
      <c r="O183" s="431">
        <f>+$N183*(1+'Unit tariffs'!$F$2)</f>
        <v>9847.285979682321</v>
      </c>
      <c r="P183" s="431">
        <f>+$O183*(1+'Unit tariffs'!$F$2)</f>
        <v>10260.871990828979</v>
      </c>
    </row>
    <row r="184" spans="1:16" ht="30" customHeight="1">
      <c r="A184" s="288" t="s">
        <v>277</v>
      </c>
      <c r="B184" s="233"/>
      <c r="C184" s="266"/>
      <c r="D184" s="271"/>
      <c r="E184" s="558"/>
      <c r="F184" s="647"/>
      <c r="G184" s="270"/>
      <c r="H184" s="272"/>
      <c r="I184" s="266"/>
      <c r="J184" s="598"/>
      <c r="K184" s="365"/>
      <c r="M184" s="449"/>
      <c r="N184" s="449"/>
      <c r="O184" s="431"/>
      <c r="P184" s="431"/>
    </row>
    <row r="185" spans="1:16" ht="18" customHeight="1">
      <c r="A185" s="281"/>
      <c r="B185" s="228" t="s">
        <v>266</v>
      </c>
      <c r="C185" s="266"/>
      <c r="D185" s="271">
        <v>2280</v>
      </c>
      <c r="E185" s="558"/>
      <c r="F185" s="647">
        <v>2665</v>
      </c>
      <c r="G185" s="404">
        <f>+F185*(1+'Unit tariffs'!$F$2)</f>
        <v>2776.9300000000003</v>
      </c>
      <c r="H185" s="240">
        <f>(G185-F185)/F185</f>
        <v>0.04200000000000011</v>
      </c>
      <c r="I185" s="241">
        <f>G185*I$3</f>
        <v>416.53950000000003</v>
      </c>
      <c r="J185" s="598">
        <f>+G185+I185</f>
        <v>3193.4695</v>
      </c>
      <c r="K185" s="364">
        <v>9100033030416</v>
      </c>
      <c r="M185" s="431">
        <f>+J185+L185</f>
        <v>3193.4695</v>
      </c>
      <c r="N185" s="431">
        <v>3606.0483869259206</v>
      </c>
      <c r="O185" s="431">
        <v>3764.7145159506613</v>
      </c>
      <c r="P185" s="431">
        <v>3934.126669168441</v>
      </c>
    </row>
    <row r="186" spans="1:16" ht="14.25">
      <c r="A186" s="281"/>
      <c r="B186" s="228" t="s">
        <v>267</v>
      </c>
      <c r="C186" s="266"/>
      <c r="D186" s="271">
        <v>11400</v>
      </c>
      <c r="E186" s="558"/>
      <c r="F186" s="647">
        <v>13005.2</v>
      </c>
      <c r="G186" s="404">
        <f>+F186*(1+'Unit tariffs'!$F$2)</f>
        <v>13551.4184</v>
      </c>
      <c r="H186" s="240">
        <f>(G186-F186)/F186</f>
        <v>0.041999999999999975</v>
      </c>
      <c r="I186" s="241">
        <f>G186*I$3</f>
        <v>2032.71276</v>
      </c>
      <c r="J186" s="598">
        <f>+G186+I186</f>
        <v>15584.13116</v>
      </c>
      <c r="K186" s="364">
        <v>9100033030416</v>
      </c>
      <c r="M186" s="431">
        <f>+J186+L186</f>
        <v>15584.13116</v>
      </c>
      <c r="N186" s="431">
        <v>17597.51612819849</v>
      </c>
      <c r="O186" s="431">
        <v>18371.806837839224</v>
      </c>
      <c r="P186" s="431">
        <v>19198.53814554199</v>
      </c>
    </row>
    <row r="187" spans="1:16" ht="14.25">
      <c r="A187" s="281"/>
      <c r="B187" s="228" t="s">
        <v>268</v>
      </c>
      <c r="C187" s="266"/>
      <c r="D187" s="271">
        <v>57000</v>
      </c>
      <c r="E187" s="558"/>
      <c r="F187" s="647">
        <v>65026</v>
      </c>
      <c r="G187" s="404">
        <f>+F187*(1+'Unit tariffs'!$F$2)</f>
        <v>67757.092</v>
      </c>
      <c r="H187" s="240">
        <f>(G187-F187)/F187</f>
        <v>0.042000000000000065</v>
      </c>
      <c r="I187" s="241">
        <f>G187*I$3</f>
        <v>10163.5638</v>
      </c>
      <c r="J187" s="598">
        <f>+G187+I187</f>
        <v>77920.65580000001</v>
      </c>
      <c r="K187" s="364">
        <v>9100033030416</v>
      </c>
      <c r="M187" s="431">
        <f>+J187+L187</f>
        <v>77920.65580000001</v>
      </c>
      <c r="N187" s="431">
        <v>87987.58064099247</v>
      </c>
      <c r="O187" s="431">
        <v>91859.03418919614</v>
      </c>
      <c r="P187" s="431">
        <v>95900.83169352077</v>
      </c>
    </row>
    <row r="188" spans="1:16" ht="12.75" customHeight="1">
      <c r="A188" s="859" t="s">
        <v>278</v>
      </c>
      <c r="B188" s="860"/>
      <c r="C188" s="861"/>
      <c r="D188" s="266"/>
      <c r="E188" s="266"/>
      <c r="F188" s="266"/>
      <c r="G188" s="266"/>
      <c r="H188" s="240"/>
      <c r="I188" s="266"/>
      <c r="J188" s="601"/>
      <c r="K188" s="365"/>
      <c r="M188" s="449"/>
      <c r="N188" s="449"/>
      <c r="O188" s="449"/>
      <c r="P188" s="449"/>
    </row>
    <row r="189" spans="1:16" ht="12.75" customHeight="1">
      <c r="A189" s="859" t="s">
        <v>279</v>
      </c>
      <c r="B189" s="860"/>
      <c r="C189" s="861"/>
      <c r="D189" s="266"/>
      <c r="E189" s="266"/>
      <c r="F189" s="266"/>
      <c r="G189" s="266"/>
      <c r="H189" s="272"/>
      <c r="I189" s="266"/>
      <c r="J189" s="601"/>
      <c r="K189" s="365"/>
      <c r="M189" s="449"/>
      <c r="N189" s="449"/>
      <c r="O189" s="449"/>
      <c r="P189" s="449"/>
    </row>
    <row r="190" spans="1:16" ht="14.25">
      <c r="A190" s="281"/>
      <c r="B190" s="233"/>
      <c r="C190" s="234"/>
      <c r="D190" s="229"/>
      <c r="E190" s="229"/>
      <c r="F190" s="229"/>
      <c r="G190" s="229"/>
      <c r="H190" s="231"/>
      <c r="I190" s="228"/>
      <c r="J190" s="602"/>
      <c r="K190" s="282"/>
      <c r="M190" s="429"/>
      <c r="N190" s="429"/>
      <c r="O190" s="429"/>
      <c r="P190" s="429"/>
    </row>
    <row r="191" spans="1:16" ht="14.25">
      <c r="A191" s="288" t="s">
        <v>106</v>
      </c>
      <c r="B191" s="239"/>
      <c r="C191" s="234"/>
      <c r="D191" s="229"/>
      <c r="E191" s="229"/>
      <c r="F191" s="229"/>
      <c r="G191" s="229"/>
      <c r="H191" s="231"/>
      <c r="I191" s="228"/>
      <c r="J191" s="602"/>
      <c r="K191" s="282"/>
      <c r="M191" s="429"/>
      <c r="N191" s="429"/>
      <c r="O191" s="429"/>
      <c r="P191" s="429"/>
    </row>
    <row r="192" spans="1:16" ht="14.25">
      <c r="A192" s="288" t="s">
        <v>130</v>
      </c>
      <c r="B192" s="239"/>
      <c r="C192" s="234"/>
      <c r="D192" s="229"/>
      <c r="E192" s="229"/>
      <c r="F192" s="229"/>
      <c r="G192" s="229"/>
      <c r="H192" s="235"/>
      <c r="I192" s="228"/>
      <c r="J192" s="602"/>
      <c r="K192" s="282"/>
      <c r="M192" s="429"/>
      <c r="N192" s="429"/>
      <c r="O192" s="429"/>
      <c r="P192" s="429"/>
    </row>
    <row r="193" spans="1:16" ht="19.5" customHeight="1">
      <c r="A193" s="288" t="s">
        <v>107</v>
      </c>
      <c r="B193" s="239"/>
      <c r="C193" s="234"/>
      <c r="D193" s="229"/>
      <c r="E193" s="229"/>
      <c r="F193" s="229"/>
      <c r="G193" s="229"/>
      <c r="H193" s="231"/>
      <c r="I193" s="228"/>
      <c r="J193" s="602"/>
      <c r="K193" s="282"/>
      <c r="M193" s="429"/>
      <c r="N193" s="429"/>
      <c r="O193" s="429"/>
      <c r="P193" s="429"/>
    </row>
    <row r="194" spans="1:16" ht="18.75" customHeight="1">
      <c r="A194" s="281" t="s">
        <v>110</v>
      </c>
      <c r="B194" s="233"/>
      <c r="C194" s="234"/>
      <c r="D194" s="229"/>
      <c r="E194" s="229"/>
      <c r="F194" s="229"/>
      <c r="G194" s="229"/>
      <c r="H194" s="231"/>
      <c r="I194" s="228"/>
      <c r="J194" s="602"/>
      <c r="K194" s="282"/>
      <c r="M194" s="429"/>
      <c r="N194" s="429"/>
      <c r="O194" s="429"/>
      <c r="P194" s="429"/>
    </row>
    <row r="195" spans="1:16" ht="14.25">
      <c r="A195" s="281"/>
      <c r="B195" s="233"/>
      <c r="C195" s="234"/>
      <c r="D195" s="229"/>
      <c r="E195" s="229"/>
      <c r="F195" s="229"/>
      <c r="G195" s="229"/>
      <c r="H195" s="231"/>
      <c r="I195" s="228"/>
      <c r="J195" s="602"/>
      <c r="K195" s="282"/>
      <c r="M195" s="429"/>
      <c r="N195" s="429"/>
      <c r="O195" s="429"/>
      <c r="P195" s="429"/>
    </row>
    <row r="196" spans="1:16" ht="14.25">
      <c r="A196" s="288" t="s">
        <v>274</v>
      </c>
      <c r="B196" s="233"/>
      <c r="C196" s="234"/>
      <c r="D196" s="229"/>
      <c r="E196" s="229"/>
      <c r="F196" s="229"/>
      <c r="G196" s="229"/>
      <c r="H196" s="231"/>
      <c r="I196" s="228"/>
      <c r="J196" s="602"/>
      <c r="K196" s="282"/>
      <c r="M196" s="429"/>
      <c r="N196" s="429"/>
      <c r="O196" s="429"/>
      <c r="P196" s="429"/>
    </row>
    <row r="197" spans="1:16" ht="14.25">
      <c r="A197" s="288" t="s">
        <v>272</v>
      </c>
      <c r="B197" s="233"/>
      <c r="C197" s="234"/>
      <c r="D197" s="229"/>
      <c r="E197" s="229"/>
      <c r="F197" s="229"/>
      <c r="G197" s="229"/>
      <c r="H197" s="231"/>
      <c r="I197" s="228"/>
      <c r="J197" s="602"/>
      <c r="K197" s="282"/>
      <c r="M197" s="429"/>
      <c r="N197" s="429"/>
      <c r="O197" s="429"/>
      <c r="P197" s="429"/>
    </row>
    <row r="198" spans="1:16" ht="15" thickBot="1">
      <c r="A198" s="289" t="s">
        <v>273</v>
      </c>
      <c r="B198" s="290"/>
      <c r="C198" s="291"/>
      <c r="D198" s="292"/>
      <c r="E198" s="292"/>
      <c r="F198" s="292"/>
      <c r="G198" s="292"/>
      <c r="H198" s="294"/>
      <c r="I198" s="295"/>
      <c r="J198" s="603"/>
      <c r="K198" s="297"/>
      <c r="L198" s="409"/>
      <c r="M198" s="435"/>
      <c r="N198" s="435"/>
      <c r="O198" s="435"/>
      <c r="P198" s="435"/>
    </row>
    <row r="199" spans="6:10" ht="14.25">
      <c r="F199" s="211"/>
      <c r="G199" s="211"/>
      <c r="J199" s="604"/>
    </row>
    <row r="200" spans="6:10" ht="14.25">
      <c r="F200" s="211"/>
      <c r="G200" s="211"/>
      <c r="J200" s="604"/>
    </row>
    <row r="201" spans="6:10" ht="14.25">
      <c r="F201" s="211"/>
      <c r="G201" s="211"/>
      <c r="J201" s="604"/>
    </row>
    <row r="202" ht="14.25">
      <c r="J202" s="604"/>
    </row>
    <row r="203" ht="14.25">
      <c r="J203" s="604"/>
    </row>
  </sheetData>
  <sheetProtection/>
  <mergeCells count="3">
    <mergeCell ref="A188:C188"/>
    <mergeCell ref="A189:C189"/>
    <mergeCell ref="B157:J157"/>
  </mergeCells>
  <printOptions/>
  <pageMargins left="0.25" right="0.25" top="0.75" bottom="0.75" header="0.3" footer="0.3"/>
  <pageSetup horizontalDpi="600" verticalDpi="600" orientation="landscape" paperSize="8" scale="45" r:id="rId1"/>
  <rowBreaks count="5" manualBreakCount="5">
    <brk id="26" max="15" man="1"/>
    <brk id="82" max="15" man="1"/>
    <brk id="90" max="255" man="1"/>
    <brk id="127" max="255" man="1"/>
    <brk id="157" max="255" man="1"/>
  </rowBreaks>
</worksheet>
</file>

<file path=xl/worksheets/sheet5.xml><?xml version="1.0" encoding="utf-8"?>
<worksheet xmlns="http://schemas.openxmlformats.org/spreadsheetml/2006/main" xmlns:r="http://schemas.openxmlformats.org/officeDocument/2006/relationships">
  <sheetPr>
    <tabColor theme="9" tint="-0.24997000396251678"/>
  </sheetPr>
  <dimension ref="A1:P198"/>
  <sheetViews>
    <sheetView view="pageBreakPreview" zoomScale="69" zoomScaleSheetLayoutView="69" zoomScalePageLayoutView="0" workbookViewId="0" topLeftCell="A1">
      <pane xSplit="5" ySplit="9" topLeftCell="F173" activePane="bottomRight" state="frozen"/>
      <selection pane="topLeft" activeCell="A1" sqref="A1"/>
      <selection pane="topRight" activeCell="F1" sqref="F1"/>
      <selection pane="bottomLeft" activeCell="A10" sqref="A10"/>
      <selection pane="bottomRight" activeCell="J196" sqref="J196"/>
    </sheetView>
  </sheetViews>
  <sheetFormatPr defaultColWidth="8.8515625" defaultRowHeight="12.75"/>
  <cols>
    <col min="1" max="1" width="1.7109375" style="77" customWidth="1"/>
    <col min="2" max="2" width="83.28125" style="205" customWidth="1"/>
    <col min="3" max="3" width="13.140625" style="207" customWidth="1"/>
    <col min="4" max="4" width="23.28125" style="211" hidden="1" customWidth="1"/>
    <col min="5" max="5" width="21.28125" style="211" hidden="1" customWidth="1"/>
    <col min="6" max="6" width="25.7109375" style="212" customWidth="1"/>
    <col min="7" max="7" width="25.28125" style="212" customWidth="1"/>
    <col min="8" max="8" width="13.00390625" style="206" customWidth="1"/>
    <col min="9" max="9" width="14.7109375" style="77" customWidth="1"/>
    <col min="10" max="10" width="15.421875" style="605" bestFit="1" customWidth="1"/>
    <col min="11" max="11" width="20.57421875" style="77" customWidth="1"/>
    <col min="12" max="12" width="19.00390625" style="77" hidden="1" customWidth="1"/>
    <col min="13" max="13" width="15.421875" style="407" hidden="1" customWidth="1"/>
    <col min="14" max="16" width="15.421875" style="407" customWidth="1"/>
    <col min="17" max="16384" width="8.8515625" style="77" customWidth="1"/>
  </cols>
  <sheetData>
    <row r="1" spans="1:16" ht="15">
      <c r="A1" s="273"/>
      <c r="B1" s="274" t="s">
        <v>479</v>
      </c>
      <c r="C1" s="275"/>
      <c r="D1" s="276"/>
      <c r="E1" s="531" t="s">
        <v>373</v>
      </c>
      <c r="F1" s="627"/>
      <c r="G1" s="279"/>
      <c r="H1" s="277"/>
      <c r="I1" s="278"/>
      <c r="J1" s="580"/>
      <c r="K1" s="280"/>
      <c r="L1" s="408"/>
      <c r="M1" s="421"/>
      <c r="N1" s="421"/>
      <c r="O1" s="421"/>
      <c r="P1" s="421"/>
    </row>
    <row r="2" spans="1:16" ht="14.25" customHeight="1">
      <c r="A2" s="281"/>
      <c r="B2" s="233" t="s">
        <v>1</v>
      </c>
      <c r="C2" s="234"/>
      <c r="D2" s="340" t="s">
        <v>319</v>
      </c>
      <c r="E2" s="532" t="s">
        <v>74</v>
      </c>
      <c r="F2" s="690" t="s">
        <v>74</v>
      </c>
      <c r="G2" s="236" t="s">
        <v>74</v>
      </c>
      <c r="H2" s="339" t="s">
        <v>85</v>
      </c>
      <c r="I2" s="55" t="s">
        <v>470</v>
      </c>
      <c r="J2" s="236" t="s">
        <v>138</v>
      </c>
      <c r="K2" s="337" t="s">
        <v>75</v>
      </c>
      <c r="M2" s="692" t="s">
        <v>138</v>
      </c>
      <c r="N2" s="692" t="s">
        <v>138</v>
      </c>
      <c r="O2" s="692" t="s">
        <v>138</v>
      </c>
      <c r="P2" s="692" t="s">
        <v>138</v>
      </c>
    </row>
    <row r="3" spans="1:16" ht="14.25">
      <c r="A3" s="281"/>
      <c r="B3" s="319" t="s">
        <v>332</v>
      </c>
      <c r="C3" s="238"/>
      <c r="D3" s="340" t="s">
        <v>320</v>
      </c>
      <c r="E3" s="532" t="s">
        <v>320</v>
      </c>
      <c r="F3" s="690" t="s">
        <v>320</v>
      </c>
      <c r="G3" s="236" t="s">
        <v>320</v>
      </c>
      <c r="H3" s="339" t="s">
        <v>86</v>
      </c>
      <c r="I3" s="665">
        <f>+'Unit tariffs'!F$3</f>
        <v>0.15</v>
      </c>
      <c r="J3" s="236" t="s">
        <v>139</v>
      </c>
      <c r="K3" s="337" t="s">
        <v>78</v>
      </c>
      <c r="M3" s="692" t="s">
        <v>139</v>
      </c>
      <c r="N3" s="692" t="s">
        <v>139</v>
      </c>
      <c r="O3" s="692" t="s">
        <v>139</v>
      </c>
      <c r="P3" s="692" t="s">
        <v>139</v>
      </c>
    </row>
    <row r="4" spans="1:16" ht="14.25">
      <c r="A4" s="281"/>
      <c r="B4" s="233" t="s">
        <v>1</v>
      </c>
      <c r="C4" s="238" t="s">
        <v>330</v>
      </c>
      <c r="D4" s="340" t="s">
        <v>280</v>
      </c>
      <c r="E4" s="532" t="str">
        <f>'Calc Sheet 20_21'!H11</f>
        <v>2020/2021</v>
      </c>
      <c r="F4" s="690" t="str">
        <f>'Calc Sheet 20_21'!$H$11</f>
        <v>2020/2021</v>
      </c>
      <c r="G4" s="236" t="str">
        <f>'Calc Sheet 20_21'!$I$11</f>
        <v>2021/2022</v>
      </c>
      <c r="H4" s="339" t="str">
        <f>G4</f>
        <v>2021/2022</v>
      </c>
      <c r="I4" s="55" t="str">
        <f>G4</f>
        <v>2021/2022</v>
      </c>
      <c r="J4" s="236" t="str">
        <f>I4</f>
        <v>2021/2022</v>
      </c>
      <c r="K4" s="337" t="s">
        <v>79</v>
      </c>
      <c r="M4" s="692" t="s">
        <v>481</v>
      </c>
      <c r="N4" s="692" t="s">
        <v>630</v>
      </c>
      <c r="O4" s="692" t="s">
        <v>631</v>
      </c>
      <c r="P4" s="692" t="s">
        <v>632</v>
      </c>
    </row>
    <row r="5" spans="1:16" ht="15" thickBot="1">
      <c r="A5" s="305"/>
      <c r="B5" s="321" t="s">
        <v>1</v>
      </c>
      <c r="C5" s="307" t="s">
        <v>331</v>
      </c>
      <c r="D5" s="343" t="s">
        <v>80</v>
      </c>
      <c r="E5" s="533" t="s">
        <v>80</v>
      </c>
      <c r="F5" s="690" t="s">
        <v>80</v>
      </c>
      <c r="G5" s="346" t="s">
        <v>80</v>
      </c>
      <c r="H5" s="344"/>
      <c r="I5" s="345"/>
      <c r="J5" s="346"/>
      <c r="K5" s="347"/>
      <c r="M5" s="425"/>
      <c r="N5" s="425"/>
      <c r="O5" s="425"/>
      <c r="P5" s="425"/>
    </row>
    <row r="6" spans="1:16" ht="15" thickTop="1">
      <c r="A6" s="298"/>
      <c r="B6" s="327"/>
      <c r="C6" s="341"/>
      <c r="D6" s="317"/>
      <c r="E6" s="534"/>
      <c r="F6" s="627"/>
      <c r="G6" s="304"/>
      <c r="H6" s="302"/>
      <c r="I6" s="303"/>
      <c r="J6" s="581"/>
      <c r="K6" s="322"/>
      <c r="M6" s="427"/>
      <c r="N6" s="427"/>
      <c r="O6" s="427"/>
      <c r="P6" s="427"/>
    </row>
    <row r="7" spans="1:16" ht="24" customHeight="1">
      <c r="A7" s="281"/>
      <c r="B7" s="238" t="s">
        <v>104</v>
      </c>
      <c r="C7" s="238"/>
      <c r="D7" s="391"/>
      <c r="E7" s="535"/>
      <c r="F7" s="627"/>
      <c r="G7" s="232"/>
      <c r="H7" s="231"/>
      <c r="I7" s="228"/>
      <c r="J7" s="582"/>
      <c r="K7" s="282"/>
      <c r="M7" s="429"/>
      <c r="N7" s="429"/>
      <c r="O7" s="429"/>
      <c r="P7" s="429"/>
    </row>
    <row r="8" spans="1:16" ht="14.25">
      <c r="A8" s="281"/>
      <c r="B8" s="239" t="str">
        <f>'Calc Sheet 20_21'!B5</f>
        <v>1. NEW SINGLE PHASE CONNECTIONS: URBAN</v>
      </c>
      <c r="C8" s="238"/>
      <c r="D8" s="230"/>
      <c r="E8" s="536"/>
      <c r="F8" s="627"/>
      <c r="G8" s="232"/>
      <c r="H8" s="231"/>
      <c r="I8" s="228"/>
      <c r="J8" s="582"/>
      <c r="K8" s="282"/>
      <c r="M8" s="429"/>
      <c r="N8" s="429"/>
      <c r="O8" s="429"/>
      <c r="P8" s="429"/>
    </row>
    <row r="9" spans="1:16" ht="14.25">
      <c r="A9" s="281"/>
      <c r="B9" s="239"/>
      <c r="C9" s="238"/>
      <c r="D9" s="230"/>
      <c r="E9" s="536"/>
      <c r="F9" s="627"/>
      <c r="G9" s="232"/>
      <c r="H9" s="231"/>
      <c r="I9" s="228"/>
      <c r="J9" s="582"/>
      <c r="K9" s="282"/>
      <c r="M9" s="429"/>
      <c r="N9" s="429"/>
      <c r="O9" s="429"/>
      <c r="P9" s="429"/>
    </row>
    <row r="10" spans="1:16" ht="27">
      <c r="A10" s="281"/>
      <c r="B10" s="233" t="str">
        <f>'Calc Sheet 20_21'!B7</f>
        <v>1.1  Single phase overhead connection with Split Pre-payment meter taken from overhead network   - No Ready board   </v>
      </c>
      <c r="C10" s="234" t="s">
        <v>241</v>
      </c>
      <c r="D10" s="213">
        <f>'Calc Sheet 20_21'!H37</f>
        <v>6510</v>
      </c>
      <c r="E10" s="537">
        <v>6225</v>
      </c>
      <c r="F10" s="627">
        <f>'Calc Sheet 20_21'!H37</f>
        <v>6510</v>
      </c>
      <c r="G10" s="393">
        <f>'Calc Sheet 20_21'!I37</f>
        <v>6880</v>
      </c>
      <c r="H10" s="240">
        <f>(G10-F10)/F10</f>
        <v>0.05683563748079877</v>
      </c>
      <c r="I10" s="241">
        <f>G10*I$3</f>
        <v>1032</v>
      </c>
      <c r="J10" s="583">
        <f>G10+I10</f>
        <v>7912</v>
      </c>
      <c r="K10" s="283">
        <v>9100033030416</v>
      </c>
      <c r="M10" s="431">
        <f>J10+L10</f>
        <v>7912</v>
      </c>
      <c r="N10" s="431">
        <f>+$M10*(1+'Unit tariffs'!$F$2)</f>
        <v>8244.304</v>
      </c>
      <c r="O10" s="431">
        <f>+$N10*(1+'Unit tariffs'!$F$2)</f>
        <v>8590.564768</v>
      </c>
      <c r="P10" s="431">
        <f>+$O10*(1+'Unit tariffs'!$F$2)</f>
        <v>8951.368488256001</v>
      </c>
    </row>
    <row r="11" spans="1:16" ht="14.25">
      <c r="A11" s="281"/>
      <c r="B11" s="233">
        <f>'Calc Sheet 20_21'!B8</f>
        <v>0</v>
      </c>
      <c r="C11" s="234"/>
      <c r="D11" s="213"/>
      <c r="E11" s="537"/>
      <c r="F11" s="627"/>
      <c r="G11" s="393"/>
      <c r="H11" s="240"/>
      <c r="I11" s="240"/>
      <c r="J11" s="584"/>
      <c r="K11" s="284"/>
      <c r="M11" s="433"/>
      <c r="N11" s="433"/>
      <c r="O11" s="433"/>
      <c r="P11" s="433"/>
    </row>
    <row r="12" spans="1:16" ht="27">
      <c r="A12" s="281"/>
      <c r="B12" s="233" t="str">
        <f>'Calc Sheet 20_21'!B50</f>
        <v>1.2  Single phase overhead connection with Split Pre-payment meter taken from overhead network   - With Ready board   </v>
      </c>
      <c r="C12" s="234" t="s">
        <v>241</v>
      </c>
      <c r="D12" s="213">
        <f>'Calc Sheet 20_21'!H82</f>
        <v>8230</v>
      </c>
      <c r="E12" s="537">
        <v>1400</v>
      </c>
      <c r="F12" s="627">
        <f>'Calc Sheet 20_21'!H82</f>
        <v>8230</v>
      </c>
      <c r="G12" s="393">
        <f>'Calc Sheet 20_21'!I82</f>
        <v>8910</v>
      </c>
      <c r="H12" s="240">
        <f>(G12-F12)/F12</f>
        <v>0.08262454434993925</v>
      </c>
      <c r="I12" s="241">
        <f>G12*I$3</f>
        <v>1336.5</v>
      </c>
      <c r="J12" s="583">
        <f>G12+I12</f>
        <v>10246.5</v>
      </c>
      <c r="K12" s="283">
        <v>9100033030416</v>
      </c>
      <c r="M12" s="431">
        <f>J12+L12</f>
        <v>10246.5</v>
      </c>
      <c r="N12" s="431">
        <f>+$M12*(1+'Unit tariffs'!$F$2)</f>
        <v>10676.853000000001</v>
      </c>
      <c r="O12" s="431">
        <f>+$N12*(1+'Unit tariffs'!$F$2)</f>
        <v>11125.280826000002</v>
      </c>
      <c r="P12" s="431">
        <f>+$O12*(1+'Unit tariffs'!$F$2)</f>
        <v>11592.542620692002</v>
      </c>
    </row>
    <row r="13" spans="1:16" ht="14.25">
      <c r="A13" s="281"/>
      <c r="B13" s="233"/>
      <c r="C13" s="234"/>
      <c r="D13" s="213"/>
      <c r="E13" s="537"/>
      <c r="F13" s="627"/>
      <c r="G13" s="393"/>
      <c r="H13" s="240"/>
      <c r="I13" s="241"/>
      <c r="J13" s="583"/>
      <c r="K13" s="283"/>
      <c r="M13" s="433"/>
      <c r="N13" s="431"/>
      <c r="O13" s="431"/>
      <c r="P13" s="431"/>
    </row>
    <row r="14" spans="1:16" ht="27">
      <c r="A14" s="281"/>
      <c r="B14" s="233" t="str">
        <f>+'Calc Sheet 20_21'!B86</f>
        <v>1.3  Single phase underground/ovehead connection with Split Pre-payment meter taken from underground/overhead network (Flisp Housing)  - With Ready board   </v>
      </c>
      <c r="C14" s="702" t="s">
        <v>296</v>
      </c>
      <c r="D14" s="213"/>
      <c r="E14" s="537"/>
      <c r="F14" s="627">
        <f>+'Calc Sheet 20_21'!H115</f>
        <v>10720</v>
      </c>
      <c r="G14" s="393">
        <f>+'Calc Sheet 20_21'!I115</f>
        <v>9510</v>
      </c>
      <c r="H14" s="240">
        <f>(G14-F14)/F14</f>
        <v>-0.11287313432835822</v>
      </c>
      <c r="I14" s="241">
        <f>G14*I$3</f>
        <v>1426.5</v>
      </c>
      <c r="J14" s="583">
        <f>G14+I14</f>
        <v>10936.5</v>
      </c>
      <c r="K14" s="283">
        <v>9100033030416</v>
      </c>
      <c r="M14" s="431">
        <f>J14+L14</f>
        <v>10936.5</v>
      </c>
      <c r="N14" s="431">
        <f>+$M14*(1+'Unit tariffs'!$F$2)</f>
        <v>11395.833</v>
      </c>
      <c r="O14" s="431">
        <f>+$N14*(1+'Unit tariffs'!$F$2)</f>
        <v>11874.457986000001</v>
      </c>
      <c r="P14" s="431">
        <f>+$O14*(1+'Unit tariffs'!$F$2)</f>
        <v>12373.185221412003</v>
      </c>
    </row>
    <row r="15" spans="1:16" ht="14.25">
      <c r="A15" s="281"/>
      <c r="B15" s="243">
        <f>'Calc Sheet 20_21'!B51</f>
        <v>0</v>
      </c>
      <c r="C15" s="244"/>
      <c r="D15" s="213"/>
      <c r="E15" s="537"/>
      <c r="F15" s="627"/>
      <c r="G15" s="393"/>
      <c r="H15" s="240"/>
      <c r="I15" s="240"/>
      <c r="J15" s="584"/>
      <c r="K15" s="284"/>
      <c r="M15" s="433"/>
      <c r="N15" s="433"/>
      <c r="O15" s="433"/>
      <c r="P15" s="433"/>
    </row>
    <row r="16" spans="1:16" ht="27">
      <c r="A16" s="281"/>
      <c r="B16" s="233" t="str">
        <f>'Calc Sheet 20_21'!B119</f>
        <v>1.4  New connection (Permanent) for Church/ Creche with NPO certificate &amp; Proof of Title deeds paper registered with Church/Creche:  Single phase Split Prepaid  meter</v>
      </c>
      <c r="C16" s="234" t="s">
        <v>241</v>
      </c>
      <c r="D16" s="213">
        <f>'Calc Sheet 20_21'!H148</f>
        <v>10790</v>
      </c>
      <c r="E16" s="537">
        <v>1000</v>
      </c>
      <c r="F16" s="627">
        <f>'Calc Sheet 20_21'!H148</f>
        <v>10790</v>
      </c>
      <c r="G16" s="393">
        <f>'Calc Sheet 20_21'!I148</f>
        <v>13250</v>
      </c>
      <c r="H16" s="240">
        <f>(G16-F16)/F16</f>
        <v>0.22798887859128822</v>
      </c>
      <c r="I16" s="241">
        <f>G16*I$3</f>
        <v>1987.5</v>
      </c>
      <c r="J16" s="583">
        <f>G16+I16</f>
        <v>15237.5</v>
      </c>
      <c r="K16" s="283">
        <v>9100033030416</v>
      </c>
      <c r="M16" s="431">
        <f>J16+L16</f>
        <v>15237.5</v>
      </c>
      <c r="N16" s="431">
        <f>+$M16*(1+'Unit tariffs'!$F$2)</f>
        <v>15877.475</v>
      </c>
      <c r="O16" s="431">
        <f>+$N16*(1+'Unit tariffs'!$F$2)</f>
        <v>16544.32895</v>
      </c>
      <c r="P16" s="431">
        <f>+$O16*(1+'Unit tariffs'!$F$2)</f>
        <v>17239.1907659</v>
      </c>
    </row>
    <row r="17" spans="1:16" ht="19.5" customHeight="1">
      <c r="A17" s="281"/>
      <c r="B17" s="233"/>
      <c r="C17" s="234"/>
      <c r="D17" s="213"/>
      <c r="E17" s="537"/>
      <c r="F17" s="627"/>
      <c r="G17" s="393"/>
      <c r="H17" s="240"/>
      <c r="I17" s="241"/>
      <c r="J17" s="583"/>
      <c r="K17" s="283"/>
      <c r="M17" s="431"/>
      <c r="N17" s="431"/>
      <c r="O17" s="431"/>
      <c r="P17" s="431"/>
    </row>
    <row r="18" spans="1:16" ht="32.25" customHeight="1">
      <c r="A18" s="281"/>
      <c r="B18" s="245" t="str">
        <f>+'Calc Sheet 20_21'!B155</f>
        <v>1.5  Single phase domestic connection in meter box placed on stand boundary taken from underground cable network (connection to an erf, where the development costs has been paid) -</v>
      </c>
      <c r="C18" s="234" t="s">
        <v>241</v>
      </c>
      <c r="D18" s="213"/>
      <c r="E18" s="536"/>
      <c r="F18" s="627"/>
      <c r="G18" s="393"/>
      <c r="H18" s="240"/>
      <c r="I18" s="241"/>
      <c r="J18" s="583"/>
      <c r="K18" s="283"/>
      <c r="M18" s="431"/>
      <c r="N18" s="431"/>
      <c r="O18" s="431"/>
      <c r="P18" s="431"/>
    </row>
    <row r="19" spans="1:16" ht="32.25" customHeight="1">
      <c r="A19" s="281"/>
      <c r="B19" s="245" t="str">
        <f>+'Calc Sheet 20_21'!B157:G157</f>
        <v>    1.5.1 Connection in meter box, Single Phase Time of Use kWh meter</v>
      </c>
      <c r="C19" s="234" t="s">
        <v>241</v>
      </c>
      <c r="D19" s="213">
        <v>1620</v>
      </c>
      <c r="E19" s="537">
        <v>2230</v>
      </c>
      <c r="F19" s="627">
        <f>+'Calc Sheet 20_21'!H184</f>
        <v>8500</v>
      </c>
      <c r="G19" s="393">
        <f>+'Calc Sheet 20_21'!I184</f>
        <v>8260</v>
      </c>
      <c r="H19" s="240">
        <f>(G19-F19)/F19</f>
        <v>-0.02823529411764706</v>
      </c>
      <c r="I19" s="241">
        <f>G19*I$3</f>
        <v>1239</v>
      </c>
      <c r="J19" s="583">
        <f>G19+I19</f>
        <v>9499</v>
      </c>
      <c r="K19" s="283">
        <v>9100033030416</v>
      </c>
      <c r="M19" s="431">
        <f>J19+L19</f>
        <v>9499</v>
      </c>
      <c r="N19" s="431">
        <f>+$M19*(1+'Unit tariffs'!$F$2)</f>
        <v>9897.958</v>
      </c>
      <c r="O19" s="431">
        <f>+$N19*(1+'Unit tariffs'!$F$2)</f>
        <v>10313.672236</v>
      </c>
      <c r="P19" s="431">
        <f>+$O19*(1+'Unit tariffs'!$F$2)</f>
        <v>10746.846469912001</v>
      </c>
    </row>
    <row r="20" spans="1:16" ht="32.25" customHeight="1">
      <c r="A20" s="281"/>
      <c r="B20" s="245" t="str">
        <f>+'Calc Sheet 20_21'!B191:G191</f>
        <v>    1.5.2 Connection in meter box, Single phase Split pre-payment meter</v>
      </c>
      <c r="C20" s="234" t="s">
        <v>241</v>
      </c>
      <c r="D20" s="213">
        <v>3180</v>
      </c>
      <c r="E20" s="537">
        <v>4340</v>
      </c>
      <c r="F20" s="627">
        <f>+'Calc Sheet 20_21'!H215</f>
        <v>4530</v>
      </c>
      <c r="G20" s="393">
        <f>+'Calc Sheet 20_21'!I215</f>
        <v>4800</v>
      </c>
      <c r="H20" s="240">
        <f>(G20-F20)/F20</f>
        <v>0.059602649006622516</v>
      </c>
      <c r="I20" s="241">
        <f>G20*I$3</f>
        <v>720</v>
      </c>
      <c r="J20" s="583">
        <f>G20+I20</f>
        <v>5520</v>
      </c>
      <c r="K20" s="283">
        <v>9100033030416</v>
      </c>
      <c r="M20" s="431">
        <f>J20+L20</f>
        <v>5520</v>
      </c>
      <c r="N20" s="431">
        <f>+$M20*(1+'Unit tariffs'!$F$2)</f>
        <v>5751.84</v>
      </c>
      <c r="O20" s="431">
        <f>+$N20*(1+'Unit tariffs'!$F$2)</f>
        <v>5993.417280000001</v>
      </c>
      <c r="P20" s="431">
        <f>+$O20*(1+'Unit tariffs'!$F$2)</f>
        <v>6245.140805760001</v>
      </c>
    </row>
    <row r="21" spans="1:16" ht="27">
      <c r="A21" s="281"/>
      <c r="B21" s="246" t="str">
        <f>+'Calc Sheet 20_21'!B221</f>
        <v>1.6 Single phase Pre-payment meters for areas that are fully subsidised. (Grants from different departments, e.g USDG, etc)</v>
      </c>
      <c r="C21" s="234" t="s">
        <v>241</v>
      </c>
      <c r="D21" s="213">
        <f>+'Calc Sheet 20_21'!H245</f>
        <v>1050</v>
      </c>
      <c r="E21" s="538">
        <v>370</v>
      </c>
      <c r="F21" s="627">
        <f>+'Calc Sheet 20_21'!H245</f>
        <v>1050</v>
      </c>
      <c r="G21" s="393">
        <f>+'Calc Sheet 20_21'!I245</f>
        <v>800</v>
      </c>
      <c r="H21" s="240">
        <f>(G21-F21)/F21</f>
        <v>-0.23809523809523808</v>
      </c>
      <c r="I21" s="241">
        <f>G21*I$3</f>
        <v>120</v>
      </c>
      <c r="J21" s="583">
        <f>G21+I21</f>
        <v>920</v>
      </c>
      <c r="K21" s="283">
        <v>9100033030416</v>
      </c>
      <c r="M21" s="431">
        <f>J21+L21</f>
        <v>920</v>
      </c>
      <c r="N21" s="431">
        <f>+$M21*(1+'Unit tariffs'!$F$2)</f>
        <v>958.64</v>
      </c>
      <c r="O21" s="431">
        <f>+$N21*(1+'Unit tariffs'!$F$2)</f>
        <v>998.90288</v>
      </c>
      <c r="P21" s="431">
        <f>+$O21*(1+'Unit tariffs'!$F$2)</f>
        <v>1040.85680096</v>
      </c>
    </row>
    <row r="22" spans="1:16" ht="20.25" customHeight="1">
      <c r="A22" s="281"/>
      <c r="B22" s="233" t="str">
        <f>+'Calc Sheet 20_21'!B252</f>
        <v>1.7  Subdivision  (Domestic) -  Urban area: </v>
      </c>
      <c r="C22" s="234"/>
      <c r="D22" s="213"/>
      <c r="E22" s="537"/>
      <c r="F22" s="627"/>
      <c r="G22" s="393"/>
      <c r="H22" s="240"/>
      <c r="I22" s="241"/>
      <c r="J22" s="583"/>
      <c r="K22" s="283"/>
      <c r="M22" s="431"/>
      <c r="N22" s="431"/>
      <c r="O22" s="431"/>
      <c r="P22" s="431"/>
    </row>
    <row r="23" spans="1:16" ht="30.75" customHeight="1">
      <c r="A23" s="281"/>
      <c r="B23" s="233" t="str">
        <f>+'Calc Sheet 20_21'!B254</f>
        <v>    1.7.1 Subdivision Urban Area:  A new Single Phase Split pre-payment meter for domestic connection </v>
      </c>
      <c r="C23" s="234" t="s">
        <v>241</v>
      </c>
      <c r="D23" s="213">
        <f>+'Calc Sheet 20_21'!H283</f>
        <v>18760</v>
      </c>
      <c r="E23" s="537">
        <v>15780</v>
      </c>
      <c r="F23" s="627">
        <f>+'Calc Sheet 20_21'!H283</f>
        <v>18760</v>
      </c>
      <c r="G23" s="393">
        <f>+'Calc Sheet 20_21'!I283</f>
        <v>17950</v>
      </c>
      <c r="H23" s="240">
        <f>(G23-F23)/F23</f>
        <v>-0.04317697228144989</v>
      </c>
      <c r="I23" s="241">
        <f>G23*I$3</f>
        <v>2692.5</v>
      </c>
      <c r="J23" s="583">
        <f>G23+I23</f>
        <v>20642.5</v>
      </c>
      <c r="K23" s="285">
        <v>9100033030416</v>
      </c>
      <c r="M23" s="431">
        <f>J23+L23</f>
        <v>20642.5</v>
      </c>
      <c r="N23" s="431">
        <f>+$M23*(1+'Unit tariffs'!$F$2)</f>
        <v>21509.485</v>
      </c>
      <c r="O23" s="431">
        <f>+$N23*(1+'Unit tariffs'!$F$2)</f>
        <v>22412.883370000003</v>
      </c>
      <c r="P23" s="431">
        <f>+$O23*(1+'Unit tariffs'!$F$2)</f>
        <v>23354.224471540005</v>
      </c>
    </row>
    <row r="24" spans="1:16" ht="79.5">
      <c r="A24" s="281"/>
      <c r="B24" s="233" t="str">
        <f>+'Calc Sheet 20_21'!B291</f>
        <v>1.8 Additional Meters:  New 1ph  Split pre-paid meter connection- limited up to 500kVA, LV per Erf. Cost estimates will be compiled based on the quantiry of meters required and Network contribution will be levied as per ruling R/kVA.</v>
      </c>
      <c r="C24" s="234" t="s">
        <v>241</v>
      </c>
      <c r="D24" s="247" t="str">
        <f>+'Calc Sheet 20_21'!H291</f>
        <v>Actual estimated cost plus network contribution for 1.5kVA</v>
      </c>
      <c r="E24" s="539"/>
      <c r="F24" s="628" t="s">
        <v>262</v>
      </c>
      <c r="G24" s="394" t="str">
        <f>+'Calc Sheet 20_21'!I291</f>
        <v>Actual estimated cost plus network contribution ADMD (to be detrmined by number of meters applied for) crediting the network contribution already paid for.</v>
      </c>
      <c r="H24" s="231"/>
      <c r="I24" s="228"/>
      <c r="J24" s="582"/>
      <c r="K24" s="282"/>
      <c r="M24" s="712"/>
      <c r="N24" s="429"/>
      <c r="O24" s="429"/>
      <c r="P24" s="429"/>
    </row>
    <row r="25" spans="1:16" ht="14.25">
      <c r="A25" s="350"/>
      <c r="B25" s="351"/>
      <c r="C25" s="352"/>
      <c r="D25" s="703"/>
      <c r="E25" s="704"/>
      <c r="F25" s="705"/>
      <c r="G25" s="706"/>
      <c r="H25" s="707"/>
      <c r="I25" s="708"/>
      <c r="J25" s="709"/>
      <c r="K25" s="710"/>
      <c r="M25" s="429"/>
      <c r="N25" s="712"/>
      <c r="O25" s="712"/>
      <c r="P25" s="712"/>
    </row>
    <row r="26" spans="1:16" ht="15" thickBot="1">
      <c r="A26" s="378"/>
      <c r="B26" s="379"/>
      <c r="C26" s="380"/>
      <c r="D26" s="293"/>
      <c r="E26" s="540"/>
      <c r="F26" s="629"/>
      <c r="G26" s="296"/>
      <c r="H26" s="294"/>
      <c r="I26" s="295"/>
      <c r="J26" s="585"/>
      <c r="K26" s="381"/>
      <c r="L26" s="409"/>
      <c r="M26" s="712"/>
      <c r="N26" s="435"/>
      <c r="O26" s="435"/>
      <c r="P26" s="435"/>
    </row>
    <row r="27" spans="1:16" ht="15" thickBot="1">
      <c r="A27" s="298"/>
      <c r="B27" s="299" t="str">
        <f>'Calc Sheet 20_21'!B295</f>
        <v>2. NEW THREE PHASE DOMESTIC CONNECTIONS: URBAN</v>
      </c>
      <c r="C27" s="341"/>
      <c r="D27" s="342"/>
      <c r="E27" s="534"/>
      <c r="F27" s="625"/>
      <c r="G27" s="317"/>
      <c r="H27" s="302"/>
      <c r="I27" s="303"/>
      <c r="J27" s="581"/>
      <c r="K27" s="303"/>
      <c r="L27" s="303"/>
      <c r="M27" s="435"/>
      <c r="N27" s="426"/>
      <c r="O27" s="426"/>
      <c r="P27" s="426"/>
    </row>
    <row r="28" spans="1:16" ht="14.25">
      <c r="A28" s="298"/>
      <c r="B28" s="239"/>
      <c r="C28" s="234"/>
      <c r="D28" s="229"/>
      <c r="E28" s="536"/>
      <c r="F28" s="626"/>
      <c r="G28" s="230"/>
      <c r="H28" s="231"/>
      <c r="I28" s="228"/>
      <c r="J28" s="582"/>
      <c r="K28" s="228"/>
      <c r="L28" s="228"/>
      <c r="M28" s="426"/>
      <c r="N28" s="428"/>
      <c r="O28" s="428"/>
      <c r="P28" s="428"/>
    </row>
    <row r="29" spans="1:16" ht="27">
      <c r="A29" s="298"/>
      <c r="B29" s="237" t="str">
        <f>+'Calc Sheet 20_21'!B297</f>
        <v>Three phase connection in meter box placed on stand boundary taken from underground cable network.</v>
      </c>
      <c r="C29" s="300"/>
      <c r="D29" s="301"/>
      <c r="E29" s="541"/>
      <c r="F29" s="630"/>
      <c r="G29" s="396"/>
      <c r="H29" s="302"/>
      <c r="I29" s="303"/>
      <c r="J29" s="581"/>
      <c r="K29" s="322"/>
      <c r="M29" s="428"/>
      <c r="N29" s="427"/>
      <c r="O29" s="427"/>
      <c r="P29" s="427"/>
    </row>
    <row r="30" spans="1:16" ht="12" customHeight="1">
      <c r="A30" s="281"/>
      <c r="B30" s="233"/>
      <c r="C30" s="234"/>
      <c r="D30" s="248"/>
      <c r="E30" s="542"/>
      <c r="F30" s="631"/>
      <c r="G30" s="397"/>
      <c r="H30" s="249"/>
      <c r="I30" s="250"/>
      <c r="J30" s="586"/>
      <c r="K30" s="286"/>
      <c r="M30" s="427"/>
      <c r="N30" s="429"/>
      <c r="O30" s="429"/>
      <c r="P30" s="429"/>
    </row>
    <row r="31" spans="1:16" ht="14.25" hidden="1">
      <c r="A31" s="281"/>
      <c r="B31" s="233" t="str">
        <f>+'Calc Sheet 20_21'!B299</f>
        <v>2.1 Three phase domestic connection (80A) in meter box,  Time of use (TOU) meter    </v>
      </c>
      <c r="C31" s="234" t="s">
        <v>343</v>
      </c>
      <c r="D31" s="213">
        <f>+'Calc Sheet 20_21'!H332</f>
        <v>19790</v>
      </c>
      <c r="E31" s="537">
        <v>18370</v>
      </c>
      <c r="F31" s="627">
        <v>18710</v>
      </c>
      <c r="G31" s="393">
        <f>+'Calc Sheet 20_21'!I332</f>
        <v>22990</v>
      </c>
      <c r="H31" s="240">
        <f>(G31-F31)/F31</f>
        <v>0.22875467664350616</v>
      </c>
      <c r="I31" s="241">
        <f>G31*I$3</f>
        <v>3448.5</v>
      </c>
      <c r="J31" s="583">
        <f>G31+I31</f>
        <v>26438.5</v>
      </c>
      <c r="K31" s="283">
        <v>9100033030416</v>
      </c>
      <c r="M31" s="429"/>
      <c r="N31" s="431">
        <f>+$M31*(1+'Unit tariffs'!$F$2)</f>
        <v>0</v>
      </c>
      <c r="O31" s="431">
        <f>+$M31*(1+'Unit tariffs'!$F$2)</f>
        <v>0</v>
      </c>
      <c r="P31" s="431">
        <f>+$M31*(1+'Unit tariffs'!$F$2)</f>
        <v>0</v>
      </c>
    </row>
    <row r="32" spans="1:16" ht="14.25" hidden="1">
      <c r="A32" s="281"/>
      <c r="B32" s="233"/>
      <c r="C32" s="234"/>
      <c r="D32" s="213"/>
      <c r="E32" s="537"/>
      <c r="F32" s="627"/>
      <c r="G32" s="393"/>
      <c r="H32" s="231"/>
      <c r="I32" s="228"/>
      <c r="J32" s="582"/>
      <c r="K32" s="282"/>
      <c r="M32" s="431">
        <f>J32+L32</f>
        <v>0</v>
      </c>
      <c r="N32" s="429"/>
      <c r="O32" s="429"/>
      <c r="P32" s="429"/>
    </row>
    <row r="33" spans="1:16" ht="14.25">
      <c r="A33" s="281"/>
      <c r="B33" s="233" t="str">
        <f>+'Calc Sheet 20_21'!B340</f>
        <v>2.2 Three phase connection (80A) in meter box,  Time of use (TOU) meter                                               </v>
      </c>
      <c r="C33" s="238" t="s">
        <v>344</v>
      </c>
      <c r="D33" s="213">
        <f>+'Calc Sheet 20_21'!H370</f>
        <v>16860</v>
      </c>
      <c r="E33" s="537">
        <v>15725</v>
      </c>
      <c r="F33" s="627">
        <f>+'Calc Sheet 20_21'!H370</f>
        <v>16860</v>
      </c>
      <c r="G33" s="393">
        <f>+'Calc Sheet 20_21'!I370</f>
        <v>18620</v>
      </c>
      <c r="H33" s="240">
        <f>(G33-F33)/F33</f>
        <v>0.10438908659549229</v>
      </c>
      <c r="I33" s="241">
        <f>G33*I$3</f>
        <v>2793</v>
      </c>
      <c r="J33" s="583">
        <f>G33+I33</f>
        <v>21413</v>
      </c>
      <c r="K33" s="283">
        <v>9100033030416</v>
      </c>
      <c r="M33" s="786">
        <f>J33</f>
        <v>21413</v>
      </c>
      <c r="N33" s="431">
        <f>+$M33*(1+'Unit tariffs'!$F$2)</f>
        <v>22312.346</v>
      </c>
      <c r="O33" s="431">
        <f>+$N33*(1+'Unit tariffs'!$F$2)</f>
        <v>23249.464532</v>
      </c>
      <c r="P33" s="431">
        <f>+$O33*(1+'Unit tariffs'!$F$2)</f>
        <v>24225.942042344002</v>
      </c>
    </row>
    <row r="34" spans="1:16" ht="14.25">
      <c r="A34" s="281"/>
      <c r="B34" s="233"/>
      <c r="C34" s="234" t="s">
        <v>241</v>
      </c>
      <c r="D34" s="248"/>
      <c r="E34" s="542"/>
      <c r="F34" s="627"/>
      <c r="G34" s="397"/>
      <c r="H34" s="249"/>
      <c r="I34" s="250"/>
      <c r="J34" s="586"/>
      <c r="K34" s="286"/>
      <c r="M34" s="431"/>
      <c r="N34" s="429"/>
      <c r="O34" s="429"/>
      <c r="P34" s="429"/>
    </row>
    <row r="35" spans="1:16" ht="14.25" hidden="1">
      <c r="A35" s="281"/>
      <c r="B35" s="233" t="str">
        <f>'Calc Sheet 20_21'!B376</f>
        <v>2.3 Three phase domestic connection in meter box, Split pre-payment meter </v>
      </c>
      <c r="C35" s="234" t="s">
        <v>343</v>
      </c>
      <c r="D35" s="213">
        <f>'Calc Sheet 20_21'!H408</f>
        <v>17560</v>
      </c>
      <c r="E35" s="537">
        <v>16375</v>
      </c>
      <c r="F35" s="627">
        <v>16040</v>
      </c>
      <c r="G35" s="393">
        <f>'Calc Sheet 20_21'!I408</f>
        <v>20320</v>
      </c>
      <c r="H35" s="240">
        <f>(G35-F35)/F35</f>
        <v>0.26683291770573564</v>
      </c>
      <c r="I35" s="241">
        <f>G35*I$3</f>
        <v>3048</v>
      </c>
      <c r="J35" s="583">
        <f>G35+I35</f>
        <v>23368</v>
      </c>
      <c r="K35" s="283">
        <v>9100033030416</v>
      </c>
      <c r="M35" s="429"/>
      <c r="N35" s="431">
        <f>+$M35*(1+'Unit tariffs'!$F$2)</f>
        <v>0</v>
      </c>
      <c r="O35" s="431">
        <f>+$M35*(1+'Unit tariffs'!$F$2)</f>
        <v>0</v>
      </c>
      <c r="P35" s="431">
        <f>+$M35*(1+'Unit tariffs'!$F$2)</f>
        <v>0</v>
      </c>
    </row>
    <row r="36" spans="1:16" ht="14.25" hidden="1">
      <c r="A36" s="281"/>
      <c r="B36" s="251"/>
      <c r="C36" s="234"/>
      <c r="D36" s="213"/>
      <c r="E36" s="537"/>
      <c r="F36" s="631"/>
      <c r="G36" s="393"/>
      <c r="H36" s="240"/>
      <c r="I36" s="241"/>
      <c r="J36" s="583"/>
      <c r="K36" s="287"/>
      <c r="M36" s="431">
        <f>J36+L36</f>
        <v>0</v>
      </c>
      <c r="N36" s="431"/>
      <c r="O36" s="431"/>
      <c r="P36" s="431"/>
    </row>
    <row r="37" spans="1:16" ht="14.25">
      <c r="A37" s="281"/>
      <c r="B37" s="233" t="str">
        <f>'Calc Sheet 20_21'!B415</f>
        <v>2.4 Three phase domestic connection in meter box, Split pre-payment meter.</v>
      </c>
      <c r="C37" s="238" t="s">
        <v>344</v>
      </c>
      <c r="D37" s="213">
        <f>'Calc Sheet 20_21'!H445</f>
        <v>14620</v>
      </c>
      <c r="E37" s="537">
        <v>13720</v>
      </c>
      <c r="F37" s="627">
        <f>+'Calc Sheet 20_21'!H445</f>
        <v>14620</v>
      </c>
      <c r="G37" s="393">
        <f>+'Calc Sheet 20_21'!I445</f>
        <v>14330</v>
      </c>
      <c r="H37" s="240">
        <f>(G37-F37)/F37</f>
        <v>-0.019835841313269494</v>
      </c>
      <c r="I37" s="241">
        <f>G37*I$3</f>
        <v>2149.5</v>
      </c>
      <c r="J37" s="583">
        <f>G37+I37</f>
        <v>16479.5</v>
      </c>
      <c r="K37" s="283">
        <v>9100033030416</v>
      </c>
      <c r="M37" s="431">
        <f>J37</f>
        <v>16479.5</v>
      </c>
      <c r="N37" s="431">
        <f>+$M37*(1+'Unit tariffs'!$F$2)</f>
        <v>17171.639</v>
      </c>
      <c r="O37" s="431">
        <f>+$N37*(1+'Unit tariffs'!$F$2)</f>
        <v>17892.847838</v>
      </c>
      <c r="P37" s="431">
        <f>+$O37*(1+'Unit tariffs'!$F$2)</f>
        <v>18644.347447196003</v>
      </c>
    </row>
    <row r="38" spans="1:16" ht="15" thickBot="1">
      <c r="A38" s="305"/>
      <c r="B38" s="313"/>
      <c r="C38" s="314" t="s">
        <v>241</v>
      </c>
      <c r="D38" s="308"/>
      <c r="E38" s="543"/>
      <c r="F38" s="632"/>
      <c r="G38" s="311"/>
      <c r="H38" s="309"/>
      <c r="I38" s="310"/>
      <c r="J38" s="587"/>
      <c r="K38" s="323"/>
      <c r="M38" s="437"/>
      <c r="N38" s="437"/>
      <c r="O38" s="437"/>
      <c r="P38" s="437"/>
    </row>
    <row r="39" spans="1:16" ht="15" thickBot="1" thickTop="1">
      <c r="A39" s="410"/>
      <c r="B39" s="411"/>
      <c r="C39" s="412"/>
      <c r="D39" s="413"/>
      <c r="E39" s="544"/>
      <c r="F39" s="633"/>
      <c r="G39" s="414"/>
      <c r="H39" s="415"/>
      <c r="I39" s="416"/>
      <c r="J39" s="588"/>
      <c r="K39" s="282"/>
      <c r="M39" s="439"/>
      <c r="N39" s="439"/>
      <c r="O39" s="439"/>
      <c r="P39" s="439"/>
    </row>
    <row r="40" spans="1:16" ht="15">
      <c r="A40" s="410"/>
      <c r="B40" s="274" t="str">
        <f>+B1</f>
        <v>CENTLEC : ELECTRICITY SERVICES COSTS FOR MOHOKARE MUNIC</v>
      </c>
      <c r="C40" s="275"/>
      <c r="D40" s="382" t="s">
        <v>319</v>
      </c>
      <c r="E40" s="545"/>
      <c r="F40" s="634" t="s">
        <v>74</v>
      </c>
      <c r="G40" s="384" t="s">
        <v>74</v>
      </c>
      <c r="H40" s="383" t="s">
        <v>85</v>
      </c>
      <c r="I40" s="55" t="s">
        <v>470</v>
      </c>
      <c r="J40" s="384" t="s">
        <v>138</v>
      </c>
      <c r="K40" s="385" t="s">
        <v>75</v>
      </c>
      <c r="M40" s="695" t="s">
        <v>138</v>
      </c>
      <c r="N40" s="695" t="s">
        <v>138</v>
      </c>
      <c r="O40" s="695" t="s">
        <v>138</v>
      </c>
      <c r="P40" s="695" t="s">
        <v>138</v>
      </c>
    </row>
    <row r="41" spans="1:16" ht="15">
      <c r="A41" s="410"/>
      <c r="B41" s="418"/>
      <c r="C41" s="316"/>
      <c r="D41" s="335" t="s">
        <v>320</v>
      </c>
      <c r="E41" s="546"/>
      <c r="F41" s="635" t="s">
        <v>320</v>
      </c>
      <c r="G41" s="320" t="s">
        <v>320</v>
      </c>
      <c r="H41" s="336" t="s">
        <v>86</v>
      </c>
      <c r="I41" s="665">
        <f>+'Unit tariffs'!F$3</f>
        <v>0.15</v>
      </c>
      <c r="J41" s="320" t="s">
        <v>139</v>
      </c>
      <c r="K41" s="337" t="s">
        <v>78</v>
      </c>
      <c r="M41" s="697" t="s">
        <v>139</v>
      </c>
      <c r="N41" s="697" t="s">
        <v>139</v>
      </c>
      <c r="O41" s="697" t="s">
        <v>139</v>
      </c>
      <c r="P41" s="697" t="s">
        <v>139</v>
      </c>
    </row>
    <row r="42" spans="1:16" ht="15">
      <c r="A42" s="410"/>
      <c r="B42" s="418"/>
      <c r="C42" s="238" t="s">
        <v>330</v>
      </c>
      <c r="D42" s="338" t="s">
        <v>280</v>
      </c>
      <c r="E42" s="547"/>
      <c r="F42" s="690" t="str">
        <f>'Calc Sheet 20_21'!$H$11</f>
        <v>2020/2021</v>
      </c>
      <c r="G42" s="236" t="str">
        <f>'Calc Sheet 20_21'!$I$11</f>
        <v>2021/2022</v>
      </c>
      <c r="H42" s="339" t="str">
        <f>G42</f>
        <v>2021/2022</v>
      </c>
      <c r="I42" s="55" t="str">
        <f>G42</f>
        <v>2021/2022</v>
      </c>
      <c r="J42" s="236" t="str">
        <f>I42</f>
        <v>2021/2022</v>
      </c>
      <c r="K42" s="337" t="s">
        <v>79</v>
      </c>
      <c r="M42" s="692" t="s">
        <v>481</v>
      </c>
      <c r="N42" s="692" t="s">
        <v>630</v>
      </c>
      <c r="O42" s="692" t="s">
        <v>631</v>
      </c>
      <c r="P42" s="692" t="s">
        <v>632</v>
      </c>
    </row>
    <row r="43" spans="1:16" ht="15" thickBot="1">
      <c r="A43" s="417"/>
      <c r="B43" s="419" t="str">
        <f>'Calc Sheet 20_21'!B453</f>
        <v>3. NEW SINGLE PHASE DOMESTIC CONNECTIONS: PERI-URBAN</v>
      </c>
      <c r="C43" s="307" t="s">
        <v>331</v>
      </c>
      <c r="D43" s="318" t="s">
        <v>80</v>
      </c>
      <c r="E43" s="548"/>
      <c r="F43" s="636" t="s">
        <v>80</v>
      </c>
      <c r="G43" s="395" t="s">
        <v>80</v>
      </c>
      <c r="H43" s="309"/>
      <c r="I43" s="310"/>
      <c r="J43" s="587"/>
      <c r="K43" s="323"/>
      <c r="M43" s="437"/>
      <c r="N43" s="437"/>
      <c r="O43" s="437"/>
      <c r="P43" s="437"/>
    </row>
    <row r="44" spans="1:16" ht="15" thickBot="1" thickTop="1">
      <c r="A44" s="312"/>
      <c r="C44" s="300"/>
      <c r="D44" s="301"/>
      <c r="E44" s="541"/>
      <c r="F44" s="630"/>
      <c r="G44" s="396"/>
      <c r="H44" s="302"/>
      <c r="I44" s="303"/>
      <c r="J44" s="581"/>
      <c r="K44" s="322"/>
      <c r="M44" s="437"/>
      <c r="N44" s="427"/>
      <c r="O44" s="427"/>
      <c r="P44" s="427"/>
    </row>
    <row r="45" spans="1:16" ht="45.75" customHeight="1" thickTop="1">
      <c r="A45" s="281"/>
      <c r="B45" s="233" t="str">
        <f>'Summary Kopanong 2020_21'!B46</f>
        <v>3.2 Single phase Peri-Urban domestic connection with TOU kWh meter.  Supplied by 25kVA single phase transformer (60A) from 11kV overhead line   (where an 11kV line exists and is within the first 350m)</v>
      </c>
      <c r="C45" s="234" t="s">
        <v>242</v>
      </c>
      <c r="D45" s="578">
        <f>+'Calc Sheet 20_21'!H484</f>
        <v>34840</v>
      </c>
      <c r="E45" s="549">
        <v>15930</v>
      </c>
      <c r="F45" s="637">
        <f>+'Calc Sheet 20_21'!H484</f>
        <v>34840</v>
      </c>
      <c r="G45" s="398">
        <f>+'Calc Sheet 20_21'!I484</f>
        <v>33420</v>
      </c>
      <c r="H45" s="240">
        <f>(G45-F45)/F45</f>
        <v>-0.04075774971297359</v>
      </c>
      <c r="I45" s="241">
        <f>G45*I$3</f>
        <v>5013</v>
      </c>
      <c r="J45" s="583">
        <f>G45+I45</f>
        <v>38433</v>
      </c>
      <c r="K45" s="283">
        <v>9100033030416</v>
      </c>
      <c r="M45" s="431">
        <f>J45</f>
        <v>38433</v>
      </c>
      <c r="N45" s="431">
        <f>'Summary Kopanong 2020_21'!N46</f>
        <v>25650</v>
      </c>
      <c r="O45" s="431">
        <f>+$N45*(1+'Unit tariffs'!$F$2)</f>
        <v>26727.3</v>
      </c>
      <c r="P45" s="431">
        <f>+$O45*(1+'Unit tariffs'!$F$2)</f>
        <v>27849.8466</v>
      </c>
    </row>
    <row r="46" spans="1:16" ht="33.75" customHeight="1">
      <c r="A46" s="281"/>
      <c r="B46" s="233" t="str">
        <f>'Summary Kopanong 2020_21'!B47</f>
        <v>3.4 Single phase Peri-Urban domestic connection - Prepayment meter. - Supplied by 25kVA single phase Trfr (60A) from 11kV overhead line   (where an 11kV line exists)</v>
      </c>
      <c r="C46" s="234" t="s">
        <v>242</v>
      </c>
      <c r="D46" s="213">
        <f>+'Calc Sheet 20_21'!H572</f>
        <v>41370</v>
      </c>
      <c r="E46" s="537">
        <v>12240</v>
      </c>
      <c r="F46" s="627">
        <f>+'Calc Sheet 20_21'!H572</f>
        <v>41370</v>
      </c>
      <c r="G46" s="393">
        <f>+'Calc Sheet 20_21'!I572</f>
        <v>37190</v>
      </c>
      <c r="H46" s="240">
        <f>(G46-F46)/F46</f>
        <v>-0.10103940053178632</v>
      </c>
      <c r="I46" s="241">
        <f>G46*I$3</f>
        <v>5578.5</v>
      </c>
      <c r="J46" s="583">
        <f>G46+I46</f>
        <v>42768.5</v>
      </c>
      <c r="K46" s="283">
        <v>9100033030416</v>
      </c>
      <c r="M46" s="431">
        <f>J46+L46</f>
        <v>42768.5</v>
      </c>
      <c r="N46" s="431">
        <f>'Summary Kopanong 2020_21'!N47</f>
        <v>12830</v>
      </c>
      <c r="O46" s="431">
        <f>+$N46*(1+'Unit tariffs'!$F$2)</f>
        <v>13368.86</v>
      </c>
      <c r="P46" s="431">
        <f>+$O46*(1+'Unit tariffs'!$F$2)</f>
        <v>13930.352120000001</v>
      </c>
    </row>
    <row r="47" spans="1:16" ht="44.25" customHeight="1">
      <c r="A47" s="281"/>
      <c r="B47" s="233" t="str">
        <f>+'Summary Mangaung 2020_2021'!B49</f>
        <v>3.5  Additional  Meters Peri-Urban Area:  New 1ph  Split pre-paid meter connection- limited up to 200kVA, LV per Erf. Cost estimates will be compiled based on the quantiry of meters required and Network contribution will be levied as per ruling R/kVA.</v>
      </c>
      <c r="C47" s="713" t="s">
        <v>242</v>
      </c>
      <c r="D47" s="213"/>
      <c r="E47" s="537"/>
      <c r="F47" s="628" t="str">
        <f>+'Summary Mangaung 2020_2021'!F49</f>
        <v>Actual estimated cost plus network contribution depending on number of meters required </v>
      </c>
      <c r="G47" s="394" t="str">
        <f>+'Summary Mangaung 2020_2021'!G49</f>
        <v>Actual estimated cost plus ADMD network contribution to be dertmined by number of meters needed </v>
      </c>
      <c r="H47" s="240"/>
      <c r="I47" s="241"/>
      <c r="J47" s="583"/>
      <c r="K47" s="283"/>
      <c r="M47" s="431"/>
      <c r="N47" s="431"/>
      <c r="O47" s="431"/>
      <c r="P47" s="431"/>
    </row>
    <row r="48" spans="1:16" ht="12.75" customHeight="1">
      <c r="A48" s="281"/>
      <c r="B48" s="233"/>
      <c r="C48" s="713"/>
      <c r="D48" s="213"/>
      <c r="E48" s="537"/>
      <c r="F48" s="628"/>
      <c r="G48" s="394"/>
      <c r="H48" s="240"/>
      <c r="I48" s="241"/>
      <c r="J48" s="583"/>
      <c r="K48" s="283"/>
      <c r="M48" s="431"/>
      <c r="N48" s="431"/>
      <c r="O48" s="431"/>
      <c r="P48" s="431"/>
    </row>
    <row r="49" spans="1:16" ht="14.25">
      <c r="A49" s="281"/>
      <c r="B49" s="233"/>
      <c r="C49" s="234"/>
      <c r="D49" s="213"/>
      <c r="E49" s="537"/>
      <c r="F49" s="627"/>
      <c r="G49" s="393"/>
      <c r="H49" s="240"/>
      <c r="I49" s="241"/>
      <c r="J49" s="583"/>
      <c r="K49" s="283"/>
      <c r="M49" s="431"/>
      <c r="N49" s="431"/>
      <c r="O49" s="431"/>
      <c r="P49" s="431"/>
    </row>
    <row r="50" spans="1:16" ht="18.75" customHeight="1">
      <c r="A50" s="281"/>
      <c r="B50" s="239" t="str">
        <f>'Calc Sheet 20_21'!B624</f>
        <v>4. NEW THREE PHASE DOMESTIC CONNECTIONS: PERI-URBAN</v>
      </c>
      <c r="C50" s="234"/>
      <c r="D50" s="213"/>
      <c r="E50" s="536"/>
      <c r="F50" s="626"/>
      <c r="G50" s="232"/>
      <c r="H50" s="231"/>
      <c r="I50" s="228"/>
      <c r="J50" s="582"/>
      <c r="K50" s="282"/>
      <c r="M50" s="431"/>
      <c r="N50" s="429"/>
      <c r="O50" s="429"/>
      <c r="P50" s="429"/>
    </row>
    <row r="51" spans="1:16" ht="28.5" customHeight="1">
      <c r="A51" s="298"/>
      <c r="B51" s="348" t="str">
        <f>+'Calc Sheet 20_21'!B626</f>
        <v>Three phase domestic connection in meterbox, where an 11kV line exists or has to be extended up to 350m.                                           </v>
      </c>
      <c r="C51" s="238"/>
      <c r="D51" s="213"/>
      <c r="E51" s="537"/>
      <c r="F51" s="627"/>
      <c r="G51" s="393"/>
      <c r="H51" s="231"/>
      <c r="I51" s="228"/>
      <c r="J51" s="582"/>
      <c r="K51" s="282"/>
      <c r="M51" s="431"/>
      <c r="N51" s="429"/>
      <c r="O51" s="429"/>
      <c r="P51" s="429"/>
    </row>
    <row r="52" spans="1:16" ht="12.75" customHeight="1">
      <c r="A52" s="281"/>
      <c r="B52" s="233"/>
      <c r="C52" s="234"/>
      <c r="D52" s="213"/>
      <c r="E52" s="537"/>
      <c r="F52" s="627"/>
      <c r="G52" s="393"/>
      <c r="H52" s="231"/>
      <c r="I52" s="228"/>
      <c r="J52" s="582"/>
      <c r="K52" s="282"/>
      <c r="M52" s="431"/>
      <c r="N52" s="429"/>
      <c r="O52" s="429"/>
      <c r="P52" s="429"/>
    </row>
    <row r="53" spans="1:16" ht="24.75" customHeight="1" hidden="1">
      <c r="A53" s="281"/>
      <c r="B53" s="233" t="str">
        <f>+'Calc Sheet 20_21'!B629</f>
        <v>4.1 New Three phase 80A/ph 25kVA domestic connection  in meter box with Time of use (TOU) meter in Mangaung - Peri urban                                              </v>
      </c>
      <c r="C53" s="234" t="str">
        <f>+C46</f>
        <v>Peri Urban Area</v>
      </c>
      <c r="D53" s="213">
        <f>+'Calc Sheet 20_21'!H668</f>
        <v>45010</v>
      </c>
      <c r="E53" s="537">
        <v>27150</v>
      </c>
      <c r="F53" s="627">
        <v>27500</v>
      </c>
      <c r="G53" s="393">
        <f>+'Calc Sheet 20_21'!I668</f>
        <v>45990</v>
      </c>
      <c r="H53" s="240">
        <f>(G53-F53)/F53</f>
        <v>0.6723636363636364</v>
      </c>
      <c r="I53" s="241">
        <f>G53*I$3</f>
        <v>6898.5</v>
      </c>
      <c r="J53" s="583">
        <f>G53+I53</f>
        <v>52888.5</v>
      </c>
      <c r="K53" s="283">
        <v>9100033030416</v>
      </c>
      <c r="M53" s="431">
        <f>J53+L53</f>
        <v>52888.5</v>
      </c>
      <c r="N53" s="431">
        <f>+$M53*(1+'Unit tariffs'!$F$2)</f>
        <v>55109.817</v>
      </c>
      <c r="O53" s="431">
        <f>+$M53*(1+'Unit tariffs'!$F$2)</f>
        <v>55109.817</v>
      </c>
      <c r="P53" s="431">
        <f>+$M53*(1+'Unit tariffs'!$F$2)</f>
        <v>55109.817</v>
      </c>
    </row>
    <row r="54" spans="1:16" ht="14.25" hidden="1">
      <c r="A54" s="281"/>
      <c r="B54" s="253"/>
      <c r="C54" s="234"/>
      <c r="D54" s="213"/>
      <c r="E54" s="537"/>
      <c r="F54" s="627"/>
      <c r="G54" s="393"/>
      <c r="H54" s="231"/>
      <c r="I54" s="228"/>
      <c r="J54" s="582"/>
      <c r="K54" s="282"/>
      <c r="M54" s="431"/>
      <c r="N54" s="429"/>
      <c r="O54" s="429"/>
      <c r="P54" s="429"/>
    </row>
    <row r="55" spans="1:16" ht="25.5" customHeight="1">
      <c r="A55" s="281"/>
      <c r="B55" s="233" t="str">
        <f>+'Calc Sheet 20_21'!B673</f>
        <v>4.2 New Three phase 80A/ph domestic connection in meter box with Time of use (TOU) meter in Regional.                                                                                      </v>
      </c>
      <c r="C55" s="234" t="s">
        <v>244</v>
      </c>
      <c r="D55" s="577">
        <f>+'Calc Sheet 20_21'!H709</f>
        <v>46750</v>
      </c>
      <c r="E55" s="537">
        <v>26870</v>
      </c>
      <c r="F55" s="627">
        <f>+'Calc Sheet 20_21'!H709</f>
        <v>46750</v>
      </c>
      <c r="G55" s="393">
        <f>+'Calc Sheet 20_21'!I709</f>
        <v>35160</v>
      </c>
      <c r="H55" s="240">
        <f>(G55-F55)/F55</f>
        <v>-0.2479144385026738</v>
      </c>
      <c r="I55" s="241">
        <f>G55*I$3</f>
        <v>5274</v>
      </c>
      <c r="J55" s="583">
        <f>G55+I55</f>
        <v>40434</v>
      </c>
      <c r="K55" s="283">
        <v>9100033030416</v>
      </c>
      <c r="M55" s="431">
        <f>J55+L55</f>
        <v>40434</v>
      </c>
      <c r="N55" s="431">
        <f>+$M55*(1+'Unit tariffs'!$F$2)</f>
        <v>42132.228</v>
      </c>
      <c r="O55" s="431">
        <f>+$N55*(1+'Unit tariffs'!$F$2)</f>
        <v>43901.781576</v>
      </c>
      <c r="P55" s="431">
        <f>+$O55*(1+'Unit tariffs'!$F$2)</f>
        <v>45745.656402192006</v>
      </c>
    </row>
    <row r="56" spans="1:16" ht="14.25">
      <c r="A56" s="281"/>
      <c r="B56" s="253"/>
      <c r="C56" s="234"/>
      <c r="D56" s="213"/>
      <c r="E56" s="537"/>
      <c r="F56" s="627"/>
      <c r="G56" s="393"/>
      <c r="H56" s="231"/>
      <c r="I56" s="228"/>
      <c r="J56" s="582"/>
      <c r="K56" s="282"/>
      <c r="M56" s="429"/>
      <c r="N56" s="429"/>
      <c r="O56" s="429"/>
      <c r="P56" s="429"/>
    </row>
    <row r="57" spans="1:16" ht="23.25" customHeight="1" hidden="1">
      <c r="A57" s="281"/>
      <c r="B57" s="233" t="str">
        <f>'Calc Sheet 20_21'!B716</f>
        <v>4.3  New Three phase Peri-Urban domestic connection - Pre-payment meter (80A per phase)                                                    </v>
      </c>
      <c r="C57" s="234" t="str">
        <f>+C55</f>
        <v>[Regional - peri urban area]</v>
      </c>
      <c r="D57" s="213">
        <f>+'Calc Sheet 20_21'!H758</f>
        <v>36660</v>
      </c>
      <c r="E57" s="537">
        <v>27370</v>
      </c>
      <c r="F57" s="627">
        <v>27980</v>
      </c>
      <c r="G57" s="393">
        <f>+'Calc Sheet 20_21'!I758</f>
        <v>35780</v>
      </c>
      <c r="H57" s="240">
        <f>(G57-F57)/F57</f>
        <v>0.278770550393138</v>
      </c>
      <c r="I57" s="241">
        <f>G57*I$3</f>
        <v>5367</v>
      </c>
      <c r="J57" s="583">
        <f>G57+I57</f>
        <v>41147</v>
      </c>
      <c r="K57" s="283">
        <v>9100033030416</v>
      </c>
      <c r="M57" s="431">
        <f>J57+L57</f>
        <v>41147</v>
      </c>
      <c r="N57" s="431">
        <f>+$M57*(1+'Unit tariffs'!$F$2)</f>
        <v>42875.174</v>
      </c>
      <c r="O57" s="431">
        <f>+$M57*(1+'Unit tariffs'!$F$2)</f>
        <v>42875.174</v>
      </c>
      <c r="P57" s="431">
        <f>+$M57*(1+'Unit tariffs'!$F$2)</f>
        <v>42875.174</v>
      </c>
    </row>
    <row r="58" spans="1:16" ht="14.25" hidden="1">
      <c r="A58" s="281"/>
      <c r="B58" s="251"/>
      <c r="C58" s="234"/>
      <c r="D58" s="213"/>
      <c r="E58" s="537"/>
      <c r="F58" s="627"/>
      <c r="G58" s="393"/>
      <c r="H58" s="240"/>
      <c r="I58" s="241"/>
      <c r="J58" s="583"/>
      <c r="K58" s="287"/>
      <c r="M58" s="431"/>
      <c r="N58" s="431"/>
      <c r="O58" s="431"/>
      <c r="P58" s="431"/>
    </row>
    <row r="59" spans="1:16" ht="37.5" customHeight="1">
      <c r="A59" s="281"/>
      <c r="B59" s="233" t="str">
        <f>'Calc Sheet 20_21'!B763</f>
        <v>4.4 Three phase Peri-Urban domestic connection - Pre- payment meter (80A per phase)                                                    </v>
      </c>
      <c r="C59" s="238" t="str">
        <f>+'Calc Sheet 20_21'!I763</f>
        <v>[Regional - peri urban area]</v>
      </c>
      <c r="D59" s="213">
        <f>+'Calc Sheet 20_21'!H801</f>
        <v>35440</v>
      </c>
      <c r="E59" s="537">
        <v>24710</v>
      </c>
      <c r="F59" s="627">
        <f>+'Calc Sheet 20_21'!H801</f>
        <v>35440</v>
      </c>
      <c r="G59" s="393">
        <f>+'Calc Sheet 20_21'!I801</f>
        <v>34560</v>
      </c>
      <c r="H59" s="240">
        <f>(G59-F59)/F59</f>
        <v>-0.024830699774266364</v>
      </c>
      <c r="I59" s="241">
        <f>G59*I$3</f>
        <v>5184</v>
      </c>
      <c r="J59" s="583">
        <f>G59+I59</f>
        <v>39744</v>
      </c>
      <c r="K59" s="283">
        <v>9100033030416</v>
      </c>
      <c r="M59" s="431">
        <f>J59+L59</f>
        <v>39744</v>
      </c>
      <c r="N59" s="431">
        <f>+$M59*(1+'Unit tariffs'!$F$2)</f>
        <v>41413.248</v>
      </c>
      <c r="O59" s="431">
        <f>+$N59*(1+'Unit tariffs'!$F$2)</f>
        <v>43152.604416</v>
      </c>
      <c r="P59" s="431">
        <f>+$O59*(1+'Unit tariffs'!$F$2)</f>
        <v>44965.01380147201</v>
      </c>
    </row>
    <row r="60" spans="1:16" ht="14.25">
      <c r="A60" s="281"/>
      <c r="B60" s="251"/>
      <c r="C60" s="234"/>
      <c r="D60" s="213"/>
      <c r="E60" s="537"/>
      <c r="F60" s="627"/>
      <c r="G60" s="393"/>
      <c r="H60" s="240"/>
      <c r="I60" s="241"/>
      <c r="J60" s="583"/>
      <c r="K60" s="283"/>
      <c r="M60" s="431"/>
      <c r="N60" s="431"/>
      <c r="O60" s="431"/>
      <c r="P60" s="431"/>
    </row>
    <row r="61" spans="1:16" ht="14.25">
      <c r="A61" s="281"/>
      <c r="B61" s="239" t="str">
        <f>+'Calc Sheet 20_21'!B811</f>
        <v>4.5  Subdivision -  Peri-Urban area: </v>
      </c>
      <c r="C61" s="238"/>
      <c r="D61" s="213"/>
      <c r="E61" s="537"/>
      <c r="F61" s="627"/>
      <c r="G61" s="393"/>
      <c r="H61" s="240"/>
      <c r="I61" s="241"/>
      <c r="J61" s="583"/>
      <c r="K61" s="283"/>
      <c r="M61" s="431"/>
      <c r="N61" s="431"/>
      <c r="O61" s="431"/>
      <c r="P61" s="431"/>
    </row>
    <row r="62" spans="1:16" ht="35.25" customHeight="1">
      <c r="A62" s="281"/>
      <c r="B62" s="233" t="str">
        <f>+'Calc Sheet 20_21'!B813</f>
        <v>    4.5.1  Subdivision Pri Urban Area:  New Single Phase Split pre-payment meter connection in existing 11kV overhead line or  where 11kV overhead line needs to be exteded up to 350m.</v>
      </c>
      <c r="C62" s="234" t="s">
        <v>242</v>
      </c>
      <c r="D62" s="213">
        <f>+'Calc Sheet 20_21'!H842</f>
        <v>15970</v>
      </c>
      <c r="E62" s="537">
        <v>14510</v>
      </c>
      <c r="F62" s="627">
        <f>+'Calc Sheet 20_21'!H842</f>
        <v>15970</v>
      </c>
      <c r="G62" s="393">
        <f>+'Calc Sheet 20_21'!I842</f>
        <v>24380</v>
      </c>
      <c r="H62" s="240">
        <f>(G62-F62)/F62</f>
        <v>0.5266123982467126</v>
      </c>
      <c r="I62" s="241">
        <f>G62*I$3</f>
        <v>3657</v>
      </c>
      <c r="J62" s="583">
        <f>G62+I62</f>
        <v>28037</v>
      </c>
      <c r="K62" s="285">
        <v>9100033030416</v>
      </c>
      <c r="M62" s="431">
        <f>J62+L62</f>
        <v>28037</v>
      </c>
      <c r="N62" s="431">
        <f>+$M62*(1+'Unit tariffs'!$F$2)</f>
        <v>29214.554</v>
      </c>
      <c r="O62" s="431">
        <f>+$N62*(1+'Unit tariffs'!$F$2)</f>
        <v>30441.565268000002</v>
      </c>
      <c r="P62" s="431">
        <f>+$O62*(1+'Unit tariffs'!$F$2)</f>
        <v>31720.111009256005</v>
      </c>
    </row>
    <row r="63" spans="1:16" ht="39.75">
      <c r="A63" s="281"/>
      <c r="B63" s="233" t="str">
        <f>+'Calc Sheet 20_21'!B847</f>
        <v>    4.5.2 Subdivision Peri Urban Area:  New Three Split pre-payment meter connection on the stand boundary, where 11kV overhead line needs to be exteded up to 350m at ADMD = 7,5KVA</v>
      </c>
      <c r="C63" s="234" t="s">
        <v>242</v>
      </c>
      <c r="D63" s="247" t="str">
        <f>+'Calc Sheet 20_21'!H850</f>
        <v>Actual estimated cost plus network contribution for 7.5kVA</v>
      </c>
      <c r="E63" s="539"/>
      <c r="F63" s="628" t="s">
        <v>262</v>
      </c>
      <c r="G63" s="394" t="str">
        <f>+'Calc Sheet 20_21'!I850</f>
        <v>Actual estimated cost plus network contribution for 7.5kVA</v>
      </c>
      <c r="H63" s="240"/>
      <c r="I63" s="241"/>
      <c r="J63" s="583"/>
      <c r="K63" s="283"/>
      <c r="M63" s="431"/>
      <c r="N63" s="431"/>
      <c r="O63" s="431"/>
      <c r="P63" s="431"/>
    </row>
    <row r="64" spans="1:16" ht="15" thickBot="1">
      <c r="A64" s="378"/>
      <c r="B64" s="290"/>
      <c r="C64" s="291"/>
      <c r="D64" s="293"/>
      <c r="E64" s="540"/>
      <c r="F64" s="629"/>
      <c r="G64" s="296"/>
      <c r="H64" s="294"/>
      <c r="I64" s="295"/>
      <c r="J64" s="585"/>
      <c r="K64" s="386"/>
      <c r="M64" s="431"/>
      <c r="N64" s="435"/>
      <c r="O64" s="435"/>
      <c r="P64" s="435"/>
    </row>
    <row r="65" spans="1:16" ht="15.75" thickBot="1">
      <c r="A65" s="273"/>
      <c r="B65" s="274" t="str">
        <f>B1</f>
        <v>CENTLEC : ELECTRICITY SERVICES COSTS FOR MOHOKARE MUNIC</v>
      </c>
      <c r="C65" s="275"/>
      <c r="D65" s="276"/>
      <c r="E65" s="550"/>
      <c r="F65" s="622"/>
      <c r="G65" s="279"/>
      <c r="H65" s="277"/>
      <c r="I65" s="278"/>
      <c r="J65" s="580"/>
      <c r="K65" s="280"/>
      <c r="M65" s="435"/>
      <c r="N65" s="421"/>
      <c r="O65" s="421"/>
      <c r="P65" s="421"/>
    </row>
    <row r="66" spans="1:16" ht="14.25">
      <c r="A66" s="298"/>
      <c r="B66" s="299" t="s">
        <v>1</v>
      </c>
      <c r="C66" s="300"/>
      <c r="D66" s="335" t="s">
        <v>74</v>
      </c>
      <c r="E66" s="546"/>
      <c r="F66" s="635" t="s">
        <v>74</v>
      </c>
      <c r="G66" s="320" t="s">
        <v>74</v>
      </c>
      <c r="H66" s="336" t="s">
        <v>85</v>
      </c>
      <c r="I66" s="55" t="s">
        <v>470</v>
      </c>
      <c r="J66" s="320" t="s">
        <v>138</v>
      </c>
      <c r="K66" s="337" t="s">
        <v>75</v>
      </c>
      <c r="M66" s="697" t="s">
        <v>138</v>
      </c>
      <c r="N66" s="697" t="s">
        <v>138</v>
      </c>
      <c r="O66" s="697" t="s">
        <v>138</v>
      </c>
      <c r="P66" s="697" t="s">
        <v>138</v>
      </c>
    </row>
    <row r="67" spans="1:16" ht="14.25">
      <c r="A67" s="281"/>
      <c r="B67" s="319" t="s">
        <v>333</v>
      </c>
      <c r="C67" s="238"/>
      <c r="D67" s="340" t="s">
        <v>77</v>
      </c>
      <c r="E67" s="532"/>
      <c r="F67" s="623" t="s">
        <v>77</v>
      </c>
      <c r="G67" s="236" t="s">
        <v>77</v>
      </c>
      <c r="H67" s="339" t="s">
        <v>86</v>
      </c>
      <c r="I67" s="665">
        <f>+'Unit tariffs'!F$3</f>
        <v>0.15</v>
      </c>
      <c r="J67" s="236" t="s">
        <v>139</v>
      </c>
      <c r="K67" s="337" t="s">
        <v>78</v>
      </c>
      <c r="M67" s="692" t="s">
        <v>139</v>
      </c>
      <c r="N67" s="692" t="s">
        <v>139</v>
      </c>
      <c r="O67" s="692" t="s">
        <v>139</v>
      </c>
      <c r="P67" s="692" t="s">
        <v>139</v>
      </c>
    </row>
    <row r="68" spans="1:16" ht="14.25">
      <c r="A68" s="281"/>
      <c r="B68" s="239" t="s">
        <v>1</v>
      </c>
      <c r="C68" s="238"/>
      <c r="D68" s="340" t="str">
        <f>D$4</f>
        <v>2016/2017</v>
      </c>
      <c r="E68" s="532"/>
      <c r="F68" s="690" t="str">
        <f>'Calc Sheet 20_21'!$H$11</f>
        <v>2020/2021</v>
      </c>
      <c r="G68" s="236" t="str">
        <f>'Calc Sheet 20_21'!$I$11</f>
        <v>2021/2022</v>
      </c>
      <c r="H68" s="339" t="str">
        <f>G68</f>
        <v>2021/2022</v>
      </c>
      <c r="I68" s="55" t="str">
        <f>G68</f>
        <v>2021/2022</v>
      </c>
      <c r="J68" s="236" t="str">
        <f>I68</f>
        <v>2021/2022</v>
      </c>
      <c r="K68" s="337" t="s">
        <v>79</v>
      </c>
      <c r="M68" s="692" t="s">
        <v>481</v>
      </c>
      <c r="N68" s="692" t="s">
        <v>630</v>
      </c>
      <c r="O68" s="692" t="s">
        <v>631</v>
      </c>
      <c r="P68" s="692" t="s">
        <v>632</v>
      </c>
    </row>
    <row r="69" spans="1:16" ht="14.25">
      <c r="A69" s="281"/>
      <c r="B69" s="239" t="s">
        <v>1</v>
      </c>
      <c r="C69" s="238"/>
      <c r="D69" s="340" t="s">
        <v>80</v>
      </c>
      <c r="E69" s="532"/>
      <c r="F69" s="623" t="s">
        <v>80</v>
      </c>
      <c r="G69" s="236" t="s">
        <v>80</v>
      </c>
      <c r="H69" s="339"/>
      <c r="I69" s="55"/>
      <c r="J69" s="236"/>
      <c r="K69" s="337"/>
      <c r="N69" s="423"/>
      <c r="O69" s="423"/>
      <c r="P69" s="423"/>
    </row>
    <row r="70" spans="1:16" ht="19.5" customHeight="1">
      <c r="A70" s="281"/>
      <c r="B70" s="239" t="str">
        <f>'Calc Sheet 20_21'!B853</f>
        <v>5.  ILLUMINATING SIGNS</v>
      </c>
      <c r="C70" s="238"/>
      <c r="D70" s="230"/>
      <c r="E70" s="536"/>
      <c r="F70" s="626"/>
      <c r="G70" s="232"/>
      <c r="H70" s="231"/>
      <c r="I70" s="228"/>
      <c r="J70" s="582"/>
      <c r="K70" s="282"/>
      <c r="M70" s="423"/>
      <c r="N70" s="429"/>
      <c r="O70" s="429"/>
      <c r="P70" s="429"/>
    </row>
    <row r="71" spans="1:16" ht="14.25">
      <c r="A71" s="281"/>
      <c r="B71" s="233" t="s">
        <v>1</v>
      </c>
      <c r="C71" s="234"/>
      <c r="D71" s="230"/>
      <c r="E71" s="536"/>
      <c r="F71" s="626"/>
      <c r="G71" s="232"/>
      <c r="H71" s="231"/>
      <c r="I71" s="228"/>
      <c r="J71" s="582"/>
      <c r="K71" s="282" t="s">
        <v>1</v>
      </c>
      <c r="M71" s="429"/>
      <c r="N71" s="429"/>
      <c r="O71" s="429"/>
      <c r="P71" s="429"/>
    </row>
    <row r="72" spans="1:16" ht="14.25">
      <c r="A72" s="281"/>
      <c r="B72" s="233" t="s">
        <v>100</v>
      </c>
      <c r="C72" s="234"/>
      <c r="D72" s="230" t="s">
        <v>205</v>
      </c>
      <c r="E72" s="536"/>
      <c r="F72" s="626" t="s">
        <v>205</v>
      </c>
      <c r="G72" s="232" t="s">
        <v>205</v>
      </c>
      <c r="H72" s="231"/>
      <c r="I72" s="228"/>
      <c r="J72" s="582"/>
      <c r="K72" s="283">
        <v>9100033030416</v>
      </c>
      <c r="M72" s="429"/>
      <c r="N72" s="429"/>
      <c r="O72" s="429"/>
      <c r="P72" s="429"/>
    </row>
    <row r="73" spans="1:16" ht="14.25">
      <c r="A73" s="281"/>
      <c r="B73" s="233" t="s">
        <v>1</v>
      </c>
      <c r="C73" s="234"/>
      <c r="D73" s="230"/>
      <c r="E73" s="536"/>
      <c r="F73" s="626"/>
      <c r="G73" s="232"/>
      <c r="H73" s="231"/>
      <c r="I73" s="228"/>
      <c r="J73" s="582"/>
      <c r="K73" s="287"/>
      <c r="M73" s="429"/>
      <c r="N73" s="429"/>
      <c r="O73" s="429"/>
      <c r="P73" s="429"/>
    </row>
    <row r="74" spans="1:16" ht="14.25">
      <c r="A74" s="281"/>
      <c r="B74" s="233" t="str">
        <f>'Calc Sheet 20_21'!B857</f>
        <v>Levy for electricity consumed</v>
      </c>
      <c r="C74" s="234"/>
      <c r="D74" s="213">
        <f>'Calc Sheet 20_21'!H864</f>
        <v>103</v>
      </c>
      <c r="E74" s="537"/>
      <c r="F74" s="627">
        <f>+'Calc Sheet 20_21'!H864</f>
        <v>103</v>
      </c>
      <c r="G74" s="393">
        <f>'Calc Sheet 20_21'!I864</f>
        <v>111</v>
      </c>
      <c r="H74" s="240">
        <f>(G74-F74)/F74</f>
        <v>0.07766990291262135</v>
      </c>
      <c r="I74" s="241">
        <f>G74*I$3</f>
        <v>16.65</v>
      </c>
      <c r="J74" s="583">
        <f>G74+I74</f>
        <v>127.65</v>
      </c>
      <c r="K74" s="283">
        <v>9100033030416</v>
      </c>
      <c r="M74" s="786">
        <f>J74</f>
        <v>127.65</v>
      </c>
      <c r="N74" s="431">
        <f>+$M74*(1+'Unit tariffs'!$F$2)</f>
        <v>133.0113</v>
      </c>
      <c r="O74" s="431">
        <f>+$N74*(1+'Unit tariffs'!$F$2)</f>
        <v>138.5977746</v>
      </c>
      <c r="P74" s="431">
        <f>+$O74*(1+'Unit tariffs'!$F$2)</f>
        <v>144.41888113320002</v>
      </c>
    </row>
    <row r="75" spans="1:16" ht="14.25">
      <c r="A75" s="281"/>
      <c r="B75" s="233" t="s">
        <v>1</v>
      </c>
      <c r="C75" s="234"/>
      <c r="D75" s="213"/>
      <c r="E75" s="537"/>
      <c r="F75" s="627"/>
      <c r="G75" s="393"/>
      <c r="H75" s="254"/>
      <c r="I75" s="242"/>
      <c r="J75" s="236"/>
      <c r="K75" s="287"/>
      <c r="M75" s="431"/>
      <c r="N75" s="423"/>
      <c r="O75" s="423"/>
      <c r="P75" s="423"/>
    </row>
    <row r="76" spans="1:16" ht="14.25">
      <c r="A76" s="281"/>
      <c r="B76" s="233"/>
      <c r="C76" s="234"/>
      <c r="D76" s="230"/>
      <c r="E76" s="536"/>
      <c r="F76" s="626"/>
      <c r="G76" s="232"/>
      <c r="H76" s="231"/>
      <c r="I76" s="228"/>
      <c r="J76" s="582"/>
      <c r="K76" s="282"/>
      <c r="M76" s="423"/>
      <c r="N76" s="429"/>
      <c r="O76" s="429"/>
      <c r="P76" s="429"/>
    </row>
    <row r="77" spans="1:16" ht="16.5" customHeight="1">
      <c r="A77" s="298"/>
      <c r="B77" s="299" t="str">
        <f>'Calc Sheet 20_21'!B872</f>
        <v>6. TEMPORARY CONNECTIONS - MAXIMUM PERIOD OF 12 MONTHS </v>
      </c>
      <c r="C77" s="300"/>
      <c r="D77" s="301" t="s">
        <v>1</v>
      </c>
      <c r="E77" s="541"/>
      <c r="F77" s="630" t="s">
        <v>1</v>
      </c>
      <c r="G77" s="396" t="s">
        <v>1</v>
      </c>
      <c r="H77" s="302"/>
      <c r="I77" s="303"/>
      <c r="J77" s="581"/>
      <c r="K77" s="322" t="s">
        <v>1</v>
      </c>
      <c r="M77" s="427"/>
      <c r="N77" s="427"/>
      <c r="O77" s="427"/>
      <c r="P77" s="427"/>
    </row>
    <row r="78" spans="1:16" ht="14.25">
      <c r="A78" s="281"/>
      <c r="B78" s="233"/>
      <c r="C78" s="234"/>
      <c r="D78" s="213" t="s">
        <v>81</v>
      </c>
      <c r="E78" s="537"/>
      <c r="F78" s="627" t="s">
        <v>81</v>
      </c>
      <c r="G78" s="393" t="s">
        <v>81</v>
      </c>
      <c r="H78" s="231"/>
      <c r="I78" s="228"/>
      <c r="J78" s="582"/>
      <c r="K78" s="282"/>
      <c r="M78" s="429"/>
      <c r="N78" s="429"/>
      <c r="O78" s="429"/>
      <c r="P78" s="429"/>
    </row>
    <row r="79" spans="1:16" ht="14.25">
      <c r="A79" s="281"/>
      <c r="B79" s="233" t="s">
        <v>82</v>
      </c>
      <c r="C79" s="234"/>
      <c r="D79" s="213"/>
      <c r="E79" s="537"/>
      <c r="F79" s="627"/>
      <c r="G79" s="393"/>
      <c r="H79" s="231"/>
      <c r="I79" s="228"/>
      <c r="J79" s="582"/>
      <c r="K79" s="282"/>
      <c r="M79" s="429"/>
      <c r="N79" s="429"/>
      <c r="O79" s="429"/>
      <c r="P79" s="429"/>
    </row>
    <row r="80" spans="1:16" ht="14.25">
      <c r="A80" s="281"/>
      <c r="B80" s="233" t="s">
        <v>83</v>
      </c>
      <c r="C80" s="234"/>
      <c r="D80" s="213"/>
      <c r="E80" s="537"/>
      <c r="F80" s="627"/>
      <c r="G80" s="393"/>
      <c r="H80" s="231"/>
      <c r="I80" s="228"/>
      <c r="J80" s="582"/>
      <c r="K80" s="282"/>
      <c r="M80" s="429"/>
      <c r="N80" s="429"/>
      <c r="O80" s="429"/>
      <c r="P80" s="429"/>
    </row>
    <row r="81" spans="1:16" ht="14.25">
      <c r="A81" s="281"/>
      <c r="B81" s="233" t="s">
        <v>84</v>
      </c>
      <c r="C81" s="234"/>
      <c r="D81" s="213"/>
      <c r="E81" s="537"/>
      <c r="F81" s="627"/>
      <c r="G81" s="393"/>
      <c r="H81" s="231"/>
      <c r="I81" s="228"/>
      <c r="J81" s="582"/>
      <c r="K81" s="282" t="s">
        <v>1</v>
      </c>
      <c r="M81" s="429"/>
      <c r="N81" s="429"/>
      <c r="O81" s="429"/>
      <c r="P81" s="429"/>
    </row>
    <row r="82" spans="1:16" ht="14.25">
      <c r="A82" s="281"/>
      <c r="B82" s="233"/>
      <c r="C82" s="234"/>
      <c r="D82" s="213"/>
      <c r="E82" s="537"/>
      <c r="F82" s="627"/>
      <c r="G82" s="393"/>
      <c r="H82" s="231"/>
      <c r="I82" s="228"/>
      <c r="J82" s="582"/>
      <c r="K82" s="282"/>
      <c r="M82" s="429"/>
      <c r="N82" s="429"/>
      <c r="O82" s="429"/>
      <c r="P82" s="429"/>
    </row>
    <row r="83" spans="1:16" ht="39.75">
      <c r="A83" s="281"/>
      <c r="B83" s="233" t="str">
        <f>'Calc Sheet 20_21'!B874</f>
        <v>6.1 Temporary builders underground connection - Three phase 80 Ampère Prepaid meter only.  Please note: These connections would only be permitted  for a maximum period of 12 months after which it will be removed by CENTLEC. (Where a trench is not longer than 12m)</v>
      </c>
      <c r="C83" s="234"/>
      <c r="D83" s="213">
        <f>'Calc Sheet 20_21'!H910</f>
        <v>19730</v>
      </c>
      <c r="E83" s="537">
        <v>25880</v>
      </c>
      <c r="F83" s="627">
        <f>+'Calc Sheet 20_21'!H910</f>
        <v>19730</v>
      </c>
      <c r="G83" s="393">
        <f>'Calc Sheet 20_21'!I910</f>
        <v>27260</v>
      </c>
      <c r="H83" s="240">
        <f>(G83-F83)/F83</f>
        <v>0.3816523061327927</v>
      </c>
      <c r="I83" s="241">
        <f>G83*I$3</f>
        <v>4089</v>
      </c>
      <c r="J83" s="583">
        <f>G83+I83</f>
        <v>31349</v>
      </c>
      <c r="K83" s="283">
        <v>9100033030416</v>
      </c>
      <c r="M83" s="431">
        <f>J83+L83</f>
        <v>31349</v>
      </c>
      <c r="N83" s="431">
        <f>+$M83*(1+'Unit tariffs'!$F$2)</f>
        <v>32665.658</v>
      </c>
      <c r="O83" s="431">
        <f>+$N83*(1+'Unit tariffs'!$F$2)</f>
        <v>34037.615636</v>
      </c>
      <c r="P83" s="431">
        <f>+$O83*(1+'Unit tariffs'!$F$2)</f>
        <v>35467.195492712</v>
      </c>
    </row>
    <row r="84" spans="1:16" ht="12.75" customHeight="1">
      <c r="A84" s="281"/>
      <c r="B84" s="233"/>
      <c r="C84" s="234"/>
      <c r="D84" s="213"/>
      <c r="E84" s="537"/>
      <c r="F84" s="627"/>
      <c r="G84" s="393"/>
      <c r="H84" s="240"/>
      <c r="I84" s="241"/>
      <c r="J84" s="583"/>
      <c r="K84" s="283"/>
      <c r="M84" s="431"/>
      <c r="N84" s="431"/>
      <c r="O84" s="431"/>
      <c r="P84" s="431"/>
    </row>
    <row r="85" spans="1:16" ht="44.25" customHeight="1">
      <c r="A85" s="281"/>
      <c r="B85" s="233" t="s">
        <v>334</v>
      </c>
      <c r="C85" s="234"/>
      <c r="D85" s="255"/>
      <c r="E85" s="538"/>
      <c r="F85" s="638"/>
      <c r="G85" s="399"/>
      <c r="H85" s="240"/>
      <c r="I85" s="241"/>
      <c r="J85" s="583"/>
      <c r="K85" s="283"/>
      <c r="M85" s="431"/>
      <c r="N85" s="431"/>
      <c r="O85" s="431"/>
      <c r="P85" s="431"/>
    </row>
    <row r="86" spans="1:16" ht="6.75" customHeight="1">
      <c r="A86" s="281"/>
      <c r="B86" s="233"/>
      <c r="C86" s="234"/>
      <c r="D86" s="255"/>
      <c r="E86" s="538"/>
      <c r="F86" s="638"/>
      <c r="G86" s="399"/>
      <c r="H86" s="240"/>
      <c r="I86" s="241"/>
      <c r="J86" s="583"/>
      <c r="K86" s="283"/>
      <c r="M86" s="431"/>
      <c r="N86" s="431"/>
      <c r="O86" s="431"/>
      <c r="P86" s="431"/>
    </row>
    <row r="87" spans="1:16" ht="39.75">
      <c r="A87" s="281"/>
      <c r="B87" s="233" t="str">
        <f>+'Calc Sheet 20_21'!B915:G915</f>
        <v>6.2.1 Temporary connection for a special event - Single phase 80Ampère P/P with over head Airdac - Church Crusades, Social, Cultural and community events, temporary creches, police stations, etc.</v>
      </c>
      <c r="C87" s="234"/>
      <c r="D87" s="252">
        <f>+'Calc Sheet 20_21'!H946</f>
        <v>9070</v>
      </c>
      <c r="E87" s="549">
        <v>8260</v>
      </c>
      <c r="F87" s="637">
        <f>+'Calc Sheet 20_21'!H946</f>
        <v>9070</v>
      </c>
      <c r="G87" s="398">
        <f>+'Calc Sheet 20_21'!I946</f>
        <v>11690</v>
      </c>
      <c r="H87" s="240">
        <f>(G87-F87)/F87</f>
        <v>0.288864388092613</v>
      </c>
      <c r="I87" s="241">
        <f>G87*I$3</f>
        <v>1753.5</v>
      </c>
      <c r="J87" s="583">
        <f>G87+I87</f>
        <v>13443.5</v>
      </c>
      <c r="K87" s="283">
        <v>9100033030416</v>
      </c>
      <c r="M87" s="431">
        <f>J87+L87</f>
        <v>13443.5</v>
      </c>
      <c r="N87" s="431">
        <f>+$M87*(1+'Unit tariffs'!$F$2)</f>
        <v>14008.127</v>
      </c>
      <c r="O87" s="431">
        <f>+$N87*(1+'Unit tariffs'!$F$2)</f>
        <v>14596.468334000001</v>
      </c>
      <c r="P87" s="431">
        <f>+$O87*(1+'Unit tariffs'!$F$2)</f>
        <v>15209.520004028001</v>
      </c>
    </row>
    <row r="88" spans="1:16" ht="39.75">
      <c r="A88" s="281"/>
      <c r="B88" s="233" t="str">
        <f>+'Calc Sheet 20_21'!B949:G949</f>
        <v>6.2.2 Temporary connection for a special event - Three phase 80Ampère P/P- Church Crusades, Social, Cultural and community events, temporary creches, police stations, Car wash ect (where a trench is not longer than 12m)</v>
      </c>
      <c r="C88" s="234"/>
      <c r="D88" s="252">
        <f>+'Calc Sheet 20_21'!H947</f>
        <v>0.03775743707093822</v>
      </c>
      <c r="E88" s="549">
        <v>25880</v>
      </c>
      <c r="F88" s="637">
        <f>+'Calc Sheet 20_21'!H984</f>
        <v>36090</v>
      </c>
      <c r="G88" s="398">
        <f>+'Calc Sheet 20_21'!I984</f>
        <v>38230</v>
      </c>
      <c r="H88" s="240">
        <f>(G88-F88)/F88</f>
        <v>0.059296203934607924</v>
      </c>
      <c r="I88" s="241">
        <f>G88*I$3</f>
        <v>5734.5</v>
      </c>
      <c r="J88" s="583">
        <f>G88+I88</f>
        <v>43964.5</v>
      </c>
      <c r="K88" s="283">
        <v>9100033030416</v>
      </c>
      <c r="M88" s="431">
        <f>J88+L88</f>
        <v>43964.5</v>
      </c>
      <c r="N88" s="431">
        <f>+$M88*(1+'Unit tariffs'!$F$2)</f>
        <v>45811.009</v>
      </c>
      <c r="O88" s="431">
        <f>+$N88*(1+'Unit tariffs'!$F$2)</f>
        <v>47735.071378</v>
      </c>
      <c r="P88" s="431">
        <f>+$O88*(1+'Unit tariffs'!$F$2)</f>
        <v>49739.944375876</v>
      </c>
    </row>
    <row r="89" spans="1:16" ht="43.5" customHeight="1">
      <c r="A89" s="350"/>
      <c r="B89" s="351" t="str">
        <f>+'Calc Sheet 20_21'!B987:G987</f>
        <v>6.2.3 Temporary connection for a special event - Three phase 80Ampère P/P- Car wash etc (Subsidised sites)</v>
      </c>
      <c r="C89" s="352"/>
      <c r="D89" s="252">
        <f>+'Calc Sheet 20_21'!H948</f>
        <v>0</v>
      </c>
      <c r="E89" s="551">
        <v>20525</v>
      </c>
      <c r="F89" s="639">
        <f>+'Calc Sheet 20_21'!H1022</f>
        <v>13620</v>
      </c>
      <c r="G89" s="529">
        <f>+'Calc Sheet 20_21'!I1022</f>
        <v>37560</v>
      </c>
      <c r="H89" s="240">
        <f>(G89-F89)/F89</f>
        <v>1.7577092511013215</v>
      </c>
      <c r="I89" s="241">
        <f>G89*I$3</f>
        <v>5634</v>
      </c>
      <c r="J89" s="583">
        <f>G89+I89</f>
        <v>43194</v>
      </c>
      <c r="K89" s="353">
        <v>9100033030416</v>
      </c>
      <c r="M89" s="431">
        <f>J89+L89</f>
        <v>43194</v>
      </c>
      <c r="N89" s="431">
        <f>+$M89*(1+'Unit tariffs'!$F$2)</f>
        <v>45008.148</v>
      </c>
      <c r="O89" s="431">
        <f>+$N89*(1+'Unit tariffs'!$F$2)</f>
        <v>46898.490216000006</v>
      </c>
      <c r="P89" s="431">
        <f>+$O89*(1+'Unit tariffs'!$F$2)</f>
        <v>48868.22680507201</v>
      </c>
    </row>
    <row r="90" spans="1:16" ht="15" thickBot="1">
      <c r="A90" s="378"/>
      <c r="B90" s="387"/>
      <c r="C90" s="291"/>
      <c r="D90" s="293"/>
      <c r="E90" s="540"/>
      <c r="F90" s="629"/>
      <c r="G90" s="296"/>
      <c r="H90" s="294"/>
      <c r="I90" s="295"/>
      <c r="J90" s="585"/>
      <c r="K90" s="297"/>
      <c r="M90" s="435"/>
      <c r="N90" s="435"/>
      <c r="O90" s="435"/>
      <c r="P90" s="435"/>
    </row>
    <row r="91" spans="1:16" ht="16.5" customHeight="1">
      <c r="A91" s="273"/>
      <c r="B91" s="274" t="str">
        <f>$B1</f>
        <v>CENTLEC : ELECTRICITY SERVICES COSTS FOR MOHOKARE MUNIC</v>
      </c>
      <c r="C91" s="275"/>
      <c r="D91" s="276"/>
      <c r="E91" s="550"/>
      <c r="F91" s="622"/>
      <c r="G91" s="279"/>
      <c r="H91" s="277"/>
      <c r="I91" s="278"/>
      <c r="J91" s="580"/>
      <c r="K91" s="280"/>
      <c r="M91" s="421"/>
      <c r="N91" s="421"/>
      <c r="O91" s="421"/>
      <c r="P91" s="421"/>
    </row>
    <row r="92" spans="1:16" ht="14.25">
      <c r="A92" s="281"/>
      <c r="B92" s="239" t="s">
        <v>1</v>
      </c>
      <c r="C92" s="238"/>
      <c r="D92" s="340" t="s">
        <v>74</v>
      </c>
      <c r="E92" s="532"/>
      <c r="F92" s="623" t="s">
        <v>74</v>
      </c>
      <c r="G92" s="236" t="s">
        <v>74</v>
      </c>
      <c r="H92" s="339" t="s">
        <v>85</v>
      </c>
      <c r="I92" s="55" t="s">
        <v>470</v>
      </c>
      <c r="J92" s="236" t="s">
        <v>138</v>
      </c>
      <c r="K92" s="337" t="s">
        <v>75</v>
      </c>
      <c r="M92" s="692" t="s">
        <v>138</v>
      </c>
      <c r="N92" s="692" t="s">
        <v>138</v>
      </c>
      <c r="O92" s="692" t="s">
        <v>138</v>
      </c>
      <c r="P92" s="692" t="s">
        <v>138</v>
      </c>
    </row>
    <row r="93" spans="1:16" ht="14.25">
      <c r="A93" s="281"/>
      <c r="B93" s="237" t="s">
        <v>76</v>
      </c>
      <c r="C93" s="238"/>
      <c r="D93" s="340" t="s">
        <v>77</v>
      </c>
      <c r="E93" s="532"/>
      <c r="F93" s="623" t="s">
        <v>77</v>
      </c>
      <c r="G93" s="236" t="s">
        <v>77</v>
      </c>
      <c r="H93" s="339" t="s">
        <v>86</v>
      </c>
      <c r="I93" s="665">
        <f>+'Unit tariffs'!F$3</f>
        <v>0.15</v>
      </c>
      <c r="J93" s="236" t="s">
        <v>139</v>
      </c>
      <c r="K93" s="337" t="s">
        <v>78</v>
      </c>
      <c r="M93" s="692" t="s">
        <v>139</v>
      </c>
      <c r="N93" s="692" t="s">
        <v>139</v>
      </c>
      <c r="O93" s="692" t="s">
        <v>139</v>
      </c>
      <c r="P93" s="692" t="s">
        <v>139</v>
      </c>
    </row>
    <row r="94" spans="1:16" ht="14.25">
      <c r="A94" s="281"/>
      <c r="B94" s="239" t="s">
        <v>1</v>
      </c>
      <c r="C94" s="238"/>
      <c r="D94" s="340" t="str">
        <f>D$4</f>
        <v>2016/2017</v>
      </c>
      <c r="E94" s="532"/>
      <c r="F94" s="690" t="str">
        <f>'Calc Sheet 20_21'!$H$11</f>
        <v>2020/2021</v>
      </c>
      <c r="G94" s="236" t="str">
        <f>'Calc Sheet 20_21'!$I$11</f>
        <v>2021/2022</v>
      </c>
      <c r="H94" s="339" t="str">
        <f>G94</f>
        <v>2021/2022</v>
      </c>
      <c r="I94" s="55" t="str">
        <f>G94</f>
        <v>2021/2022</v>
      </c>
      <c r="J94" s="236" t="str">
        <f>I94</f>
        <v>2021/2022</v>
      </c>
      <c r="K94" s="337" t="s">
        <v>79</v>
      </c>
      <c r="M94" s="692" t="s">
        <v>481</v>
      </c>
      <c r="N94" s="692" t="s">
        <v>630</v>
      </c>
      <c r="O94" s="692" t="s">
        <v>631</v>
      </c>
      <c r="P94" s="692" t="s">
        <v>632</v>
      </c>
    </row>
    <row r="95" spans="1:16" ht="15" thickBot="1">
      <c r="A95" s="305"/>
      <c r="B95" s="306" t="s">
        <v>1</v>
      </c>
      <c r="C95" s="307"/>
      <c r="D95" s="343" t="s">
        <v>80</v>
      </c>
      <c r="E95" s="533"/>
      <c r="F95" s="624" t="s">
        <v>80</v>
      </c>
      <c r="G95" s="346" t="s">
        <v>80</v>
      </c>
      <c r="H95" s="344"/>
      <c r="I95" s="345"/>
      <c r="J95" s="346"/>
      <c r="K95" s="347"/>
      <c r="M95" s="425"/>
      <c r="N95" s="425"/>
      <c r="O95" s="425"/>
      <c r="P95" s="425"/>
    </row>
    <row r="96" spans="1:16" ht="15" thickTop="1">
      <c r="A96" s="298"/>
      <c r="B96" s="299" t="str">
        <f>'Calc Sheet 20_21'!B1027</f>
        <v>7. ALTERATIONS TO ELECTRICITY SERVICES</v>
      </c>
      <c r="C96" s="300"/>
      <c r="D96" s="301" t="s">
        <v>1</v>
      </c>
      <c r="E96" s="541"/>
      <c r="F96" s="630" t="s">
        <v>1</v>
      </c>
      <c r="G96" s="396" t="s">
        <v>1</v>
      </c>
      <c r="H96" s="302" t="s">
        <v>1</v>
      </c>
      <c r="I96" s="303"/>
      <c r="J96" s="581"/>
      <c r="K96" s="322"/>
      <c r="L96" s="46"/>
      <c r="M96" s="427"/>
      <c r="N96" s="427"/>
      <c r="O96" s="427"/>
      <c r="P96" s="427"/>
    </row>
    <row r="97" spans="1:16" ht="14.25">
      <c r="A97" s="281"/>
      <c r="B97" s="233" t="s">
        <v>1</v>
      </c>
      <c r="C97" s="234"/>
      <c r="D97" s="213"/>
      <c r="E97" s="537"/>
      <c r="F97" s="627"/>
      <c r="G97" s="393"/>
      <c r="H97" s="231" t="s">
        <v>1</v>
      </c>
      <c r="I97" s="228"/>
      <c r="J97" s="582"/>
      <c r="K97" s="282"/>
      <c r="L97" s="46"/>
      <c r="M97" s="429"/>
      <c r="N97" s="429"/>
      <c r="O97" s="429"/>
      <c r="P97" s="429"/>
    </row>
    <row r="98" spans="1:16" ht="27">
      <c r="A98" s="281"/>
      <c r="B98" s="233" t="str">
        <f>'Calc Sheet 20_21'!B1029</f>
        <v>7.1.1 Conversion of a single register meter to Single phase Pre-payment where meterbox exist on erf boundary - ( No charge for Prepayment  meter)</v>
      </c>
      <c r="C98" s="234"/>
      <c r="D98" s="213">
        <f>'Calc Sheet 20_21'!H1051</f>
        <v>1610</v>
      </c>
      <c r="E98" s="537">
        <v>1410</v>
      </c>
      <c r="F98" s="627">
        <f>'Calc Sheet 20_21'!H1051</f>
        <v>1610</v>
      </c>
      <c r="G98" s="393">
        <f>'Calc Sheet 20_21'!I1051</f>
        <v>1990</v>
      </c>
      <c r="H98" s="240">
        <f aca="true" t="shared" si="0" ref="H98:H105">(G98-F98)/F98</f>
        <v>0.2360248447204969</v>
      </c>
      <c r="I98" s="241">
        <f aca="true" t="shared" si="1" ref="I98:I109">G98*I$3</f>
        <v>298.5</v>
      </c>
      <c r="J98" s="583">
        <f aca="true" t="shared" si="2" ref="J98:J109">G98+I98</f>
        <v>2288.5</v>
      </c>
      <c r="K98" s="283">
        <v>9100033030416</v>
      </c>
      <c r="L98" s="46"/>
      <c r="M98" s="431">
        <f aca="true" t="shared" si="3" ref="M98:M109">J98+L98</f>
        <v>2288.5</v>
      </c>
      <c r="N98" s="431">
        <f>+$M98*(1+'Unit tariffs'!$F$2)</f>
        <v>2384.617</v>
      </c>
      <c r="O98" s="431">
        <f>+$N98*(1+'Unit tariffs'!$F$2)</f>
        <v>2484.770914</v>
      </c>
      <c r="P98" s="431">
        <f>+$O98*(1+'Unit tariffs'!$F$2)</f>
        <v>2589.1312923880005</v>
      </c>
    </row>
    <row r="99" spans="1:16" ht="27">
      <c r="A99" s="281"/>
      <c r="B99" s="233" t="str">
        <f>'Calc Sheet 20_21'!B1058</f>
        <v>7.1.2 Conversion of Three phase (TOU/kWH) connection to Prepayment meter - Existing meterbox on erf boundary</v>
      </c>
      <c r="C99" s="234" t="s">
        <v>296</v>
      </c>
      <c r="D99" s="213">
        <f>'Calc Sheet 20_21'!H1081</f>
        <v>9900</v>
      </c>
      <c r="E99" s="537">
        <v>9390</v>
      </c>
      <c r="F99" s="627">
        <f>'Calc Sheet 20_21'!H1081</f>
        <v>9900</v>
      </c>
      <c r="G99" s="393">
        <f>'Calc Sheet 20_21'!I1081</f>
        <v>1760</v>
      </c>
      <c r="H99" s="240">
        <f t="shared" si="0"/>
        <v>-0.8222222222222222</v>
      </c>
      <c r="I99" s="241">
        <f t="shared" si="1"/>
        <v>264</v>
      </c>
      <c r="J99" s="583">
        <f t="shared" si="2"/>
        <v>2024</v>
      </c>
      <c r="K99" s="283">
        <v>9100033030416</v>
      </c>
      <c r="L99" s="46"/>
      <c r="M99" s="431">
        <f t="shared" si="3"/>
        <v>2024</v>
      </c>
      <c r="N99" s="431">
        <f>+$M99*(1+'Unit tariffs'!$F$2)</f>
        <v>2109.0080000000003</v>
      </c>
      <c r="O99" s="431">
        <f>+$N99*(1+'Unit tariffs'!$F$2)</f>
        <v>2197.5863360000003</v>
      </c>
      <c r="P99" s="431">
        <f>+$O99*(1+'Unit tariffs'!$F$2)</f>
        <v>2289.8849621120003</v>
      </c>
    </row>
    <row r="100" spans="1:16" ht="14.25">
      <c r="A100" s="281"/>
      <c r="B100" s="233" t="str">
        <f>'Calc Sheet 20_21'!B1087</f>
        <v>7.1.3 Upgrade of single phase Urban connection to three phase - Time of Use Meter(TOU)            </v>
      </c>
      <c r="C100" s="234" t="s">
        <v>296</v>
      </c>
      <c r="D100" s="213">
        <f>'Calc Sheet 20_21'!H1119</f>
        <v>19520</v>
      </c>
      <c r="E100" s="537">
        <v>18190</v>
      </c>
      <c r="F100" s="627">
        <f>'Calc Sheet 20_21'!H1119</f>
        <v>19520</v>
      </c>
      <c r="G100" s="393">
        <f>'Calc Sheet 20_21'!I1119</f>
        <v>20140</v>
      </c>
      <c r="H100" s="240">
        <f t="shared" si="0"/>
        <v>0.031762295081967214</v>
      </c>
      <c r="I100" s="241">
        <f t="shared" si="1"/>
        <v>3021</v>
      </c>
      <c r="J100" s="583">
        <f t="shared" si="2"/>
        <v>23161</v>
      </c>
      <c r="K100" s="283">
        <v>9100033030416</v>
      </c>
      <c r="L100" s="46"/>
      <c r="M100" s="431">
        <f t="shared" si="3"/>
        <v>23161</v>
      </c>
      <c r="N100" s="431">
        <f>+$M100*(1+'Unit tariffs'!$F$2)</f>
        <v>24133.762000000002</v>
      </c>
      <c r="O100" s="431">
        <f>+$N100*(1+'Unit tariffs'!$F$2)</f>
        <v>25147.380004000002</v>
      </c>
      <c r="P100" s="431">
        <f>+$O100*(1+'Unit tariffs'!$F$2)</f>
        <v>26203.569964168004</v>
      </c>
    </row>
    <row r="101" spans="1:16" ht="14.25">
      <c r="A101" s="281"/>
      <c r="B101" s="233" t="str">
        <f>'Calc Sheet 20_21'!B1124</f>
        <v>7.1.4 Upgrade of single phase Urban connection to three phase - Split pre-payment meter             </v>
      </c>
      <c r="C101" s="234" t="s">
        <v>296</v>
      </c>
      <c r="D101" s="213">
        <f>'Calc Sheet 20_21'!H1155</f>
        <v>12020</v>
      </c>
      <c r="E101" s="537">
        <v>10960</v>
      </c>
      <c r="F101" s="627">
        <f>'Calc Sheet 20_21'!H1155</f>
        <v>12020</v>
      </c>
      <c r="G101" s="393">
        <f>'Calc Sheet 20_21'!I1155</f>
        <v>12760</v>
      </c>
      <c r="H101" s="240">
        <f t="shared" si="0"/>
        <v>0.06156405990016639</v>
      </c>
      <c r="I101" s="241">
        <f t="shared" si="1"/>
        <v>1914</v>
      </c>
      <c r="J101" s="583">
        <f t="shared" si="2"/>
        <v>14674</v>
      </c>
      <c r="K101" s="283">
        <v>9100033030416</v>
      </c>
      <c r="L101" s="46"/>
      <c r="M101" s="431">
        <f t="shared" si="3"/>
        <v>14674</v>
      </c>
      <c r="N101" s="431">
        <f>+$M101*(1+'Unit tariffs'!$F$2)</f>
        <v>15290.308</v>
      </c>
      <c r="O101" s="431">
        <f>+$N101*(1+'Unit tariffs'!$F$2)</f>
        <v>15932.500936000002</v>
      </c>
      <c r="P101" s="431">
        <f>+$O101*(1+'Unit tariffs'!$F$2)</f>
        <v>16601.665975312004</v>
      </c>
    </row>
    <row r="102" spans="1:16" ht="14.25">
      <c r="A102" s="281"/>
      <c r="B102" s="233" t="str">
        <f>'Calc Sheet 20_21'!B1161</f>
        <v>8.1.5 Upgrading of single phase Urban connection to three phase - Time of Use Meter(TOU)            </v>
      </c>
      <c r="C102" s="234" t="s">
        <v>296</v>
      </c>
      <c r="D102" s="213">
        <f>'Calc Sheet 20_21'!H1192</f>
        <v>16970</v>
      </c>
      <c r="E102" s="537">
        <v>15890</v>
      </c>
      <c r="F102" s="627">
        <f>'Calc Sheet 20_21'!H1192</f>
        <v>16970</v>
      </c>
      <c r="G102" s="393">
        <f>'Calc Sheet 20_21'!I1192</f>
        <v>17490</v>
      </c>
      <c r="H102" s="240">
        <f t="shared" si="0"/>
        <v>0.030642309958750738</v>
      </c>
      <c r="I102" s="241">
        <f t="shared" si="1"/>
        <v>2623.5</v>
      </c>
      <c r="J102" s="583">
        <f t="shared" si="2"/>
        <v>20113.5</v>
      </c>
      <c r="K102" s="283">
        <v>9100033030416</v>
      </c>
      <c r="L102" s="46"/>
      <c r="M102" s="431">
        <f t="shared" si="3"/>
        <v>20113.5</v>
      </c>
      <c r="N102" s="431">
        <f>+$M102*(1+'Unit tariffs'!$F$2)</f>
        <v>20958.267</v>
      </c>
      <c r="O102" s="431">
        <f>+$N102*(1+'Unit tariffs'!$F$2)</f>
        <v>21838.514214</v>
      </c>
      <c r="P102" s="431">
        <f>+$O102*(1+'Unit tariffs'!$F$2)</f>
        <v>22755.731810988</v>
      </c>
    </row>
    <row r="103" spans="1:16" ht="14.25">
      <c r="A103" s="281"/>
      <c r="B103" s="233" t="str">
        <f>'Calc Sheet 20_21'!B1196</f>
        <v>7.1.6 Upgrade of single phase Urban connection to three phase - Split pre-payment meter            </v>
      </c>
      <c r="C103" s="234" t="s">
        <v>296</v>
      </c>
      <c r="D103" s="213">
        <f>'Calc Sheet 20_21'!H1226</f>
        <v>15370</v>
      </c>
      <c r="E103" s="537">
        <v>14355</v>
      </c>
      <c r="F103" s="627">
        <f>'Calc Sheet 20_21'!H1226</f>
        <v>15370</v>
      </c>
      <c r="G103" s="393">
        <f>'Calc Sheet 20_21'!I1226</f>
        <v>15460</v>
      </c>
      <c r="H103" s="240">
        <f t="shared" si="0"/>
        <v>0.005855562784645413</v>
      </c>
      <c r="I103" s="241">
        <f t="shared" si="1"/>
        <v>2319</v>
      </c>
      <c r="J103" s="583">
        <f t="shared" si="2"/>
        <v>17779</v>
      </c>
      <c r="K103" s="283">
        <v>9100033030416</v>
      </c>
      <c r="M103" s="431">
        <f t="shared" si="3"/>
        <v>17779</v>
      </c>
      <c r="N103" s="431">
        <f>+$M103*(1+'Unit tariffs'!$F$2)</f>
        <v>18525.718</v>
      </c>
      <c r="O103" s="431">
        <f>+$N103*(1+'Unit tariffs'!$F$2)</f>
        <v>19303.798156</v>
      </c>
      <c r="P103" s="431">
        <f>+$O103*(1+'Unit tariffs'!$F$2)</f>
        <v>20114.557678552002</v>
      </c>
    </row>
    <row r="104" spans="1:16" ht="14.25">
      <c r="A104" s="281"/>
      <c r="B104" s="233" t="str">
        <f>'Calc Sheet 20_21'!B1231</f>
        <v>7.1.7 Upgrade of single phase Peri-Urban connection to three phase -Time of Use Meter(TOU)  </v>
      </c>
      <c r="C104" s="234" t="s">
        <v>298</v>
      </c>
      <c r="D104" s="213">
        <f>'Calc Sheet 20_21'!H1263</f>
        <v>22380</v>
      </c>
      <c r="E104" s="537">
        <v>20570</v>
      </c>
      <c r="F104" s="627">
        <f>'Calc Sheet 20_21'!H1263</f>
        <v>22380</v>
      </c>
      <c r="G104" s="393">
        <f>'Calc Sheet 20_21'!I1263</f>
        <v>21510</v>
      </c>
      <c r="H104" s="240">
        <f t="shared" si="0"/>
        <v>-0.0388739946380697</v>
      </c>
      <c r="I104" s="241">
        <f t="shared" si="1"/>
        <v>3226.5</v>
      </c>
      <c r="J104" s="583">
        <f t="shared" si="2"/>
        <v>24736.5</v>
      </c>
      <c r="K104" s="283">
        <v>9100033030416</v>
      </c>
      <c r="M104" s="431">
        <f t="shared" si="3"/>
        <v>24736.5</v>
      </c>
      <c r="N104" s="431">
        <f>+$M104*(1+'Unit tariffs'!$F$2)</f>
        <v>25775.433</v>
      </c>
      <c r="O104" s="431">
        <f>+$N104*(1+'Unit tariffs'!$F$2)</f>
        <v>26858.001186</v>
      </c>
      <c r="P104" s="431">
        <f>+$O104*(1+'Unit tariffs'!$F$2)</f>
        <v>27986.037235812004</v>
      </c>
    </row>
    <row r="105" spans="1:16" ht="14.25">
      <c r="A105" s="281"/>
      <c r="B105" s="233" t="str">
        <f>'Calc Sheet 20_21'!B1268</f>
        <v>7.1.8 Upgrade of single phase Peri-Urban connection to three phase -Split pre-payment meter    </v>
      </c>
      <c r="C105" s="234" t="s">
        <v>298</v>
      </c>
      <c r="D105" s="213">
        <f>'Calc Sheet 20_21'!H1300</f>
        <v>25120</v>
      </c>
      <c r="E105" s="537">
        <v>23200</v>
      </c>
      <c r="F105" s="627">
        <f>'Calc Sheet 20_21'!H1300</f>
        <v>25120</v>
      </c>
      <c r="G105" s="393">
        <f>'Calc Sheet 20_21'!I1300</f>
        <v>23390</v>
      </c>
      <c r="H105" s="240">
        <f t="shared" si="0"/>
        <v>-0.06886942675159236</v>
      </c>
      <c r="I105" s="241">
        <f t="shared" si="1"/>
        <v>3508.5</v>
      </c>
      <c r="J105" s="583">
        <f t="shared" si="2"/>
        <v>26898.5</v>
      </c>
      <c r="K105" s="283">
        <v>9100033030416</v>
      </c>
      <c r="M105" s="431">
        <f t="shared" si="3"/>
        <v>26898.5</v>
      </c>
      <c r="N105" s="431">
        <f>+$M105*(1+'Unit tariffs'!$F$2)</f>
        <v>28028.237</v>
      </c>
      <c r="O105" s="431">
        <f>+$N105*(1+'Unit tariffs'!$F$2)</f>
        <v>29205.422954</v>
      </c>
      <c r="P105" s="431">
        <f>+$O105*(1+'Unit tariffs'!$F$2)</f>
        <v>30432.050718068003</v>
      </c>
    </row>
    <row r="106" spans="1:16" ht="14.25">
      <c r="A106" s="281"/>
      <c r="B106" s="233" t="str">
        <f>'Calc Sheet 20_21'!B1305</f>
        <v>7.1.9 Upgrade of single phase Peri-Urban connection to three phase -Time of Use Meter(TOU)  </v>
      </c>
      <c r="C106" s="234" t="s">
        <v>298</v>
      </c>
      <c r="D106" s="213">
        <f>'Calc Sheet 20_21'!H1337</f>
        <v>20530</v>
      </c>
      <c r="E106" s="537">
        <v>18810</v>
      </c>
      <c r="F106" s="627">
        <f>'Calc Sheet 20_21'!H1337</f>
        <v>20530</v>
      </c>
      <c r="G106" s="393">
        <f>'Calc Sheet 20_21'!I1337</f>
        <v>22640</v>
      </c>
      <c r="H106" s="240">
        <f>(G106-D106)/D106</f>
        <v>0.10277642474427667</v>
      </c>
      <c r="I106" s="241">
        <f t="shared" si="1"/>
        <v>3396</v>
      </c>
      <c r="J106" s="583">
        <f t="shared" si="2"/>
        <v>26036</v>
      </c>
      <c r="K106" s="283">
        <v>9100033030416</v>
      </c>
      <c r="M106" s="431">
        <f t="shared" si="3"/>
        <v>26036</v>
      </c>
      <c r="N106" s="431">
        <f>+$M106*(1+'Unit tariffs'!$F$2)</f>
        <v>27129.512000000002</v>
      </c>
      <c r="O106" s="431">
        <f>+$N106*(1+'Unit tariffs'!$F$2)</f>
        <v>28268.951504000004</v>
      </c>
      <c r="P106" s="431">
        <f>+$O106*(1+'Unit tariffs'!$F$2)</f>
        <v>29456.247467168007</v>
      </c>
    </row>
    <row r="107" spans="1:16" ht="14.25">
      <c r="A107" s="281"/>
      <c r="B107" s="233" t="str">
        <f>'Calc Sheet 20_21'!B1342</f>
        <v>7.1.10 Conversion of single phase Peri-Urban connection to three phase - Split pre-payment meter      </v>
      </c>
      <c r="C107" s="234" t="s">
        <v>298</v>
      </c>
      <c r="D107" s="213">
        <f>'Calc Sheet 20_21'!H1373</f>
        <v>22180</v>
      </c>
      <c r="E107" s="537">
        <v>20540</v>
      </c>
      <c r="F107" s="627">
        <f>'Calc Sheet 20_21'!H1373</f>
        <v>22180</v>
      </c>
      <c r="G107" s="393">
        <f>'Calc Sheet 20_21'!I1373</f>
        <v>20220</v>
      </c>
      <c r="H107" s="240">
        <f>(G107-F107)/F107</f>
        <v>-0.08836789900811542</v>
      </c>
      <c r="I107" s="241">
        <f t="shared" si="1"/>
        <v>3033</v>
      </c>
      <c r="J107" s="583">
        <f t="shared" si="2"/>
        <v>23253</v>
      </c>
      <c r="K107" s="283">
        <v>9100033030416</v>
      </c>
      <c r="M107" s="431">
        <f t="shared" si="3"/>
        <v>23253</v>
      </c>
      <c r="N107" s="431">
        <f>+$M107*(1+'Unit tariffs'!$F$2)</f>
        <v>24229.626</v>
      </c>
      <c r="O107" s="431">
        <f>+$N107*(1+'Unit tariffs'!$F$2)</f>
        <v>25247.270292</v>
      </c>
      <c r="P107" s="431">
        <f>+$O107*(1+'Unit tariffs'!$F$2)</f>
        <v>26307.655644264003</v>
      </c>
    </row>
    <row r="108" spans="1:16" ht="14.25">
      <c r="A108" s="281"/>
      <c r="B108" s="233" t="str">
        <f>'Calc Sheet 20_21'!B1378</f>
        <v>8.1.11 Shifting of meter to meter box on stand boundary - Domestic connection - Urban</v>
      </c>
      <c r="C108" s="234" t="s">
        <v>296</v>
      </c>
      <c r="D108" s="213">
        <f>'Calc Sheet 20_21'!H1385</f>
        <v>4680</v>
      </c>
      <c r="E108" s="538">
        <v>2230</v>
      </c>
      <c r="F108" s="627">
        <f>'Calc Sheet 20_21'!H1385</f>
        <v>4680</v>
      </c>
      <c r="G108" s="393">
        <f>'Calc Sheet 20_21'!I1385</f>
        <v>4800</v>
      </c>
      <c r="H108" s="240">
        <f>(G108-F108)/F108</f>
        <v>0.02564102564102564</v>
      </c>
      <c r="I108" s="241">
        <f t="shared" si="1"/>
        <v>720</v>
      </c>
      <c r="J108" s="583">
        <f t="shared" si="2"/>
        <v>5520</v>
      </c>
      <c r="K108" s="283">
        <v>9100033030416</v>
      </c>
      <c r="M108" s="431">
        <f t="shared" si="3"/>
        <v>5520</v>
      </c>
      <c r="N108" s="431">
        <f>+$M108*(1+'Unit tariffs'!$F$2)</f>
        <v>5751.84</v>
      </c>
      <c r="O108" s="431">
        <f>+$N108*(1+'Unit tariffs'!$F$2)</f>
        <v>5993.417280000001</v>
      </c>
      <c r="P108" s="431">
        <f>+$O108*(1+'Unit tariffs'!$F$2)</f>
        <v>6245.140805760001</v>
      </c>
    </row>
    <row r="109" spans="1:16" ht="27">
      <c r="A109" s="281"/>
      <c r="B109" s="233" t="str">
        <f>'Calc Sheet 20_21'!B1390</f>
        <v>8.1.12 Shifting of connection - Pre-payment with ready board (per single connection) - Overhead only</v>
      </c>
      <c r="C109" s="234"/>
      <c r="D109" s="213">
        <f>'Calc Sheet 20_21'!H1414</f>
        <v>2060</v>
      </c>
      <c r="E109" s="537">
        <v>1840</v>
      </c>
      <c r="F109" s="627">
        <f>'Calc Sheet 20_21'!H1414</f>
        <v>2060</v>
      </c>
      <c r="G109" s="393">
        <f>'Calc Sheet 20_21'!I1414</f>
        <v>2670</v>
      </c>
      <c r="H109" s="240">
        <f>(G109-F109)/F109</f>
        <v>0.2961165048543689</v>
      </c>
      <c r="I109" s="241">
        <f t="shared" si="1"/>
        <v>400.5</v>
      </c>
      <c r="J109" s="583">
        <f t="shared" si="2"/>
        <v>3070.5</v>
      </c>
      <c r="K109" s="283">
        <v>9100033030416</v>
      </c>
      <c r="M109" s="431">
        <f t="shared" si="3"/>
        <v>3070.5</v>
      </c>
      <c r="N109" s="431">
        <f>+$M109*(1+'Unit tariffs'!$F$2)</f>
        <v>3199.4610000000002</v>
      </c>
      <c r="O109" s="431">
        <f>+$N109*(1+'Unit tariffs'!$F$2)</f>
        <v>3333.8383620000004</v>
      </c>
      <c r="P109" s="431">
        <f>+$O109*(1+'Unit tariffs'!$F$2)</f>
        <v>3473.8595732040008</v>
      </c>
    </row>
    <row r="110" spans="1:16" ht="14.25">
      <c r="A110" s="281"/>
      <c r="B110" s="233" t="s">
        <v>1</v>
      </c>
      <c r="C110" s="234"/>
      <c r="D110" s="230" t="s">
        <v>1</v>
      </c>
      <c r="E110" s="536"/>
      <c r="F110" s="626" t="s">
        <v>1</v>
      </c>
      <c r="G110" s="232" t="s">
        <v>1</v>
      </c>
      <c r="H110" s="254" t="s">
        <v>1</v>
      </c>
      <c r="I110" s="242"/>
      <c r="J110" s="236"/>
      <c r="K110" s="284" t="s">
        <v>81</v>
      </c>
      <c r="M110" s="423"/>
      <c r="N110" s="423"/>
      <c r="O110" s="423"/>
      <c r="P110" s="423"/>
    </row>
    <row r="111" spans="1:16" ht="21" customHeight="1">
      <c r="A111" s="298"/>
      <c r="B111" s="299" t="str">
        <f>'Calc Sheet 20_21'!B1419</f>
        <v>9. SPECIAL SERVICE LEVIES</v>
      </c>
      <c r="C111" s="300"/>
      <c r="D111" s="317"/>
      <c r="E111" s="534"/>
      <c r="F111" s="625"/>
      <c r="G111" s="304"/>
      <c r="H111" s="302"/>
      <c r="I111" s="303"/>
      <c r="J111" s="581"/>
      <c r="K111" s="322"/>
      <c r="M111" s="427"/>
      <c r="N111" s="427"/>
      <c r="O111" s="427"/>
      <c r="P111" s="427"/>
    </row>
    <row r="112" spans="1:16" ht="14.25">
      <c r="A112" s="281"/>
      <c r="B112" s="233" t="s">
        <v>1</v>
      </c>
      <c r="C112" s="234"/>
      <c r="D112" s="230"/>
      <c r="E112" s="536"/>
      <c r="F112" s="626"/>
      <c r="G112" s="232"/>
      <c r="H112" s="231"/>
      <c r="I112" s="228"/>
      <c r="J112" s="582"/>
      <c r="K112" s="282"/>
      <c r="M112" s="429"/>
      <c r="N112" s="429"/>
      <c r="O112" s="429"/>
      <c r="P112" s="429"/>
    </row>
    <row r="113" spans="1:16" ht="14.25">
      <c r="A113" s="281"/>
      <c r="B113" s="233" t="str">
        <f>'Calc Sheet 20_21'!B1421</f>
        <v>9.1.1 Electricity meter accuracy test at request by the consumer - Removal of meter</v>
      </c>
      <c r="C113" s="234"/>
      <c r="D113" s="213">
        <f>'Calc Sheet 20_21'!H1443</f>
        <v>1110</v>
      </c>
      <c r="E113" s="537">
        <v>390</v>
      </c>
      <c r="F113" s="627">
        <f>'Calc Sheet 20_21'!H1443</f>
        <v>1110</v>
      </c>
      <c r="G113" s="393">
        <f>'Calc Sheet 20_21'!I1443</f>
        <v>1370</v>
      </c>
      <c r="H113" s="240">
        <f>(G113-F113)/F113</f>
        <v>0.23423423423423423</v>
      </c>
      <c r="I113" s="241">
        <f>G113*I$3</f>
        <v>205.5</v>
      </c>
      <c r="J113" s="583">
        <f>G113+I113</f>
        <v>1575.5</v>
      </c>
      <c r="K113" s="283">
        <v>9100033030416</v>
      </c>
      <c r="M113" s="431">
        <f>J113+L113</f>
        <v>1575.5</v>
      </c>
      <c r="N113" s="431">
        <f>+$M113*(1+'Unit tariffs'!$F$2)</f>
        <v>1641.671</v>
      </c>
      <c r="O113" s="431">
        <f>+$N113*(1+'Unit tariffs'!$F$2)</f>
        <v>1710.621182</v>
      </c>
      <c r="P113" s="431">
        <f>+$O113*(1+'Unit tariffs'!$F$2)</f>
        <v>1782.4672716440002</v>
      </c>
    </row>
    <row r="114" spans="1:16" ht="14.25">
      <c r="A114" s="281"/>
      <c r="B114" s="233" t="str">
        <f>'Calc Sheet 20_21'!B1423</f>
        <v>       Meter to be removed by supplier for testing. Testing of the meter under item 9.1.2 or 9.1.3</v>
      </c>
      <c r="C114" s="234"/>
      <c r="D114" s="213"/>
      <c r="E114" s="537"/>
      <c r="F114" s="627"/>
      <c r="G114" s="393"/>
      <c r="H114" s="254" t="s">
        <v>1</v>
      </c>
      <c r="I114" s="242"/>
      <c r="J114" s="236"/>
      <c r="K114" s="284"/>
      <c r="M114" s="423"/>
      <c r="N114" s="423"/>
      <c r="O114" s="423"/>
      <c r="P114" s="423"/>
    </row>
    <row r="115" spans="1:16" ht="14.25">
      <c r="A115" s="281"/>
      <c r="B115" s="233" t="str">
        <f>'Calc Sheet 20_21'!B1448</f>
        <v>9.1.2 Request for accuracy test of electricity meter - Testing of meter (1 or 3 phase)</v>
      </c>
      <c r="C115" s="234"/>
      <c r="D115" s="213">
        <f>'Calc Sheet 20_21'!H1465</f>
        <v>284</v>
      </c>
      <c r="E115" s="538">
        <v>140</v>
      </c>
      <c r="F115" s="627">
        <f>'Calc Sheet 20_21'!H1465</f>
        <v>284</v>
      </c>
      <c r="G115" s="393">
        <f>'Calc Sheet 20_21'!I1465</f>
        <v>311</v>
      </c>
      <c r="H115" s="240">
        <f>(G115-F115)/F115</f>
        <v>0.09507042253521127</v>
      </c>
      <c r="I115" s="241">
        <f>G115*I$3</f>
        <v>46.65</v>
      </c>
      <c r="J115" s="583">
        <f>G115+I115</f>
        <v>357.65</v>
      </c>
      <c r="K115" s="283">
        <v>9100033030416</v>
      </c>
      <c r="M115" s="431">
        <f>J115+L115</f>
        <v>357.65</v>
      </c>
      <c r="N115" s="431">
        <f>+$M115*(1+'Unit tariffs'!$F$2)</f>
        <v>372.6713</v>
      </c>
      <c r="O115" s="431">
        <f>+$N115*(1+'Unit tariffs'!$F$2)</f>
        <v>388.3234946</v>
      </c>
      <c r="P115" s="431">
        <f>+$O115*(1+'Unit tariffs'!$F$2)</f>
        <v>404.6330813732</v>
      </c>
    </row>
    <row r="116" spans="1:16" ht="14.25">
      <c r="A116" s="281"/>
      <c r="B116" s="233" t="str">
        <f>'Calc Sheet 20_21'!B1450</f>
        <v>      Meter to be removed under item 9.1.1</v>
      </c>
      <c r="C116" s="234"/>
      <c r="D116" s="213"/>
      <c r="E116" s="537"/>
      <c r="F116" s="627"/>
      <c r="G116" s="393"/>
      <c r="H116" s="254" t="s">
        <v>1</v>
      </c>
      <c r="I116" s="242"/>
      <c r="J116" s="236"/>
      <c r="K116" s="284"/>
      <c r="M116" s="423"/>
      <c r="N116" s="423"/>
      <c r="O116" s="423"/>
      <c r="P116" s="423"/>
    </row>
    <row r="117" spans="1:16" ht="14.25">
      <c r="A117" s="281"/>
      <c r="B117" s="233" t="str">
        <f>'Calc Sheet 20_21'!B1472</f>
        <v>9.1.3 Request for accuracy test of Bulk electricity meter - Testing of meter</v>
      </c>
      <c r="C117" s="234"/>
      <c r="D117" s="213">
        <f>'Calc Sheet 20_21'!H1489</f>
        <v>1260</v>
      </c>
      <c r="E117" s="538">
        <v>515</v>
      </c>
      <c r="F117" s="627">
        <f>'Calc Sheet 20_21'!H1489</f>
        <v>1260</v>
      </c>
      <c r="G117" s="393">
        <f>'Calc Sheet 20_21'!I1489</f>
        <v>1170</v>
      </c>
      <c r="H117" s="240">
        <f>(G117-F117)/F117</f>
        <v>-0.07142857142857142</v>
      </c>
      <c r="I117" s="241">
        <f>G117*I$3</f>
        <v>175.5</v>
      </c>
      <c r="J117" s="583">
        <f>G117+I117</f>
        <v>1345.5</v>
      </c>
      <c r="K117" s="283">
        <v>9100033030416</v>
      </c>
      <c r="M117" s="431">
        <f>J117+L117</f>
        <v>1345.5</v>
      </c>
      <c r="N117" s="431">
        <f>+$M117*(1+'Unit tariffs'!$F$2)</f>
        <v>1402.011</v>
      </c>
      <c r="O117" s="431">
        <f>+$N117*(1+'Unit tariffs'!$F$2)</f>
        <v>1460.895462</v>
      </c>
      <c r="P117" s="431">
        <f>+$O117*(1+'Unit tariffs'!$F$2)</f>
        <v>1522.253071404</v>
      </c>
    </row>
    <row r="118" spans="1:16" ht="14.25">
      <c r="A118" s="281"/>
      <c r="B118" s="233" t="str">
        <f>'Calc Sheet 20_21'!B1474</f>
        <v>      Meter to be removed under item 9.1.1</v>
      </c>
      <c r="C118" s="234"/>
      <c r="D118" s="213"/>
      <c r="E118" s="537"/>
      <c r="F118" s="627"/>
      <c r="G118" s="393"/>
      <c r="H118" s="254"/>
      <c r="I118" s="242"/>
      <c r="J118" s="236"/>
      <c r="K118" s="284"/>
      <c r="M118" s="423"/>
      <c r="N118" s="423"/>
      <c r="O118" s="423"/>
      <c r="P118" s="423"/>
    </row>
    <row r="119" spans="1:16" ht="33" customHeight="1">
      <c r="A119" s="281"/>
      <c r="B119" s="233" t="str">
        <f>'Calc Sheet 20_21'!B1496</f>
        <v>MATERIAL (None)</v>
      </c>
      <c r="C119" s="234"/>
      <c r="D119" s="213">
        <f>'Calc Sheet 20_21'!H1512</f>
        <v>10080</v>
      </c>
      <c r="E119" s="537">
        <v>5855</v>
      </c>
      <c r="F119" s="627">
        <f>'Calc Sheet 20_21'!H1512</f>
        <v>10080</v>
      </c>
      <c r="G119" s="393">
        <f>'Calc Sheet 20_21'!I1512</f>
        <v>14740</v>
      </c>
      <c r="H119" s="240">
        <f aca="true" t="shared" si="4" ref="H119:H127">(G119-F119)/F119</f>
        <v>0.4623015873015873</v>
      </c>
      <c r="I119" s="241">
        <f>G119*I$3</f>
        <v>2211</v>
      </c>
      <c r="J119" s="583">
        <f>G119+I119</f>
        <v>16951</v>
      </c>
      <c r="K119" s="283">
        <v>9100033030416</v>
      </c>
      <c r="M119" s="431">
        <f>J119+L119</f>
        <v>16951</v>
      </c>
      <c r="N119" s="431">
        <f>+$M119*(1+'Unit tariffs'!$F$2)</f>
        <v>17662.942</v>
      </c>
      <c r="O119" s="431">
        <f>+$N119*(1+'Unit tariffs'!$F$2)</f>
        <v>18404.785563999998</v>
      </c>
      <c r="P119" s="431">
        <f>+$O119*(1+'Unit tariffs'!$F$2)</f>
        <v>19177.786557688</v>
      </c>
    </row>
    <row r="120" spans="1:16" ht="29.25" customHeight="1">
      <c r="A120" s="281"/>
      <c r="B120" s="530" t="s">
        <v>427</v>
      </c>
      <c r="C120" s="265"/>
      <c r="D120" s="213">
        <v>4943.73</v>
      </c>
      <c r="E120" s="537"/>
      <c r="F120" s="640">
        <f>+'Calc Sheet 20_21'!H1529</f>
        <v>5700</v>
      </c>
      <c r="G120" s="393">
        <f>+'Calc Sheet 20_21'!I1529</f>
        <v>6200</v>
      </c>
      <c r="H120" s="240">
        <f t="shared" si="4"/>
        <v>0.08771929824561403</v>
      </c>
      <c r="I120" s="241">
        <f>G120*I$3</f>
        <v>930</v>
      </c>
      <c r="J120" s="583">
        <f>G120+I120</f>
        <v>7130</v>
      </c>
      <c r="K120" s="283">
        <v>9100033030416</v>
      </c>
      <c r="M120" s="431">
        <f>J120+L120</f>
        <v>7130</v>
      </c>
      <c r="N120" s="431">
        <f>+$M120*(1+'Unit tariffs'!$F$2)</f>
        <v>7429.46</v>
      </c>
      <c r="O120" s="431">
        <f>+$N120*(1+'Unit tariffs'!$F$2)</f>
        <v>7741.49732</v>
      </c>
      <c r="P120" s="431">
        <f>+$O120*(1+'Unit tariffs'!$F$2)</f>
        <v>8066.64020744</v>
      </c>
    </row>
    <row r="121" spans="1:16" ht="33" customHeight="1">
      <c r="A121" s="281"/>
      <c r="B121" s="530" t="s">
        <v>426</v>
      </c>
      <c r="C121" s="234"/>
      <c r="D121" s="213">
        <v>0</v>
      </c>
      <c r="E121" s="537"/>
      <c r="F121" s="627">
        <f>+'Calc Sheet 20_21'!H1545</f>
        <v>8600</v>
      </c>
      <c r="G121" s="393">
        <f>+'Calc Sheet 20_21'!I1545</f>
        <v>9200</v>
      </c>
      <c r="H121" s="240">
        <f t="shared" si="4"/>
        <v>0.06976744186046512</v>
      </c>
      <c r="I121" s="241">
        <f>G121*I$3</f>
        <v>1380</v>
      </c>
      <c r="J121" s="583">
        <f>G121+I121</f>
        <v>10580</v>
      </c>
      <c r="K121" s="283">
        <v>9100033030416</v>
      </c>
      <c r="M121" s="431">
        <f>J121+L121</f>
        <v>10580</v>
      </c>
      <c r="N121" s="431">
        <f>+$M121*(1+'Unit tariffs'!$F$2)</f>
        <v>11024.36</v>
      </c>
      <c r="O121" s="431">
        <f>+$N121*(1+'Unit tariffs'!$F$2)</f>
        <v>11487.38312</v>
      </c>
      <c r="P121" s="431">
        <f>+$O121*(1+'Unit tariffs'!$F$2)</f>
        <v>11969.853211040001</v>
      </c>
    </row>
    <row r="122" spans="1:16" ht="39.75">
      <c r="A122" s="281"/>
      <c r="B122" s="233" t="str">
        <f>'Calc Sheet 20_21'!B1552</f>
        <v>9.7 Reinstatement of supply following disconnection of Std 3 phase service -  Where meter was damaged or persistant tampering occurred (RMD 3 Ph) - Replaced with 100A Time of Use meter (TOU) </v>
      </c>
      <c r="C122" s="234"/>
      <c r="D122" s="213">
        <f>'Calc Sheet 20_21'!H1576</f>
        <v>11360</v>
      </c>
      <c r="E122" s="537">
        <v>10470</v>
      </c>
      <c r="F122" s="627">
        <f>'Calc Sheet 20_21'!H1576</f>
        <v>11360</v>
      </c>
      <c r="G122" s="393">
        <f>'Calc Sheet 20_21'!I1576</f>
        <v>12170</v>
      </c>
      <c r="H122" s="240">
        <f t="shared" si="4"/>
        <v>0.07130281690140845</v>
      </c>
      <c r="I122" s="241">
        <f>G122*I$3</f>
        <v>1825.5</v>
      </c>
      <c r="J122" s="583">
        <f>G122+I122</f>
        <v>13995.5</v>
      </c>
      <c r="K122" s="283">
        <v>9100033030416</v>
      </c>
      <c r="M122" s="431">
        <f>J122+L122</f>
        <v>13995.5</v>
      </c>
      <c r="N122" s="431">
        <f>+$M122*(1+'Unit tariffs'!$F$2)</f>
        <v>14583.311</v>
      </c>
      <c r="O122" s="431">
        <f>+$N122*(1+'Unit tariffs'!$F$2)</f>
        <v>15195.810062</v>
      </c>
      <c r="P122" s="431">
        <f>+$O122*(1+'Unit tariffs'!$F$2)</f>
        <v>15834.034084604002</v>
      </c>
    </row>
    <row r="123" spans="1:16" ht="29.25" customHeight="1">
      <c r="A123" s="281"/>
      <c r="B123" s="530" t="s">
        <v>428</v>
      </c>
      <c r="C123" s="234"/>
      <c r="D123" s="213">
        <v>0</v>
      </c>
      <c r="E123" s="537"/>
      <c r="F123" s="627">
        <f>+'Calc Sheet 20_21'!H1593</f>
        <v>13200</v>
      </c>
      <c r="G123" s="393">
        <f>+'Calc Sheet 20_21'!I1593</f>
        <v>15400</v>
      </c>
      <c r="H123" s="240">
        <f t="shared" si="4"/>
        <v>0.16666666666666666</v>
      </c>
      <c r="I123" s="241">
        <f>G123*I$3</f>
        <v>2310</v>
      </c>
      <c r="J123" s="583">
        <f>G123+I123</f>
        <v>17710</v>
      </c>
      <c r="K123" s="283">
        <v>9100033030416</v>
      </c>
      <c r="M123" s="431">
        <f>J123+L123</f>
        <v>17710</v>
      </c>
      <c r="N123" s="431">
        <f>+$M123*(1+'Unit tariffs'!$F$2)</f>
        <v>18453.82</v>
      </c>
      <c r="O123" s="431">
        <f>+$N123*(1+'Unit tariffs'!$F$2)</f>
        <v>19228.88044</v>
      </c>
      <c r="P123" s="431">
        <f>+$O123*(1+'Unit tariffs'!$F$2)</f>
        <v>20036.49341848</v>
      </c>
    </row>
    <row r="124" spans="1:16" ht="33" customHeight="1">
      <c r="A124" s="281"/>
      <c r="B124" s="530" t="s">
        <v>429</v>
      </c>
      <c r="C124" s="234"/>
      <c r="D124" s="213">
        <v>0</v>
      </c>
      <c r="E124" s="537"/>
      <c r="F124" s="627">
        <f>+'Calc Sheet 20_21'!H1611</f>
        <v>26300</v>
      </c>
      <c r="G124" s="393">
        <f>+'Calc Sheet 20_21'!I1611</f>
        <v>30800</v>
      </c>
      <c r="H124" s="240">
        <f t="shared" si="4"/>
        <v>0.17110266159695817</v>
      </c>
      <c r="I124" s="241">
        <f>G124*I$3</f>
        <v>4620</v>
      </c>
      <c r="J124" s="583">
        <f>G124+I124</f>
        <v>35420</v>
      </c>
      <c r="K124" s="283">
        <v>9100033030416</v>
      </c>
      <c r="M124" s="431">
        <f>J124+L124</f>
        <v>35420</v>
      </c>
      <c r="N124" s="431">
        <f>+$M124*(1+'Unit tariffs'!$F$2)</f>
        <v>36907.64</v>
      </c>
      <c r="O124" s="431">
        <f>+$N124*(1+'Unit tariffs'!$F$2)</f>
        <v>38457.76088</v>
      </c>
      <c r="P124" s="431">
        <f>+$O124*(1+'Unit tariffs'!$F$2)</f>
        <v>40072.98683696</v>
      </c>
    </row>
    <row r="125" spans="1:16" ht="30.75" customHeight="1">
      <c r="A125" s="281"/>
      <c r="B125" s="233" t="str">
        <f>'Calc Sheet 20_21'!B1646</f>
        <v>9.9 Reinstatement of supply following disconnection of service by CENTLEC - 1Phase pre-payment meter damaged or persistent tampering (PPD)</v>
      </c>
      <c r="C125" s="234"/>
      <c r="D125" s="213">
        <f>+'Calc Sheet 20_21'!H1669</f>
        <v>6410</v>
      </c>
      <c r="E125" s="537">
        <v>5990</v>
      </c>
      <c r="F125" s="627">
        <f>+'Calc Sheet 20_21'!H1669</f>
        <v>6410</v>
      </c>
      <c r="G125" s="393">
        <f>+'Calc Sheet 20_21'!I1669</f>
        <v>7590</v>
      </c>
      <c r="H125" s="240">
        <f t="shared" si="4"/>
        <v>0.18408736349453977</v>
      </c>
      <c r="I125" s="241">
        <f>G125*I$3</f>
        <v>1138.5</v>
      </c>
      <c r="J125" s="583">
        <f>G125+I125</f>
        <v>8728.5</v>
      </c>
      <c r="K125" s="283">
        <v>9100033030416</v>
      </c>
      <c r="M125" s="431">
        <f>J125+L125</f>
        <v>8728.5</v>
      </c>
      <c r="N125" s="431">
        <f>+$M125*(1+'Unit tariffs'!$F$2)</f>
        <v>9095.097</v>
      </c>
      <c r="O125" s="431">
        <f>+$N125*(1+'Unit tariffs'!$F$2)</f>
        <v>9477.091074</v>
      </c>
      <c r="P125" s="431">
        <f>+$O125*(1+'Unit tariffs'!$F$2)</f>
        <v>9875.128899108</v>
      </c>
    </row>
    <row r="126" spans="1:16" ht="29.25" customHeight="1">
      <c r="A126" s="281"/>
      <c r="B126" s="530" t="s">
        <v>430</v>
      </c>
      <c r="C126" s="234"/>
      <c r="D126" s="213">
        <v>4943.73</v>
      </c>
      <c r="E126" s="537"/>
      <c r="F126" s="641">
        <f>+'Calc Sheet 20_21'!H1687</f>
        <v>5300</v>
      </c>
      <c r="G126" s="393">
        <f>+'Calc Sheet 20_21'!I1687</f>
        <v>6200</v>
      </c>
      <c r="H126" s="240">
        <f t="shared" si="4"/>
        <v>0.16981132075471697</v>
      </c>
      <c r="I126" s="241">
        <f>G126*I$3</f>
        <v>930</v>
      </c>
      <c r="J126" s="583">
        <f>G126+I126</f>
        <v>7130</v>
      </c>
      <c r="K126" s="283">
        <v>9100033030416</v>
      </c>
      <c r="M126" s="431">
        <f>J126+L126</f>
        <v>7130</v>
      </c>
      <c r="N126" s="431">
        <f>+$M126*(1+'Unit tariffs'!$F$2)</f>
        <v>7429.46</v>
      </c>
      <c r="O126" s="431">
        <f>+$N126*(1+'Unit tariffs'!$F$2)</f>
        <v>7741.49732</v>
      </c>
      <c r="P126" s="431">
        <f>+$O126*(1+'Unit tariffs'!$F$2)</f>
        <v>8066.64020744</v>
      </c>
    </row>
    <row r="127" spans="1:16" ht="33" customHeight="1">
      <c r="A127" s="281"/>
      <c r="B127" s="530" t="s">
        <v>431</v>
      </c>
      <c r="C127" s="234"/>
      <c r="D127" s="213">
        <v>0</v>
      </c>
      <c r="E127" s="537"/>
      <c r="F127" s="627">
        <f>+'Calc Sheet 20_21'!H1704</f>
        <v>7900</v>
      </c>
      <c r="G127" s="393">
        <f>+'Calc Sheet 20_21'!I1704</f>
        <v>9200</v>
      </c>
      <c r="H127" s="240">
        <f t="shared" si="4"/>
        <v>0.16455696202531644</v>
      </c>
      <c r="I127" s="241">
        <f>G127*I$3</f>
        <v>1380</v>
      </c>
      <c r="J127" s="583">
        <f>G127+I127</f>
        <v>10580</v>
      </c>
      <c r="K127" s="283">
        <v>9100033030416</v>
      </c>
      <c r="M127" s="431">
        <f>J127+L127</f>
        <v>10580</v>
      </c>
      <c r="N127" s="431">
        <f>+$M127*(1+'Unit tariffs'!$F$2)</f>
        <v>11024.36</v>
      </c>
      <c r="O127" s="431">
        <f>+$N127*(1+'Unit tariffs'!$F$2)</f>
        <v>11487.38312</v>
      </c>
      <c r="P127" s="431">
        <f>+$O127*(1+'Unit tariffs'!$F$2)</f>
        <v>11969.853211040001</v>
      </c>
    </row>
    <row r="128" spans="1:16" ht="13.5" customHeight="1" thickBot="1">
      <c r="A128" s="378"/>
      <c r="B128" s="290"/>
      <c r="C128" s="291"/>
      <c r="D128" s="374"/>
      <c r="E128" s="552"/>
      <c r="F128" s="642"/>
      <c r="G128" s="400"/>
      <c r="H128" s="375"/>
      <c r="I128" s="376"/>
      <c r="J128" s="589"/>
      <c r="K128" s="377"/>
      <c r="M128" s="441"/>
      <c r="N128" s="441"/>
      <c r="O128" s="441"/>
      <c r="P128" s="441"/>
    </row>
    <row r="129" spans="1:16" ht="15">
      <c r="A129" s="273"/>
      <c r="B129" s="274" t="str">
        <f>B1</f>
        <v>CENTLEC : ELECTRICITY SERVICES COSTS FOR MOHOKARE MUNIC</v>
      </c>
      <c r="C129" s="388"/>
      <c r="D129" s="382" t="s">
        <v>74</v>
      </c>
      <c r="E129" s="545"/>
      <c r="F129" s="634" t="s">
        <v>74</v>
      </c>
      <c r="G129" s="384" t="s">
        <v>74</v>
      </c>
      <c r="H129" s="383" t="s">
        <v>85</v>
      </c>
      <c r="I129" s="55" t="s">
        <v>470</v>
      </c>
      <c r="J129" s="384" t="s">
        <v>138</v>
      </c>
      <c r="K129" s="385" t="s">
        <v>75</v>
      </c>
      <c r="M129" s="695" t="s">
        <v>138</v>
      </c>
      <c r="N129" s="695" t="s">
        <v>138</v>
      </c>
      <c r="O129" s="695" t="s">
        <v>138</v>
      </c>
      <c r="P129" s="695" t="s">
        <v>138</v>
      </c>
    </row>
    <row r="130" spans="1:16" ht="14.25">
      <c r="A130" s="281"/>
      <c r="B130" s="239"/>
      <c r="C130" s="238"/>
      <c r="D130" s="340" t="s">
        <v>77</v>
      </c>
      <c r="E130" s="532"/>
      <c r="F130" s="623" t="s">
        <v>77</v>
      </c>
      <c r="G130" s="236" t="s">
        <v>77</v>
      </c>
      <c r="H130" s="339" t="s">
        <v>86</v>
      </c>
      <c r="I130" s="665">
        <f>+'Unit tariffs'!F$3</f>
        <v>0.15</v>
      </c>
      <c r="J130" s="236" t="s">
        <v>139</v>
      </c>
      <c r="K130" s="337" t="s">
        <v>78</v>
      </c>
      <c r="M130" s="692" t="s">
        <v>139</v>
      </c>
      <c r="N130" s="692" t="s">
        <v>139</v>
      </c>
      <c r="O130" s="692" t="s">
        <v>139</v>
      </c>
      <c r="P130" s="692" t="s">
        <v>139</v>
      </c>
    </row>
    <row r="131" spans="1:16" ht="14.25">
      <c r="A131" s="281"/>
      <c r="B131" s="239"/>
      <c r="C131" s="238"/>
      <c r="D131" s="340" t="str">
        <f>D$4</f>
        <v>2016/2017</v>
      </c>
      <c r="E131" s="532"/>
      <c r="F131" s="690" t="str">
        <f>'Calc Sheet 20_21'!$H$11</f>
        <v>2020/2021</v>
      </c>
      <c r="G131" s="236" t="str">
        <f>'Calc Sheet 20_21'!$I$11</f>
        <v>2021/2022</v>
      </c>
      <c r="H131" s="339" t="str">
        <f>G131</f>
        <v>2021/2022</v>
      </c>
      <c r="I131" s="55" t="str">
        <f>G131</f>
        <v>2021/2022</v>
      </c>
      <c r="J131" s="236" t="str">
        <f>I131</f>
        <v>2021/2022</v>
      </c>
      <c r="K131" s="337" t="s">
        <v>79</v>
      </c>
      <c r="M131" s="692" t="s">
        <v>481</v>
      </c>
      <c r="N131" s="692" t="s">
        <v>630</v>
      </c>
      <c r="O131" s="692" t="s">
        <v>631</v>
      </c>
      <c r="P131" s="692" t="s">
        <v>632</v>
      </c>
    </row>
    <row r="132" spans="1:16" ht="15.75" thickBot="1">
      <c r="A132" s="305"/>
      <c r="B132" s="349" t="s">
        <v>105</v>
      </c>
      <c r="C132" s="307"/>
      <c r="D132" s="343" t="s">
        <v>80</v>
      </c>
      <c r="E132" s="533"/>
      <c r="F132" s="624" t="s">
        <v>80</v>
      </c>
      <c r="G132" s="346" t="s">
        <v>80</v>
      </c>
      <c r="H132" s="344"/>
      <c r="I132" s="345"/>
      <c r="J132" s="346"/>
      <c r="K132" s="347"/>
      <c r="M132" s="425"/>
      <c r="N132" s="425"/>
      <c r="O132" s="425"/>
      <c r="P132" s="425"/>
    </row>
    <row r="133" spans="1:16" ht="27" thickTop="1">
      <c r="A133" s="281"/>
      <c r="B133" s="530" t="s">
        <v>370</v>
      </c>
      <c r="C133" s="234"/>
      <c r="D133" s="213">
        <f>+'Calc Sheet 20_21'!H1734</f>
        <v>11890</v>
      </c>
      <c r="E133" s="537">
        <v>11360</v>
      </c>
      <c r="F133" s="627">
        <f>+'Calc Sheet 20_21'!H1734</f>
        <v>11890</v>
      </c>
      <c r="G133" s="393">
        <f>+'Calc Sheet 20_21'!I1734</f>
        <v>14120</v>
      </c>
      <c r="H133" s="240">
        <f>IF(G133&lt;0.01,"0",(G133-D133)/D133)</f>
        <v>0.18755256518082422</v>
      </c>
      <c r="I133" s="241">
        <f>G133*I$3</f>
        <v>2118</v>
      </c>
      <c r="J133" s="583">
        <f aca="true" t="shared" si="5" ref="J133:J148">G133+I133</f>
        <v>16238</v>
      </c>
      <c r="K133" s="283">
        <v>9100033030416</v>
      </c>
      <c r="M133" s="431">
        <f aca="true" t="shared" si="6" ref="M133:M148">J133+L133</f>
        <v>16238</v>
      </c>
      <c r="N133" s="431">
        <f>+$M133*(1+'Unit tariffs'!$F$2)</f>
        <v>16919.996</v>
      </c>
      <c r="O133" s="431">
        <f>+$N133*(1+'Unit tariffs'!$F$2)</f>
        <v>17630.635832</v>
      </c>
      <c r="P133" s="431">
        <f>+$O133*(1+'Unit tariffs'!$F$2)</f>
        <v>18371.122536944</v>
      </c>
    </row>
    <row r="134" spans="1:16" ht="29.25" customHeight="1">
      <c r="A134" s="281"/>
      <c r="B134" s="530" t="s">
        <v>439</v>
      </c>
      <c r="C134" s="234"/>
      <c r="D134" s="213">
        <v>0</v>
      </c>
      <c r="E134" s="537"/>
      <c r="F134" s="627">
        <f>+'Calc Sheet 20_21'!H1751</f>
        <v>13200</v>
      </c>
      <c r="G134" s="393">
        <f>+'Calc Sheet 20_21'!I1751</f>
        <v>15400</v>
      </c>
      <c r="H134" s="240">
        <f aca="true" t="shared" si="7" ref="H134:H145">(G134-F134)/F134</f>
        <v>0.16666666666666666</v>
      </c>
      <c r="I134" s="241">
        <f>G134*I$3</f>
        <v>2310</v>
      </c>
      <c r="J134" s="583">
        <f>G134+I134</f>
        <v>17710</v>
      </c>
      <c r="K134" s="283">
        <v>9100033030417</v>
      </c>
      <c r="M134" s="431">
        <f>J134+L134</f>
        <v>17710</v>
      </c>
      <c r="N134" s="431">
        <f>+$M134*(1+'Unit tariffs'!$F$2)</f>
        <v>18453.82</v>
      </c>
      <c r="O134" s="431">
        <f>+$N134*(1+'Unit tariffs'!$F$2)</f>
        <v>19228.88044</v>
      </c>
      <c r="P134" s="431">
        <f>+$O134*(1+'Unit tariffs'!$F$2)</f>
        <v>20036.49341848</v>
      </c>
    </row>
    <row r="135" spans="1:16" ht="33" customHeight="1">
      <c r="A135" s="281"/>
      <c r="B135" s="530" t="s">
        <v>440</v>
      </c>
      <c r="C135" s="234"/>
      <c r="D135" s="213">
        <v>0</v>
      </c>
      <c r="E135" s="537"/>
      <c r="F135" s="627">
        <f>+'Calc Sheet 20_21'!H1768</f>
        <v>26300</v>
      </c>
      <c r="G135" s="393">
        <f>+'Calc Sheet 20_21'!I1768</f>
        <v>30800</v>
      </c>
      <c r="H135" s="240">
        <f t="shared" si="7"/>
        <v>0.17110266159695817</v>
      </c>
      <c r="I135" s="241">
        <f>G135*I$3</f>
        <v>4620</v>
      </c>
      <c r="J135" s="583">
        <f>G135+I135</f>
        <v>35420</v>
      </c>
      <c r="K135" s="283">
        <v>9100033030418</v>
      </c>
      <c r="M135" s="431">
        <f>J135+L135</f>
        <v>35420</v>
      </c>
      <c r="N135" s="431">
        <f>+$M135*(1+'Unit tariffs'!$F$2)</f>
        <v>36907.64</v>
      </c>
      <c r="O135" s="431">
        <f>+$N135*(1+'Unit tariffs'!$F$2)</f>
        <v>38457.76088</v>
      </c>
      <c r="P135" s="431">
        <f>+$O135*(1+'Unit tariffs'!$F$2)</f>
        <v>40072.98683696</v>
      </c>
    </row>
    <row r="136" spans="1:16" ht="18.75" customHeight="1">
      <c r="A136" s="281"/>
      <c r="B136" s="530" t="s">
        <v>459</v>
      </c>
      <c r="C136" s="234"/>
      <c r="D136" s="213">
        <f>+'Calc Sheet 20_21'!H1796</f>
        <v>793</v>
      </c>
      <c r="E136" s="538">
        <v>240</v>
      </c>
      <c r="F136" s="638">
        <f>+'Calc Sheet 20_21'!H1796</f>
        <v>793</v>
      </c>
      <c r="G136" s="393">
        <f>+'Calc Sheet 20_21'!I1796</f>
        <v>950</v>
      </c>
      <c r="H136" s="240">
        <f t="shared" si="7"/>
        <v>0.19798234552332913</v>
      </c>
      <c r="I136" s="241">
        <f aca="true" t="shared" si="8" ref="I136:I149">G136*I$3</f>
        <v>142.5</v>
      </c>
      <c r="J136" s="583">
        <f t="shared" si="5"/>
        <v>1092.5</v>
      </c>
      <c r="K136" s="283">
        <v>9100033030416</v>
      </c>
      <c r="M136" s="431">
        <f t="shared" si="6"/>
        <v>1092.5</v>
      </c>
      <c r="N136" s="431">
        <f>+$M136*(1+'Unit tariffs'!$F$2)</f>
        <v>1138.385</v>
      </c>
      <c r="O136" s="431">
        <f>+$N136*(1+'Unit tariffs'!$F$2)</f>
        <v>1186.1971700000001</v>
      </c>
      <c r="P136" s="431">
        <f>+$O136*(1+'Unit tariffs'!$F$2)</f>
        <v>1236.0174511400003</v>
      </c>
    </row>
    <row r="137" spans="1:16" ht="27">
      <c r="A137" s="281"/>
      <c r="B137" s="233" t="str">
        <f>+'Calc Sheet 20_21'!B1803:G1803</f>
        <v>9.12 Reinstatement of supply by CENTLEC - Where supplied from overhead transmission systems or a substation</v>
      </c>
      <c r="C137" s="234"/>
      <c r="D137" s="213">
        <f>+'Calc Sheet 20_21'!H1825</f>
        <v>1430</v>
      </c>
      <c r="E137" s="537">
        <v>1330</v>
      </c>
      <c r="F137" s="627">
        <f>+'Calc Sheet 20_21'!H1825</f>
        <v>1430</v>
      </c>
      <c r="G137" s="393">
        <f>+'Calc Sheet 20_21'!I1825</f>
        <v>1780</v>
      </c>
      <c r="H137" s="240">
        <f t="shared" si="7"/>
        <v>0.24475524475524477</v>
      </c>
      <c r="I137" s="241">
        <f t="shared" si="8"/>
        <v>267</v>
      </c>
      <c r="J137" s="583">
        <f t="shared" si="5"/>
        <v>2047</v>
      </c>
      <c r="K137" s="283">
        <v>9100033030416</v>
      </c>
      <c r="M137" s="431">
        <f t="shared" si="6"/>
        <v>2047</v>
      </c>
      <c r="N137" s="431">
        <f>+$M137*(1+'Unit tariffs'!$F$2)</f>
        <v>2132.974</v>
      </c>
      <c r="O137" s="431">
        <f>+$N137*(1+'Unit tariffs'!$F$2)</f>
        <v>2222.5589080000004</v>
      </c>
      <c r="P137" s="431">
        <f>+$O137*(1+'Unit tariffs'!$F$2)</f>
        <v>2315.9063821360005</v>
      </c>
    </row>
    <row r="138" spans="1:16" ht="27">
      <c r="A138" s="281"/>
      <c r="B138" s="530" t="s">
        <v>371</v>
      </c>
      <c r="C138" s="234"/>
      <c r="D138" s="213">
        <f>+'Calc Sheet 20_21'!H1856</f>
        <v>2370</v>
      </c>
      <c r="E138" s="538">
        <v>1170</v>
      </c>
      <c r="F138" s="627">
        <f>+'Calc Sheet 20_21'!H1856</f>
        <v>2370</v>
      </c>
      <c r="G138" s="393">
        <f>+'Calc Sheet 20_21'!I1856</f>
        <v>2830</v>
      </c>
      <c r="H138" s="256">
        <f t="shared" si="7"/>
        <v>0.1940928270042194</v>
      </c>
      <c r="I138" s="241">
        <f t="shared" si="8"/>
        <v>424.5</v>
      </c>
      <c r="J138" s="583">
        <f t="shared" si="5"/>
        <v>3254.5</v>
      </c>
      <c r="K138" s="283">
        <v>9100033030416</v>
      </c>
      <c r="M138" s="431">
        <f t="shared" si="6"/>
        <v>3254.5</v>
      </c>
      <c r="N138" s="431">
        <f>+$M138*(1+'Unit tariffs'!$F$2)</f>
        <v>3391.1890000000003</v>
      </c>
      <c r="O138" s="431">
        <f>+$N138*(1+'Unit tariffs'!$F$2)</f>
        <v>3533.6189380000005</v>
      </c>
      <c r="P138" s="431">
        <f>+$O138*(1+'Unit tariffs'!$F$2)</f>
        <v>3682.030933396001</v>
      </c>
    </row>
    <row r="139" spans="1:16" ht="27">
      <c r="A139" s="281"/>
      <c r="B139" s="530" t="s">
        <v>372</v>
      </c>
      <c r="C139" s="234"/>
      <c r="D139" s="213">
        <f>+'Calc Sheet 20_21'!H1887</f>
        <v>2500</v>
      </c>
      <c r="E139" s="538">
        <v>1295</v>
      </c>
      <c r="F139" s="627">
        <f>+'Calc Sheet 20_21'!H1887</f>
        <v>2500</v>
      </c>
      <c r="G139" s="393">
        <f>+'Calc Sheet 20_21'!I1887</f>
        <v>2950</v>
      </c>
      <c r="H139" s="240">
        <f t="shared" si="7"/>
        <v>0.18</v>
      </c>
      <c r="I139" s="241">
        <f t="shared" si="8"/>
        <v>442.5</v>
      </c>
      <c r="J139" s="583">
        <f t="shared" si="5"/>
        <v>3392.5</v>
      </c>
      <c r="K139" s="283">
        <v>9100033030416</v>
      </c>
      <c r="M139" s="431">
        <f t="shared" si="6"/>
        <v>3392.5</v>
      </c>
      <c r="N139" s="431">
        <f>+$M139*(1+'Unit tariffs'!$F$2)</f>
        <v>3534.985</v>
      </c>
      <c r="O139" s="431">
        <f>+$N139*(1+'Unit tariffs'!$F$2)</f>
        <v>3683.4543700000004</v>
      </c>
      <c r="P139" s="431">
        <f>+$O139*(1+'Unit tariffs'!$F$2)</f>
        <v>3838.1594535400004</v>
      </c>
    </row>
    <row r="140" spans="1:16" ht="14.25">
      <c r="A140" s="281"/>
      <c r="B140" s="233" t="s">
        <v>135</v>
      </c>
      <c r="C140" s="234"/>
      <c r="D140" s="213">
        <f>'Calc Sheet 20_21'!H1919</f>
        <v>3900</v>
      </c>
      <c r="E140" s="537">
        <v>3210</v>
      </c>
      <c r="F140" s="627">
        <f>'Calc Sheet 20_21'!H1919</f>
        <v>3900</v>
      </c>
      <c r="G140" s="393">
        <f>'Calc Sheet 20_21'!I1919</f>
        <v>4310</v>
      </c>
      <c r="H140" s="240">
        <f t="shared" si="7"/>
        <v>0.10512820512820513</v>
      </c>
      <c r="I140" s="241">
        <f t="shared" si="8"/>
        <v>646.5</v>
      </c>
      <c r="J140" s="583">
        <f t="shared" si="5"/>
        <v>4956.5</v>
      </c>
      <c r="K140" s="283">
        <v>9100033030416</v>
      </c>
      <c r="M140" s="431">
        <f t="shared" si="6"/>
        <v>4956.5</v>
      </c>
      <c r="N140" s="431">
        <f>+$M140*(1+'Unit tariffs'!$F$2)</f>
        <v>5164.673</v>
      </c>
      <c r="O140" s="431">
        <f>+$N140*(1+'Unit tariffs'!$F$2)</f>
        <v>5381.589266</v>
      </c>
      <c r="P140" s="431">
        <f>+$O140*(1+'Unit tariffs'!$F$2)</f>
        <v>5607.6160151720005</v>
      </c>
    </row>
    <row r="141" spans="1:16" ht="14.25">
      <c r="A141" s="281"/>
      <c r="B141" s="233" t="s">
        <v>136</v>
      </c>
      <c r="C141" s="234"/>
      <c r="D141" s="213">
        <f>+'Calc Sheet 20_21'!H1951</f>
        <v>9990</v>
      </c>
      <c r="E141" s="537">
        <v>9025</v>
      </c>
      <c r="F141" s="627">
        <f>+'Calc Sheet 20_21'!H1951</f>
        <v>9990</v>
      </c>
      <c r="G141" s="393">
        <f>+'Calc Sheet 20_21'!I1951</f>
        <v>10140</v>
      </c>
      <c r="H141" s="240">
        <f t="shared" si="7"/>
        <v>0.015015015015015015</v>
      </c>
      <c r="I141" s="241">
        <f t="shared" si="8"/>
        <v>1521</v>
      </c>
      <c r="J141" s="583">
        <f t="shared" si="5"/>
        <v>11661</v>
      </c>
      <c r="K141" s="283">
        <v>9100033030416</v>
      </c>
      <c r="M141" s="431">
        <f t="shared" si="6"/>
        <v>11661</v>
      </c>
      <c r="N141" s="431">
        <f>+$M141*(1+'Unit tariffs'!$F$2)</f>
        <v>12150.762</v>
      </c>
      <c r="O141" s="431">
        <f>+$N141*(1+'Unit tariffs'!$F$2)</f>
        <v>12661.094004</v>
      </c>
      <c r="P141" s="431">
        <f>+$O141*(1+'Unit tariffs'!$F$2)</f>
        <v>13192.859952168</v>
      </c>
    </row>
    <row r="142" spans="1:16" ht="27">
      <c r="A142" s="281"/>
      <c r="B142" s="530" t="s">
        <v>432</v>
      </c>
      <c r="C142" s="234"/>
      <c r="D142" s="213">
        <f>+'Calc Sheet 20_21'!H1669</f>
        <v>6410</v>
      </c>
      <c r="E142" s="537">
        <v>5990</v>
      </c>
      <c r="F142" s="627">
        <f>+'Calc Sheet 20_21'!H1669</f>
        <v>6410</v>
      </c>
      <c r="G142" s="393">
        <f>+'Calc Sheet 20_21'!I1669</f>
        <v>7590</v>
      </c>
      <c r="H142" s="256">
        <f t="shared" si="7"/>
        <v>0.18408736349453977</v>
      </c>
      <c r="I142" s="241">
        <f t="shared" si="8"/>
        <v>1138.5</v>
      </c>
      <c r="J142" s="583">
        <f>G142+I142</f>
        <v>8728.5</v>
      </c>
      <c r="K142" s="283">
        <v>9100033030416</v>
      </c>
      <c r="M142" s="431">
        <f>J142+L142</f>
        <v>8728.5</v>
      </c>
      <c r="N142" s="431">
        <f>+$M142*(1+'Unit tariffs'!$F$2)</f>
        <v>9095.097</v>
      </c>
      <c r="O142" s="431">
        <f>+$N142*(1+'Unit tariffs'!$F$2)</f>
        <v>9477.091074</v>
      </c>
      <c r="P142" s="431">
        <f>+$O142*(1+'Unit tariffs'!$F$2)</f>
        <v>9875.128899108</v>
      </c>
    </row>
    <row r="143" spans="1:16" ht="33" customHeight="1">
      <c r="A143" s="281"/>
      <c r="B143" s="530" t="s">
        <v>434</v>
      </c>
      <c r="C143" s="234"/>
      <c r="D143" s="213">
        <v>0</v>
      </c>
      <c r="E143" s="537"/>
      <c r="F143" s="627">
        <f>+'Calc Sheet 20_21'!H2020</f>
        <v>11400</v>
      </c>
      <c r="G143" s="393">
        <f>+'Calc Sheet 20_21'!I2020</f>
        <v>12300</v>
      </c>
      <c r="H143" s="256">
        <f t="shared" si="7"/>
        <v>0.07894736842105263</v>
      </c>
      <c r="I143" s="241">
        <f t="shared" si="8"/>
        <v>1845</v>
      </c>
      <c r="J143" s="583">
        <f>G143+I143</f>
        <v>14145</v>
      </c>
      <c r="K143" s="283">
        <v>9100033030416</v>
      </c>
      <c r="M143" s="431">
        <f>J143+L143</f>
        <v>14145</v>
      </c>
      <c r="N143" s="431">
        <f>+$M143*(1+'Unit tariffs'!$F$2)</f>
        <v>14739.09</v>
      </c>
      <c r="O143" s="431">
        <f>+$N143*(1+'Unit tariffs'!$F$2)</f>
        <v>15358.131780000002</v>
      </c>
      <c r="P143" s="431">
        <f>+$O143*(1+'Unit tariffs'!$F$2)</f>
        <v>16003.173314760003</v>
      </c>
    </row>
    <row r="144" spans="1:16" ht="27">
      <c r="A144" s="281"/>
      <c r="B144" s="530" t="s">
        <v>433</v>
      </c>
      <c r="C144" s="234"/>
      <c r="D144" s="213">
        <f>+'Calc Sheet 20_21'!H2075</f>
        <v>18240</v>
      </c>
      <c r="E144" s="538">
        <v>16065</v>
      </c>
      <c r="F144" s="627">
        <f>+'Calc Sheet 20_21'!H2075</f>
        <v>18240</v>
      </c>
      <c r="G144" s="393">
        <f>+'Calc Sheet 20_21'!I2075</f>
        <v>18940</v>
      </c>
      <c r="H144" s="256">
        <f t="shared" si="7"/>
        <v>0.03837719298245614</v>
      </c>
      <c r="I144" s="241">
        <f t="shared" si="8"/>
        <v>2841</v>
      </c>
      <c r="J144" s="583">
        <f>G144+I144</f>
        <v>21781</v>
      </c>
      <c r="K144" s="283">
        <v>9100033030416</v>
      </c>
      <c r="M144" s="431">
        <f>J144+L144</f>
        <v>21781</v>
      </c>
      <c r="N144" s="431">
        <f>+$M144*(1+'Unit tariffs'!$F$2)</f>
        <v>22695.802</v>
      </c>
      <c r="O144" s="431">
        <f>+$N144*(1+'Unit tariffs'!$F$2)</f>
        <v>23649.025684</v>
      </c>
      <c r="P144" s="431">
        <f>+$O144*(1+'Unit tariffs'!$F$2)</f>
        <v>24642.284762728003</v>
      </c>
    </row>
    <row r="145" spans="1:16" ht="33" customHeight="1">
      <c r="A145" s="281"/>
      <c r="B145" s="530" t="s">
        <v>435</v>
      </c>
      <c r="C145" s="234"/>
      <c r="D145" s="213">
        <v>15894.94</v>
      </c>
      <c r="E145" s="537"/>
      <c r="F145" s="627">
        <f>+'Calc Sheet 20_21'!H2092</f>
        <v>39000</v>
      </c>
      <c r="G145" s="393">
        <f>+'Calc Sheet 20_21'!I2092</f>
        <v>41100</v>
      </c>
      <c r="H145" s="256">
        <f t="shared" si="7"/>
        <v>0.05384615384615385</v>
      </c>
      <c r="I145" s="241">
        <f t="shared" si="8"/>
        <v>6165</v>
      </c>
      <c r="J145" s="583">
        <f>G145+I145</f>
        <v>47265</v>
      </c>
      <c r="K145" s="283">
        <v>9100033030416</v>
      </c>
      <c r="M145" s="431">
        <f>J145+L145</f>
        <v>47265</v>
      </c>
      <c r="N145" s="431">
        <f>+$M145*(1+'Unit tariffs'!$F$2)</f>
        <v>49250.130000000005</v>
      </c>
      <c r="O145" s="431">
        <f>+$N145*(1+'Unit tariffs'!$F$2)</f>
        <v>51318.635460000005</v>
      </c>
      <c r="P145" s="431">
        <f>+$O145*(1+'Unit tariffs'!$F$2)</f>
        <v>53474.01814932001</v>
      </c>
    </row>
    <row r="146" spans="1:16" ht="14.25">
      <c r="A146" s="281"/>
      <c r="B146" s="233" t="s">
        <v>137</v>
      </c>
      <c r="C146" s="234"/>
      <c r="D146" s="213">
        <f>+'Calc Sheet 20_21'!H2146</f>
        <v>25530</v>
      </c>
      <c r="E146" s="538">
        <v>20260</v>
      </c>
      <c r="F146" s="627">
        <f>+'Calc Sheet 20_21'!H2146</f>
        <v>25530</v>
      </c>
      <c r="G146" s="393">
        <f>+'Calc Sheet 20_21'!I2146</f>
        <v>27230</v>
      </c>
      <c r="H146" s="256">
        <f>IF(G146&lt;0.01,"0",(G146-D146)/D146)</f>
        <v>0.06658832745789267</v>
      </c>
      <c r="I146" s="241">
        <f t="shared" si="8"/>
        <v>4084.5</v>
      </c>
      <c r="J146" s="583">
        <f t="shared" si="5"/>
        <v>31314.5</v>
      </c>
      <c r="K146" s="283">
        <v>9100033030416</v>
      </c>
      <c r="M146" s="431">
        <f t="shared" si="6"/>
        <v>31314.5</v>
      </c>
      <c r="N146" s="431">
        <f>+$M146*(1+'Unit tariffs'!$F$2)</f>
        <v>32629.709000000003</v>
      </c>
      <c r="O146" s="431">
        <f>+$N146*(1+'Unit tariffs'!$F$2)</f>
        <v>34000.156778000004</v>
      </c>
      <c r="P146" s="431">
        <f>+$O146*(1+'Unit tariffs'!$F$2)</f>
        <v>35428.16336267601</v>
      </c>
    </row>
    <row r="147" spans="1:16" ht="23.25" customHeight="1">
      <c r="A147" s="281"/>
      <c r="B147" s="530" t="s">
        <v>437</v>
      </c>
      <c r="C147" s="234"/>
      <c r="D147" s="213">
        <v>0</v>
      </c>
      <c r="E147" s="537"/>
      <c r="F147" s="627">
        <f>+'Calc Sheet 20_21'!H2163</f>
        <v>90000</v>
      </c>
      <c r="G147" s="393">
        <f>+'Calc Sheet 20_21'!I2163</f>
        <v>100000</v>
      </c>
      <c r="H147" s="256">
        <f>(G147-F147)/F147</f>
        <v>0.1111111111111111</v>
      </c>
      <c r="I147" s="241">
        <f t="shared" si="8"/>
        <v>15000</v>
      </c>
      <c r="J147" s="583">
        <f t="shared" si="5"/>
        <v>115000</v>
      </c>
      <c r="K147" s="283">
        <v>9100033030416</v>
      </c>
      <c r="M147" s="431">
        <f t="shared" si="6"/>
        <v>115000</v>
      </c>
      <c r="N147" s="431">
        <f>+$M147*(1+'Unit tariffs'!$F$2)</f>
        <v>119830</v>
      </c>
      <c r="O147" s="431">
        <f>+$N147*(1+'Unit tariffs'!$F$2)</f>
        <v>124862.86</v>
      </c>
      <c r="P147" s="431">
        <f>+$O147*(1+'Unit tariffs'!$F$2)</f>
        <v>130107.10012</v>
      </c>
    </row>
    <row r="148" spans="1:16" ht="23.25" customHeight="1">
      <c r="A148" s="281"/>
      <c r="B148" s="530" t="s">
        <v>438</v>
      </c>
      <c r="C148" s="234"/>
      <c r="D148" s="213">
        <v>0</v>
      </c>
      <c r="E148" s="537"/>
      <c r="F148" s="627">
        <f>+'Calc Sheet 20_21'!H2179</f>
        <v>150000</v>
      </c>
      <c r="G148" s="393">
        <f>+'Calc Sheet 20_21'!I2179</f>
        <v>170000</v>
      </c>
      <c r="H148" s="256">
        <f>(G148-F148)/F148</f>
        <v>0.13333333333333333</v>
      </c>
      <c r="I148" s="241">
        <f t="shared" si="8"/>
        <v>25500</v>
      </c>
      <c r="J148" s="583">
        <f t="shared" si="5"/>
        <v>195500</v>
      </c>
      <c r="K148" s="283">
        <v>9100033030416</v>
      </c>
      <c r="M148" s="431">
        <f t="shared" si="6"/>
        <v>195500</v>
      </c>
      <c r="N148" s="431">
        <f>+$M148*(1+'Unit tariffs'!$F$2)</f>
        <v>203711</v>
      </c>
      <c r="O148" s="431">
        <f>+$N148*(1+'Unit tariffs'!$F$2)</f>
        <v>212266.862</v>
      </c>
      <c r="P148" s="431">
        <f>+$O148*(1+'Unit tariffs'!$F$2)</f>
        <v>221182.070204</v>
      </c>
    </row>
    <row r="149" spans="1:16" ht="14.25">
      <c r="A149" s="281"/>
      <c r="B149" s="530" t="s">
        <v>441</v>
      </c>
      <c r="C149" s="234"/>
      <c r="D149" s="577">
        <v>954.07</v>
      </c>
      <c r="E149" s="537"/>
      <c r="F149" s="627">
        <f>+'Calc Sheet 20_21'!H2210</f>
        <v>1740</v>
      </c>
      <c r="G149" s="393">
        <f>+'Calc Sheet 20_21'!I2210</f>
        <v>1750</v>
      </c>
      <c r="H149" s="256">
        <f>(G149-F149)/F149</f>
        <v>0.005747126436781609</v>
      </c>
      <c r="I149" s="241">
        <f t="shared" si="8"/>
        <v>262.5</v>
      </c>
      <c r="J149" s="583">
        <f>+I149+G149</f>
        <v>2012.5</v>
      </c>
      <c r="K149" s="283">
        <v>9100033030416</v>
      </c>
      <c r="M149" s="431">
        <f>+L149+J149</f>
        <v>2012.5</v>
      </c>
      <c r="N149" s="431">
        <f>+$M149*(1+'Unit tariffs'!$F$2)</f>
        <v>2097.025</v>
      </c>
      <c r="O149" s="431">
        <f>+$N149*(1+'Unit tariffs'!$F$2)</f>
        <v>2185.10005</v>
      </c>
      <c r="P149" s="431">
        <f>+$O149*(1+'Unit tariffs'!$F$2)</f>
        <v>2276.8742521</v>
      </c>
    </row>
    <row r="150" spans="1:16" ht="20.25" customHeight="1">
      <c r="A150" s="281"/>
      <c r="B150" s="579" t="s">
        <v>436</v>
      </c>
      <c r="C150" s="234"/>
      <c r="D150" s="213"/>
      <c r="E150" s="537"/>
      <c r="F150" s="627"/>
      <c r="G150" s="393"/>
      <c r="H150" s="256"/>
      <c r="I150" s="257"/>
      <c r="J150" s="583"/>
      <c r="K150" s="283">
        <v>9100033030416</v>
      </c>
      <c r="M150" s="431"/>
      <c r="N150" s="431"/>
      <c r="O150" s="431"/>
      <c r="P150" s="431"/>
    </row>
    <row r="151" spans="1:16" ht="21" customHeight="1">
      <c r="A151" s="298"/>
      <c r="B151" s="334" t="s">
        <v>250</v>
      </c>
      <c r="C151" s="329"/>
      <c r="D151" s="317"/>
      <c r="E151" s="534"/>
      <c r="F151" s="625"/>
      <c r="G151" s="304"/>
      <c r="H151" s="302"/>
      <c r="I151" s="303"/>
      <c r="J151" s="590"/>
      <c r="K151" s="322"/>
      <c r="M151" s="427"/>
      <c r="N151" s="427"/>
      <c r="O151" s="427"/>
      <c r="P151" s="427"/>
    </row>
    <row r="152" spans="1:16" ht="60" customHeight="1">
      <c r="A152" s="281"/>
      <c r="B152" s="373" t="s">
        <v>251</v>
      </c>
      <c r="C152" s="258"/>
      <c r="D152" s="260" t="s">
        <v>252</v>
      </c>
      <c r="E152" s="553"/>
      <c r="F152" s="643" t="s">
        <v>347</v>
      </c>
      <c r="G152" s="666" t="s">
        <v>471</v>
      </c>
      <c r="H152" s="240"/>
      <c r="I152" s="241"/>
      <c r="J152" s="591"/>
      <c r="K152" s="283">
        <v>9100033030416</v>
      </c>
      <c r="M152" s="431"/>
      <c r="N152" s="431"/>
      <c r="O152" s="431"/>
      <c r="P152" s="431"/>
    </row>
    <row r="153" spans="1:16" ht="60" customHeight="1">
      <c r="A153" s="281"/>
      <c r="B153" s="259" t="s">
        <v>253</v>
      </c>
      <c r="C153" s="258"/>
      <c r="D153" s="260" t="s">
        <v>252</v>
      </c>
      <c r="E153" s="553"/>
      <c r="F153" s="643" t="s">
        <v>347</v>
      </c>
      <c r="G153" s="401" t="s">
        <v>347</v>
      </c>
      <c r="H153" s="240"/>
      <c r="I153" s="241"/>
      <c r="J153" s="591"/>
      <c r="K153" s="283">
        <v>9100033030416</v>
      </c>
      <c r="M153" s="431"/>
      <c r="N153" s="431"/>
      <c r="O153" s="431"/>
      <c r="P153" s="431"/>
    </row>
    <row r="154" spans="1:16" ht="60" customHeight="1">
      <c r="A154" s="281"/>
      <c r="B154" s="261" t="s">
        <v>259</v>
      </c>
      <c r="C154" s="258"/>
      <c r="D154" s="262" t="s">
        <v>254</v>
      </c>
      <c r="E154" s="554"/>
      <c r="F154" s="643" t="s">
        <v>346</v>
      </c>
      <c r="G154" s="401" t="s">
        <v>346</v>
      </c>
      <c r="H154" s="240"/>
      <c r="I154" s="241"/>
      <c r="J154" s="591"/>
      <c r="K154" s="283">
        <v>9100033030416</v>
      </c>
      <c r="M154" s="431"/>
      <c r="N154" s="431"/>
      <c r="O154" s="431"/>
      <c r="P154" s="431"/>
    </row>
    <row r="155" spans="1:16" ht="60" customHeight="1">
      <c r="A155" s="281"/>
      <c r="B155" s="261" t="s">
        <v>348</v>
      </c>
      <c r="C155" s="258"/>
      <c r="D155" s="262" t="s">
        <v>255</v>
      </c>
      <c r="E155" s="554"/>
      <c r="F155" s="643" t="s">
        <v>256</v>
      </c>
      <c r="G155" s="401" t="s">
        <v>256</v>
      </c>
      <c r="H155" s="240"/>
      <c r="I155" s="241"/>
      <c r="J155" s="591"/>
      <c r="K155" s="283">
        <v>9100033030416</v>
      </c>
      <c r="M155" s="431"/>
      <c r="N155" s="431"/>
      <c r="O155" s="431"/>
      <c r="P155" s="431"/>
    </row>
    <row r="156" spans="1:16" ht="60" customHeight="1">
      <c r="A156" s="281"/>
      <c r="B156" s="261" t="s">
        <v>349</v>
      </c>
      <c r="C156" s="258"/>
      <c r="D156" s="262" t="s">
        <v>256</v>
      </c>
      <c r="E156" s="554"/>
      <c r="F156" s="643" t="s">
        <v>345</v>
      </c>
      <c r="G156" s="401" t="s">
        <v>345</v>
      </c>
      <c r="H156" s="406"/>
      <c r="I156" s="241"/>
      <c r="J156" s="591"/>
      <c r="K156" s="283">
        <v>9100033030416</v>
      </c>
      <c r="M156" s="431"/>
      <c r="N156" s="431"/>
      <c r="O156" s="431"/>
      <c r="P156" s="431"/>
    </row>
    <row r="157" spans="1:16" ht="35.25" customHeight="1">
      <c r="A157" s="281"/>
      <c r="B157" s="862" t="s">
        <v>257</v>
      </c>
      <c r="C157" s="863"/>
      <c r="D157" s="863"/>
      <c r="E157" s="863"/>
      <c r="F157" s="863"/>
      <c r="G157" s="863"/>
      <c r="H157" s="863"/>
      <c r="I157" s="863"/>
      <c r="J157" s="864"/>
      <c r="K157" s="283"/>
      <c r="M157" s="431"/>
      <c r="N157" s="431"/>
      <c r="O157" s="431"/>
      <c r="P157" s="431"/>
    </row>
    <row r="158" spans="1:16" ht="15" thickBot="1">
      <c r="A158" s="378"/>
      <c r="B158" s="379"/>
      <c r="C158" s="389"/>
      <c r="D158" s="390"/>
      <c r="E158" s="555"/>
      <c r="F158" s="644"/>
      <c r="G158" s="402"/>
      <c r="H158" s="375"/>
      <c r="I158" s="376"/>
      <c r="J158" s="592"/>
      <c r="K158" s="377"/>
      <c r="M158" s="441"/>
      <c r="N158" s="441"/>
      <c r="O158" s="441"/>
      <c r="P158" s="441"/>
    </row>
    <row r="159" spans="1:16" ht="19.5" customHeight="1">
      <c r="A159" s="273"/>
      <c r="B159" s="274" t="s">
        <v>148</v>
      </c>
      <c r="C159" s="388"/>
      <c r="D159" s="382" t="s">
        <v>74</v>
      </c>
      <c r="E159" s="545"/>
      <c r="F159" s="634" t="s">
        <v>74</v>
      </c>
      <c r="G159" s="384" t="s">
        <v>74</v>
      </c>
      <c r="H159" s="383" t="s">
        <v>85</v>
      </c>
      <c r="I159" s="55" t="s">
        <v>470</v>
      </c>
      <c r="J159" s="384" t="s">
        <v>138</v>
      </c>
      <c r="K159" s="385" t="s">
        <v>75</v>
      </c>
      <c r="M159" s="695" t="s">
        <v>138</v>
      </c>
      <c r="N159" s="695" t="s">
        <v>138</v>
      </c>
      <c r="O159" s="695" t="s">
        <v>138</v>
      </c>
      <c r="P159" s="695" t="s">
        <v>138</v>
      </c>
    </row>
    <row r="160" spans="1:16" ht="14.25">
      <c r="A160" s="281"/>
      <c r="B160" s="239"/>
      <c r="C160" s="238"/>
      <c r="D160" s="340" t="s">
        <v>77</v>
      </c>
      <c r="E160" s="532"/>
      <c r="F160" s="623" t="s">
        <v>77</v>
      </c>
      <c r="G160" s="236" t="s">
        <v>77</v>
      </c>
      <c r="H160" s="339" t="s">
        <v>86</v>
      </c>
      <c r="I160" s="665">
        <f>+'Unit tariffs'!F$3</f>
        <v>0.15</v>
      </c>
      <c r="J160" s="236" t="s">
        <v>139</v>
      </c>
      <c r="K160" s="337" t="s">
        <v>78</v>
      </c>
      <c r="M160" s="692" t="s">
        <v>139</v>
      </c>
      <c r="N160" s="692" t="s">
        <v>139</v>
      </c>
      <c r="O160" s="692" t="s">
        <v>139</v>
      </c>
      <c r="P160" s="692" t="s">
        <v>139</v>
      </c>
    </row>
    <row r="161" spans="1:16" ht="14.25">
      <c r="A161" s="281"/>
      <c r="B161" s="239" t="s">
        <v>105</v>
      </c>
      <c r="C161" s="238"/>
      <c r="D161" s="340" t="str">
        <f>D$4</f>
        <v>2016/2017</v>
      </c>
      <c r="E161" s="532"/>
      <c r="F161" s="690" t="str">
        <f>'Calc Sheet 20_21'!$H$11</f>
        <v>2020/2021</v>
      </c>
      <c r="G161" s="236" t="str">
        <f>'Calc Sheet 20_21'!$I$11</f>
        <v>2021/2022</v>
      </c>
      <c r="H161" s="339" t="str">
        <f>G161</f>
        <v>2021/2022</v>
      </c>
      <c r="I161" s="55" t="str">
        <f>G161</f>
        <v>2021/2022</v>
      </c>
      <c r="J161" s="236" t="str">
        <f>I161</f>
        <v>2021/2022</v>
      </c>
      <c r="K161" s="337" t="s">
        <v>79</v>
      </c>
      <c r="M161" s="692" t="s">
        <v>481</v>
      </c>
      <c r="N161" s="692" t="s">
        <v>630</v>
      </c>
      <c r="O161" s="692" t="s">
        <v>631</v>
      </c>
      <c r="P161" s="692" t="s">
        <v>632</v>
      </c>
    </row>
    <row r="162" spans="1:16" ht="15" thickBot="1">
      <c r="A162" s="305"/>
      <c r="B162" s="306"/>
      <c r="C162" s="307"/>
      <c r="D162" s="343" t="s">
        <v>80</v>
      </c>
      <c r="E162" s="533"/>
      <c r="F162" s="624" t="s">
        <v>80</v>
      </c>
      <c r="G162" s="346" t="s">
        <v>80</v>
      </c>
      <c r="H162" s="344"/>
      <c r="I162" s="345"/>
      <c r="J162" s="346"/>
      <c r="K162" s="347"/>
      <c r="M162" s="425"/>
      <c r="N162" s="425"/>
      <c r="O162" s="425"/>
      <c r="P162" s="425"/>
    </row>
    <row r="163" spans="1:16" ht="15.75" thickTop="1">
      <c r="A163" s="298"/>
      <c r="B163" s="315"/>
      <c r="C163" s="329"/>
      <c r="D163" s="330"/>
      <c r="E163" s="556"/>
      <c r="F163" s="645"/>
      <c r="G163" s="403"/>
      <c r="H163" s="331"/>
      <c r="I163" s="332"/>
      <c r="J163" s="593"/>
      <c r="K163" s="333"/>
      <c r="M163" s="443"/>
      <c r="N163" s="443"/>
      <c r="O163" s="443"/>
      <c r="P163" s="443"/>
    </row>
    <row r="164" spans="1:16" ht="26.25">
      <c r="A164" s="281"/>
      <c r="B164" s="261" t="s">
        <v>258</v>
      </c>
      <c r="C164" s="263"/>
      <c r="D164" s="392">
        <v>82.005</v>
      </c>
      <c r="E164" s="557"/>
      <c r="F164" s="646">
        <v>93.18687378000001</v>
      </c>
      <c r="G164" s="404">
        <f>+F164*(1+'Unit tariffs'!$F$2)</f>
        <v>97.10072247876002</v>
      </c>
      <c r="H164" s="240">
        <f>(G164-F164)/F164</f>
        <v>0.04200000000000006</v>
      </c>
      <c r="I164" s="241">
        <f>G164*I$3</f>
        <v>14.565108371814002</v>
      </c>
      <c r="J164" s="594">
        <f>+I164+G164</f>
        <v>111.66583085057403</v>
      </c>
      <c r="K164" s="364">
        <v>9100033030416</v>
      </c>
      <c r="L164" s="210" t="s">
        <v>276</v>
      </c>
      <c r="M164" s="431">
        <f>11.67</f>
        <v>11.67</v>
      </c>
      <c r="N164" s="431">
        <f>+$M164*(1+'Unit tariffs'!$F$2)</f>
        <v>12.16014</v>
      </c>
      <c r="O164" s="431">
        <f>+$N164*(1+'Unit tariffs'!$F$2)</f>
        <v>12.670865880000001</v>
      </c>
      <c r="P164" s="431">
        <f>+$O164*(1+'Unit tariffs'!$F$2)</f>
        <v>13.20304224696</v>
      </c>
    </row>
    <row r="165" spans="1:16" ht="14.25">
      <c r="A165" s="281"/>
      <c r="B165" s="228" t="s">
        <v>321</v>
      </c>
      <c r="C165" s="265"/>
      <c r="D165" s="392">
        <v>63.9</v>
      </c>
      <c r="E165" s="557"/>
      <c r="F165" s="646">
        <v>72.61314840000001</v>
      </c>
      <c r="G165" s="404">
        <f>+F165*(1+'Unit tariffs'!$F$2)</f>
        <v>75.66290063280002</v>
      </c>
      <c r="H165" s="240">
        <f>(G165-F165)/F165</f>
        <v>0.04200000000000004</v>
      </c>
      <c r="I165" s="241">
        <f>G165*I$3</f>
        <v>11.349435094920002</v>
      </c>
      <c r="J165" s="595">
        <f>+I165+G165</f>
        <v>87.01233572772001</v>
      </c>
      <c r="K165" s="364">
        <v>9100033030416</v>
      </c>
      <c r="M165" s="431">
        <f>+L165+J165</f>
        <v>87.01233572772001</v>
      </c>
      <c r="N165" s="431">
        <v>98.25385615663508</v>
      </c>
      <c r="O165" s="431">
        <v>102.57702582752702</v>
      </c>
      <c r="P165" s="431">
        <v>107.19299198976574</v>
      </c>
    </row>
    <row r="166" spans="1:16" ht="14.25">
      <c r="A166" s="281"/>
      <c r="B166" s="228"/>
      <c r="C166" s="266"/>
      <c r="D166" s="271"/>
      <c r="E166" s="558"/>
      <c r="F166" s="647"/>
      <c r="G166" s="270"/>
      <c r="H166" s="272"/>
      <c r="I166" s="267"/>
      <c r="J166" s="596"/>
      <c r="K166" s="365"/>
      <c r="M166" s="445"/>
      <c r="N166" s="445"/>
      <c r="O166" s="445"/>
      <c r="P166" s="445"/>
    </row>
    <row r="167" spans="1:16" ht="14.25">
      <c r="A167" s="281"/>
      <c r="B167" s="228" t="s">
        <v>322</v>
      </c>
      <c r="C167" s="266"/>
      <c r="D167" s="271"/>
      <c r="E167" s="558"/>
      <c r="F167" s="647"/>
      <c r="G167" s="270"/>
      <c r="H167" s="272"/>
      <c r="I167" s="267"/>
      <c r="J167" s="596"/>
      <c r="K167" s="365"/>
      <c r="M167" s="445"/>
      <c r="N167" s="445"/>
      <c r="O167" s="445"/>
      <c r="P167" s="445"/>
    </row>
    <row r="168" spans="1:16" ht="14.25">
      <c r="A168" s="281"/>
      <c r="B168" s="228" t="s">
        <v>275</v>
      </c>
      <c r="C168" s="266"/>
      <c r="D168" s="271">
        <v>170.13375</v>
      </c>
      <c r="E168" s="558"/>
      <c r="F168" s="646">
        <v>193.33250761500003</v>
      </c>
      <c r="G168" s="404">
        <f>+F168*(1+'Unit tariffs'!$F$2)</f>
        <v>201.45247293483004</v>
      </c>
      <c r="H168" s="240">
        <f>(G168-F168)/F168</f>
        <v>0.04200000000000007</v>
      </c>
      <c r="I168" s="241">
        <f>G168*I$3</f>
        <v>30.217870940224504</v>
      </c>
      <c r="J168" s="595">
        <f>+I168+G168</f>
        <v>231.67034387505456</v>
      </c>
      <c r="K168" s="364">
        <v>9100033030416</v>
      </c>
      <c r="M168" s="431">
        <f>+L168+J168</f>
        <v>231.67034387505456</v>
      </c>
      <c r="N168" s="431">
        <f>+$M168*(1+'Unit tariffs'!$F$2)</f>
        <v>241.40049831780686</v>
      </c>
      <c r="O168" s="431">
        <f>+$N168*(1+'Unit tariffs'!$F$2)</f>
        <v>251.53931924715476</v>
      </c>
      <c r="P168" s="431">
        <f>+$O168*(1+'Unit tariffs'!$F$2)</f>
        <v>262.10397065553525</v>
      </c>
    </row>
    <row r="169" spans="1:16" ht="21.75" customHeight="1">
      <c r="A169" s="288" t="s">
        <v>264</v>
      </c>
      <c r="B169" s="268"/>
      <c r="C169" s="266"/>
      <c r="D169" s="271"/>
      <c r="E169" s="558"/>
      <c r="F169" s="647"/>
      <c r="G169" s="270"/>
      <c r="H169" s="272"/>
      <c r="I169" s="269"/>
      <c r="J169" s="597"/>
      <c r="K169" s="365"/>
      <c r="M169" s="447"/>
      <c r="N169" s="447"/>
      <c r="O169" s="447"/>
      <c r="P169" s="447"/>
    </row>
    <row r="170" spans="1:16" ht="14.25">
      <c r="A170" s="281"/>
      <c r="B170" s="228" t="s">
        <v>323</v>
      </c>
      <c r="C170" s="266"/>
      <c r="D170" s="392">
        <v>63.768319353</v>
      </c>
      <c r="E170" s="557"/>
      <c r="F170" s="646">
        <v>72.46351230669768</v>
      </c>
      <c r="G170" s="404">
        <f>+F170*(1+'Unit tariffs'!$F$2)</f>
        <v>75.50697982357899</v>
      </c>
      <c r="H170" s="240">
        <f>(G170-F170)/F170</f>
        <v>0.042000000000000065</v>
      </c>
      <c r="I170" s="241">
        <f>G170*I$3</f>
        <v>11.326046973536847</v>
      </c>
      <c r="J170" s="595">
        <f>+I170+G170</f>
        <v>86.83302679711583</v>
      </c>
      <c r="K170" s="365"/>
      <c r="M170" s="431">
        <f>+L170+J170</f>
        <v>86.83302679711583</v>
      </c>
      <c r="N170" s="431">
        <f>+$M170*(1+'Unit tariffs'!$F$2)</f>
        <v>90.48001392259471</v>
      </c>
      <c r="O170" s="431">
        <f>+$N170*(1+'Unit tariffs'!$F$2)</f>
        <v>94.28017450734369</v>
      </c>
      <c r="P170" s="431">
        <f>+$O170*(1+'Unit tariffs'!$F$2)</f>
        <v>98.23994183665212</v>
      </c>
    </row>
    <row r="171" spans="1:16" ht="14.25">
      <c r="A171" s="288" t="s">
        <v>265</v>
      </c>
      <c r="B171" s="239"/>
      <c r="C171" s="266"/>
      <c r="D171" s="271"/>
      <c r="E171" s="558"/>
      <c r="F171" s="647"/>
      <c r="G171" s="270"/>
      <c r="H171" s="272"/>
      <c r="I171" s="266"/>
      <c r="J171" s="598"/>
      <c r="K171" s="365"/>
      <c r="M171" s="449"/>
      <c r="N171" s="449"/>
      <c r="O171" s="449"/>
      <c r="P171" s="449"/>
    </row>
    <row r="172" spans="1:16" ht="14.25">
      <c r="A172" s="281"/>
      <c r="B172" s="228" t="s">
        <v>324</v>
      </c>
      <c r="C172" s="266"/>
      <c r="D172" s="392">
        <v>379.45599615</v>
      </c>
      <c r="E172" s="557"/>
      <c r="F172" s="646">
        <v>431.1970979610294</v>
      </c>
      <c r="G172" s="404">
        <f>+F172*(1+'Unit tariffs'!$F$2)</f>
        <v>449.30737607539265</v>
      </c>
      <c r="H172" s="240">
        <f>(G172-F172)/F172</f>
        <v>0.04200000000000008</v>
      </c>
      <c r="I172" s="241">
        <f>G172*I$3</f>
        <v>67.39610641130889</v>
      </c>
      <c r="J172" s="595">
        <f>+I172+G172</f>
        <v>516.7034824867015</v>
      </c>
      <c r="K172" s="365"/>
      <c r="M172" s="431">
        <f>+L172+J172</f>
        <v>516.7034824867015</v>
      </c>
      <c r="N172" s="431">
        <f>+$M172*(1+'Unit tariffs'!$F$2)</f>
        <v>538.405028751143</v>
      </c>
      <c r="O172" s="431">
        <f>+$N172*(1+'Unit tariffs'!$F$2)</f>
        <v>561.0180399586911</v>
      </c>
      <c r="P172" s="431">
        <f>+$O172*(1+'Unit tariffs'!$F$2)</f>
        <v>584.5807976369562</v>
      </c>
    </row>
    <row r="173" spans="1:16" ht="14.25">
      <c r="A173" s="281"/>
      <c r="B173" s="228" t="s">
        <v>325</v>
      </c>
      <c r="C173" s="266"/>
      <c r="D173" s="527">
        <f>+D172*1.33</f>
        <v>504.6764748795</v>
      </c>
      <c r="E173" s="559"/>
      <c r="F173" s="648">
        <v>0</v>
      </c>
      <c r="G173" s="687" t="s">
        <v>477</v>
      </c>
      <c r="H173" s="526"/>
      <c r="I173" s="241"/>
      <c r="J173" s="599"/>
      <c r="K173" s="365"/>
      <c r="M173" s="431"/>
      <c r="N173" s="431"/>
      <c r="O173" s="431"/>
      <c r="P173" s="431"/>
    </row>
    <row r="174" spans="1:16" ht="14.25">
      <c r="A174" s="281"/>
      <c r="B174" s="228" t="s">
        <v>326</v>
      </c>
      <c r="C174" s="266"/>
      <c r="D174" s="528">
        <v>1300.9796274750001</v>
      </c>
      <c r="E174" s="560"/>
      <c r="F174" s="649">
        <v>1478.3760055589814</v>
      </c>
      <c r="G174" s="404">
        <f>+F174*(1+'Unit tariffs'!$F$2)</f>
        <v>1540.4677977924587</v>
      </c>
      <c r="H174" s="240">
        <f>(G174-F174)/F174</f>
        <v>0.04200000000000001</v>
      </c>
      <c r="I174" s="241">
        <f>G174*I$3</f>
        <v>231.0701696688688</v>
      </c>
      <c r="J174" s="595">
        <f>+I174+G174</f>
        <v>1771.5379674613275</v>
      </c>
      <c r="K174" s="365"/>
      <c r="M174" s="431">
        <f>+L174+J174</f>
        <v>1771.5379674613275</v>
      </c>
      <c r="N174" s="431">
        <f>+$M174*(1+'Unit tariffs'!$F$2)</f>
        <v>1845.9425620947034</v>
      </c>
      <c r="O174" s="431">
        <f>+$N174*(1+'Unit tariffs'!$F$2)</f>
        <v>1923.472149702681</v>
      </c>
      <c r="P174" s="431">
        <f>+$O174*(1+'Unit tariffs'!$F$2)</f>
        <v>2004.2579799901937</v>
      </c>
    </row>
    <row r="175" spans="1:16" ht="14.25">
      <c r="A175" s="281"/>
      <c r="B175" s="228" t="s">
        <v>327</v>
      </c>
      <c r="C175" s="266"/>
      <c r="D175" s="527">
        <f>+D174*1.33</f>
        <v>1730.3029045417502</v>
      </c>
      <c r="E175" s="559"/>
      <c r="F175" s="648">
        <v>0</v>
      </c>
      <c r="G175" s="687" t="s">
        <v>477</v>
      </c>
      <c r="H175" s="526"/>
      <c r="I175" s="241"/>
      <c r="J175" s="599"/>
      <c r="K175" s="365"/>
      <c r="M175" s="431"/>
      <c r="N175" s="431"/>
      <c r="O175" s="431"/>
      <c r="P175" s="431"/>
    </row>
    <row r="176" spans="1:16" ht="14.25">
      <c r="A176" s="281"/>
      <c r="B176" s="228" t="s">
        <v>328</v>
      </c>
      <c r="C176" s="266"/>
      <c r="D176" s="528">
        <v>2710.3752538500003</v>
      </c>
      <c r="E176" s="560"/>
      <c r="F176" s="649">
        <v>3079.9511819639715</v>
      </c>
      <c r="G176" s="404">
        <f>+F176*(1+'Unit tariffs'!$F$2)</f>
        <v>3209.3091316064583</v>
      </c>
      <c r="H176" s="240">
        <f>(G176-F176)/F176</f>
        <v>0.041999999999999996</v>
      </c>
      <c r="I176" s="241">
        <f>G176*I$3</f>
        <v>481.39636974096874</v>
      </c>
      <c r="J176" s="595">
        <f>+I176+G176</f>
        <v>3690.705501347427</v>
      </c>
      <c r="K176" s="365"/>
      <c r="M176" s="431">
        <f>+L176+J176</f>
        <v>3690.705501347427</v>
      </c>
      <c r="N176" s="431">
        <f>+$M176*(1+'Unit tariffs'!$F$2)</f>
        <v>3845.7151324040187</v>
      </c>
      <c r="O176" s="431">
        <f>+$N176*(1+'Unit tariffs'!$F$2)</f>
        <v>4007.235167964988</v>
      </c>
      <c r="P176" s="431">
        <f>+$O176*(1+'Unit tariffs'!$F$2)</f>
        <v>4175.539045019517</v>
      </c>
    </row>
    <row r="177" spans="1:16" ht="14.25">
      <c r="A177" s="281"/>
      <c r="B177" s="228" t="s">
        <v>329</v>
      </c>
      <c r="C177" s="266"/>
      <c r="D177" s="527">
        <f>+D176*1.33</f>
        <v>3604.7990876205004</v>
      </c>
      <c r="E177" s="559"/>
      <c r="F177" s="648">
        <v>0</v>
      </c>
      <c r="G177" s="687" t="s">
        <v>477</v>
      </c>
      <c r="H177" s="526"/>
      <c r="I177" s="241"/>
      <c r="J177" s="599"/>
      <c r="K177" s="365"/>
      <c r="M177" s="431"/>
      <c r="N177" s="431"/>
      <c r="O177" s="431"/>
      <c r="P177" s="431"/>
    </row>
    <row r="178" spans="1:16" ht="14.25">
      <c r="A178" s="281"/>
      <c r="B178" s="228"/>
      <c r="C178" s="266"/>
      <c r="D178" s="392"/>
      <c r="E178" s="557"/>
      <c r="F178" s="646"/>
      <c r="G178" s="404"/>
      <c r="H178" s="367"/>
      <c r="I178" s="264"/>
      <c r="J178" s="598"/>
      <c r="K178" s="365"/>
      <c r="M178" s="449"/>
      <c r="N178" s="449"/>
      <c r="O178" s="449"/>
      <c r="P178" s="449"/>
    </row>
    <row r="179" spans="1:16" ht="14.25">
      <c r="A179" s="326" t="s">
        <v>269</v>
      </c>
      <c r="B179" s="327"/>
      <c r="C179" s="324"/>
      <c r="D179" s="328"/>
      <c r="E179" s="561"/>
      <c r="F179" s="650"/>
      <c r="G179" s="325"/>
      <c r="H179" s="368"/>
      <c r="I179" s="324"/>
      <c r="J179" s="600"/>
      <c r="K179" s="366"/>
      <c r="M179" s="451"/>
      <c r="N179" s="451"/>
      <c r="O179" s="451"/>
      <c r="P179" s="451"/>
    </row>
    <row r="180" spans="1:16" ht="19.5" customHeight="1">
      <c r="A180" s="281"/>
      <c r="B180" s="228" t="s">
        <v>270</v>
      </c>
      <c r="C180" s="266"/>
      <c r="D180" s="271">
        <v>500</v>
      </c>
      <c r="E180" s="558"/>
      <c r="F180" s="647">
        <v>639.6</v>
      </c>
      <c r="G180" s="404">
        <f>+F180*(1+'Unit tariffs'!$F$2)</f>
        <v>666.4632</v>
      </c>
      <c r="H180" s="240">
        <f>(G180-F180)/F180</f>
        <v>0.04200000000000001</v>
      </c>
      <c r="I180" s="241">
        <f>G180*I$3</f>
        <v>99.96948</v>
      </c>
      <c r="J180" s="595">
        <f>+I180+G180</f>
        <v>766.43268</v>
      </c>
      <c r="K180" s="365"/>
      <c r="M180" s="431">
        <f>+L180+J180</f>
        <v>766.43268</v>
      </c>
      <c r="N180" s="431">
        <f>+$M180*(1+'Unit tariffs'!$F$2)</f>
        <v>798.6228525600001</v>
      </c>
      <c r="O180" s="431">
        <f>+$N180*(1+'Unit tariffs'!$F$2)</f>
        <v>832.1650123675201</v>
      </c>
      <c r="P180" s="431">
        <f>+$O180*(1+'Unit tariffs'!$F$2)</f>
        <v>867.1159428869561</v>
      </c>
    </row>
    <row r="181" spans="1:16" ht="14.25">
      <c r="A181" s="281"/>
      <c r="B181" s="228" t="s">
        <v>271</v>
      </c>
      <c r="C181" s="266"/>
      <c r="D181" s="271">
        <v>1500</v>
      </c>
      <c r="E181" s="558"/>
      <c r="F181" s="647">
        <v>1705.6000000000001</v>
      </c>
      <c r="G181" s="404">
        <f>+F181*(1+'Unit tariffs'!$F$2)</f>
        <v>1777.2352000000003</v>
      </c>
      <c r="H181" s="240">
        <f>(G181-F181)/F181</f>
        <v>0.04200000000000009</v>
      </c>
      <c r="I181" s="241">
        <f>G181*I$3</f>
        <v>266.58528</v>
      </c>
      <c r="J181" s="595">
        <f>+I181+G181</f>
        <v>2043.8204800000003</v>
      </c>
      <c r="K181" s="365"/>
      <c r="M181" s="431">
        <f>+L181+J181</f>
        <v>2043.8204800000003</v>
      </c>
      <c r="N181" s="431">
        <f>+$M181*(1+'Unit tariffs'!$F$2)</f>
        <v>2129.6609401600003</v>
      </c>
      <c r="O181" s="431">
        <f>+$N181*(1+'Unit tariffs'!$F$2)</f>
        <v>2219.1066996467202</v>
      </c>
      <c r="P181" s="431">
        <f>+$O181*(1+'Unit tariffs'!$F$2)</f>
        <v>2312.3091810318824</v>
      </c>
    </row>
    <row r="182" spans="1:16" ht="14.25">
      <c r="A182" s="281"/>
      <c r="B182" s="228" t="s">
        <v>351</v>
      </c>
      <c r="C182" s="266"/>
      <c r="D182" s="271">
        <v>6600</v>
      </c>
      <c r="E182" s="558"/>
      <c r="F182" s="647">
        <v>7568.6</v>
      </c>
      <c r="G182" s="404">
        <f>+F182*(1+'Unit tariffs'!$F$2)</f>
        <v>7886.481200000001</v>
      </c>
      <c r="H182" s="240">
        <f>(G182-F182)/F182</f>
        <v>0.04200000000000009</v>
      </c>
      <c r="I182" s="264"/>
      <c r="J182" s="598"/>
      <c r="K182" s="365"/>
      <c r="M182" s="431">
        <f>+L182+J182</f>
        <v>0</v>
      </c>
      <c r="N182" s="449"/>
      <c r="O182" s="449"/>
      <c r="P182" s="449"/>
    </row>
    <row r="183" spans="1:16" ht="14.25">
      <c r="A183" s="281"/>
      <c r="B183" s="228" t="s">
        <v>354</v>
      </c>
      <c r="C183" s="266"/>
      <c r="D183" s="271">
        <v>6600</v>
      </c>
      <c r="E183" s="558"/>
      <c r="F183" s="647">
        <v>7568.6</v>
      </c>
      <c r="G183" s="404">
        <f>+F183*(1+'Unit tariffs'!$F$2)</f>
        <v>7886.481200000001</v>
      </c>
      <c r="H183" s="240">
        <f>(G183-F183)/F183</f>
        <v>0.04200000000000009</v>
      </c>
      <c r="I183" s="266"/>
      <c r="J183" s="598"/>
      <c r="K183" s="365"/>
      <c r="M183" s="431">
        <f>+L183+J183</f>
        <v>0</v>
      </c>
      <c r="N183" s="449"/>
      <c r="O183" s="449"/>
      <c r="P183" s="449"/>
    </row>
    <row r="184" spans="1:16" ht="30" customHeight="1">
      <c r="A184" s="288" t="s">
        <v>277</v>
      </c>
      <c r="B184" s="233"/>
      <c r="C184" s="266"/>
      <c r="D184" s="271"/>
      <c r="E184" s="558"/>
      <c r="F184" s="647"/>
      <c r="G184" s="270"/>
      <c r="H184" s="272"/>
      <c r="I184" s="266"/>
      <c r="J184" s="598"/>
      <c r="K184" s="365"/>
      <c r="M184" s="449"/>
      <c r="N184" s="449"/>
      <c r="O184" s="449"/>
      <c r="P184" s="449"/>
    </row>
    <row r="185" spans="1:16" ht="18" customHeight="1">
      <c r="A185" s="281"/>
      <c r="B185" s="228" t="s">
        <v>266</v>
      </c>
      <c r="C185" s="266"/>
      <c r="D185" s="271">
        <v>2280</v>
      </c>
      <c r="E185" s="558"/>
      <c r="F185" s="647">
        <v>2665</v>
      </c>
      <c r="G185" s="404">
        <f>+F185*(1+'Unit tariffs'!$F$2)</f>
        <v>2776.9300000000003</v>
      </c>
      <c r="H185" s="240">
        <f>(G185-F185)/F185</f>
        <v>0.04200000000000011</v>
      </c>
      <c r="I185" s="241">
        <f>G185*I$3</f>
        <v>416.53950000000003</v>
      </c>
      <c r="J185" s="598">
        <f>+G185+I185</f>
        <v>3193.4695</v>
      </c>
      <c r="K185" s="365"/>
      <c r="M185" s="431">
        <f>+J185+L185</f>
        <v>3193.4695</v>
      </c>
      <c r="N185" s="431">
        <v>3606.0483869259206</v>
      </c>
      <c r="O185" s="431">
        <v>3764.7145159506613</v>
      </c>
      <c r="P185" s="431">
        <v>3934.126669168441</v>
      </c>
    </row>
    <row r="186" spans="1:16" ht="14.25">
      <c r="A186" s="281"/>
      <c r="B186" s="228" t="s">
        <v>267</v>
      </c>
      <c r="C186" s="266"/>
      <c r="D186" s="271">
        <v>11400</v>
      </c>
      <c r="E186" s="558"/>
      <c r="F186" s="647">
        <v>13005.2</v>
      </c>
      <c r="G186" s="404">
        <f>+F186*(1+'Unit tariffs'!$F$2)</f>
        <v>13551.4184</v>
      </c>
      <c r="H186" s="240">
        <f>(G186-F186)/F186</f>
        <v>0.041999999999999975</v>
      </c>
      <c r="I186" s="241">
        <f>G186*I$3</f>
        <v>2032.71276</v>
      </c>
      <c r="J186" s="598">
        <f>+G186+I186</f>
        <v>15584.13116</v>
      </c>
      <c r="K186" s="365"/>
      <c r="M186" s="431">
        <f>+J186+L186</f>
        <v>15584.13116</v>
      </c>
      <c r="N186" s="431">
        <v>17597.51612819849</v>
      </c>
      <c r="O186" s="431">
        <v>18371.806837839224</v>
      </c>
      <c r="P186" s="431">
        <v>19198.53814554199</v>
      </c>
    </row>
    <row r="187" spans="1:16" ht="14.25">
      <c r="A187" s="281"/>
      <c r="B187" s="228" t="s">
        <v>268</v>
      </c>
      <c r="C187" s="266"/>
      <c r="D187" s="271">
        <v>57000</v>
      </c>
      <c r="E187" s="558"/>
      <c r="F187" s="647">
        <v>65026</v>
      </c>
      <c r="G187" s="404">
        <f>+F187*(1+'Unit tariffs'!$F$2)</f>
        <v>67757.092</v>
      </c>
      <c r="H187" s="240">
        <f>(G187-F187)/F187</f>
        <v>0.042000000000000065</v>
      </c>
      <c r="I187" s="241">
        <f>G187*I$3</f>
        <v>10163.5638</v>
      </c>
      <c r="J187" s="598">
        <f>+G187+I187</f>
        <v>77920.65580000001</v>
      </c>
      <c r="K187" s="365"/>
      <c r="M187" s="431">
        <f>+J187+L187</f>
        <v>77920.65580000001</v>
      </c>
      <c r="N187" s="431">
        <v>87987.58064099247</v>
      </c>
      <c r="O187" s="431">
        <v>91859.03418919614</v>
      </c>
      <c r="P187" s="431">
        <v>95900.83169352077</v>
      </c>
    </row>
    <row r="188" spans="1:16" ht="12.75" customHeight="1">
      <c r="A188" s="859" t="s">
        <v>278</v>
      </c>
      <c r="B188" s="860"/>
      <c r="C188" s="861"/>
      <c r="D188" s="266"/>
      <c r="E188" s="266"/>
      <c r="F188" s="266"/>
      <c r="G188" s="266"/>
      <c r="H188" s="240"/>
      <c r="I188" s="266"/>
      <c r="J188" s="601"/>
      <c r="K188" s="365"/>
      <c r="M188" s="449"/>
      <c r="N188" s="449"/>
      <c r="O188" s="449"/>
      <c r="P188" s="449"/>
    </row>
    <row r="189" spans="1:16" ht="12.75" customHeight="1">
      <c r="A189" s="859" t="s">
        <v>279</v>
      </c>
      <c r="B189" s="860"/>
      <c r="C189" s="861"/>
      <c r="D189" s="266"/>
      <c r="E189" s="266"/>
      <c r="F189" s="266"/>
      <c r="G189" s="266"/>
      <c r="H189" s="272"/>
      <c r="I189" s="266"/>
      <c r="J189" s="601"/>
      <c r="K189" s="365"/>
      <c r="M189" s="449"/>
      <c r="N189" s="449"/>
      <c r="O189" s="449"/>
      <c r="P189" s="449"/>
    </row>
    <row r="190" spans="1:16" ht="14.25">
      <c r="A190" s="281"/>
      <c r="B190" s="233"/>
      <c r="C190" s="234"/>
      <c r="D190" s="229"/>
      <c r="E190" s="229"/>
      <c r="F190" s="229"/>
      <c r="G190" s="229"/>
      <c r="H190" s="231"/>
      <c r="I190" s="228"/>
      <c r="J190" s="602"/>
      <c r="K190" s="282"/>
      <c r="M190" s="429"/>
      <c r="N190" s="429"/>
      <c r="O190" s="429"/>
      <c r="P190" s="429"/>
    </row>
    <row r="191" spans="1:16" ht="14.25">
      <c r="A191" s="288" t="s">
        <v>106</v>
      </c>
      <c r="B191" s="239"/>
      <c r="C191" s="234"/>
      <c r="D191" s="229"/>
      <c r="E191" s="229"/>
      <c r="F191" s="229"/>
      <c r="G191" s="229"/>
      <c r="H191" s="231"/>
      <c r="I191" s="228"/>
      <c r="J191" s="602"/>
      <c r="K191" s="282"/>
      <c r="M191" s="429"/>
      <c r="N191" s="429"/>
      <c r="O191" s="429"/>
      <c r="P191" s="429"/>
    </row>
    <row r="192" spans="1:16" ht="14.25">
      <c r="A192" s="288" t="s">
        <v>130</v>
      </c>
      <c r="B192" s="239"/>
      <c r="C192" s="234"/>
      <c r="D192" s="229"/>
      <c r="E192" s="229"/>
      <c r="F192" s="229"/>
      <c r="G192" s="229"/>
      <c r="H192" s="235"/>
      <c r="I192" s="228"/>
      <c r="J192" s="602"/>
      <c r="K192" s="282"/>
      <c r="M192" s="429"/>
      <c r="N192" s="429"/>
      <c r="O192" s="429"/>
      <c r="P192" s="429"/>
    </row>
    <row r="193" spans="1:16" ht="19.5" customHeight="1">
      <c r="A193" s="288" t="s">
        <v>107</v>
      </c>
      <c r="B193" s="239"/>
      <c r="C193" s="234"/>
      <c r="D193" s="229"/>
      <c r="E193" s="229"/>
      <c r="F193" s="229"/>
      <c r="G193" s="229"/>
      <c r="H193" s="231"/>
      <c r="I193" s="228"/>
      <c r="J193" s="602"/>
      <c r="K193" s="282"/>
      <c r="M193" s="429"/>
      <c r="N193" s="429"/>
      <c r="O193" s="429"/>
      <c r="P193" s="429"/>
    </row>
    <row r="194" spans="1:16" ht="18.75" customHeight="1">
      <c r="A194" s="281" t="s">
        <v>110</v>
      </c>
      <c r="B194" s="233"/>
      <c r="C194" s="234"/>
      <c r="D194" s="229"/>
      <c r="E194" s="229"/>
      <c r="F194" s="229"/>
      <c r="G194" s="229"/>
      <c r="H194" s="231"/>
      <c r="I194" s="228"/>
      <c r="J194" s="602"/>
      <c r="K194" s="282"/>
      <c r="M194" s="429"/>
      <c r="N194" s="429"/>
      <c r="O194" s="429"/>
      <c r="P194" s="429"/>
    </row>
    <row r="195" spans="1:16" ht="14.25">
      <c r="A195" s="281"/>
      <c r="B195" s="233"/>
      <c r="C195" s="234"/>
      <c r="D195" s="229"/>
      <c r="E195" s="229"/>
      <c r="F195" s="229"/>
      <c r="G195" s="229"/>
      <c r="H195" s="231"/>
      <c r="I195" s="228"/>
      <c r="J195" s="602"/>
      <c r="K195" s="282"/>
      <c r="M195" s="429"/>
      <c r="N195" s="429"/>
      <c r="O195" s="429"/>
      <c r="P195" s="429"/>
    </row>
    <row r="196" spans="1:16" ht="14.25">
      <c r="A196" s="288" t="s">
        <v>274</v>
      </c>
      <c r="B196" s="233"/>
      <c r="C196" s="234"/>
      <c r="D196" s="229"/>
      <c r="E196" s="229"/>
      <c r="F196" s="229"/>
      <c r="G196" s="229"/>
      <c r="H196" s="231"/>
      <c r="I196" s="228"/>
      <c r="J196" s="602"/>
      <c r="K196" s="282"/>
      <c r="M196" s="429"/>
      <c r="N196" s="429"/>
      <c r="O196" s="429"/>
      <c r="P196" s="429"/>
    </row>
    <row r="197" spans="1:16" ht="14.25">
      <c r="A197" s="288" t="s">
        <v>272</v>
      </c>
      <c r="B197" s="233"/>
      <c r="C197" s="234"/>
      <c r="D197" s="229"/>
      <c r="E197" s="229"/>
      <c r="F197" s="229"/>
      <c r="G197" s="229"/>
      <c r="H197" s="231"/>
      <c r="I197" s="228"/>
      <c r="J197" s="602"/>
      <c r="K197" s="282"/>
      <c r="M197" s="429"/>
      <c r="N197" s="429"/>
      <c r="O197" s="429"/>
      <c r="P197" s="429"/>
    </row>
    <row r="198" spans="1:16" ht="15" thickBot="1">
      <c r="A198" s="289" t="s">
        <v>273</v>
      </c>
      <c r="B198" s="290"/>
      <c r="C198" s="291"/>
      <c r="D198" s="292"/>
      <c r="E198" s="292"/>
      <c r="F198" s="292"/>
      <c r="G198" s="292"/>
      <c r="H198" s="294"/>
      <c r="I198" s="295"/>
      <c r="J198" s="603"/>
      <c r="K198" s="297"/>
      <c r="L198" s="409"/>
      <c r="M198" s="435"/>
      <c r="N198" s="435"/>
      <c r="O198" s="435"/>
      <c r="P198" s="435"/>
    </row>
  </sheetData>
  <sheetProtection/>
  <mergeCells count="3">
    <mergeCell ref="A188:C188"/>
    <mergeCell ref="A189:C189"/>
    <mergeCell ref="B157:J157"/>
  </mergeCells>
  <printOptions/>
  <pageMargins left="0.25" right="0.25" top="0.75" bottom="0.75" header="0.3" footer="0.3"/>
  <pageSetup horizontalDpi="600" verticalDpi="600" orientation="landscape" paperSize="8" scale="60" r:id="rId1"/>
  <rowBreaks count="4" manualBreakCount="4">
    <brk id="63" max="255" man="1"/>
    <brk id="90" max="255" man="1"/>
    <brk id="127" max="255" man="1"/>
    <brk id="157" max="255" man="1"/>
  </rowBreaks>
</worksheet>
</file>

<file path=xl/worksheets/sheet6.xml><?xml version="1.0" encoding="utf-8"?>
<worksheet xmlns="http://schemas.openxmlformats.org/spreadsheetml/2006/main" xmlns:r="http://schemas.openxmlformats.org/officeDocument/2006/relationships">
  <sheetPr>
    <tabColor theme="4" tint="-0.24997000396251678"/>
  </sheetPr>
  <dimension ref="A1:N204"/>
  <sheetViews>
    <sheetView zoomScale="85" zoomScaleNormal="85" zoomScalePageLayoutView="0" workbookViewId="0" topLeftCell="A67">
      <selection activeCell="A77" sqref="A77:IV81"/>
    </sheetView>
  </sheetViews>
  <sheetFormatPr defaultColWidth="8.8515625" defaultRowHeight="12.75"/>
  <cols>
    <col min="1" max="1" width="1.7109375" style="77" customWidth="1"/>
    <col min="2" max="2" width="80.28125" style="205" customWidth="1"/>
    <col min="3" max="3" width="13.140625" style="207" customWidth="1"/>
    <col min="4" max="4" width="23.28125" style="211" hidden="1" customWidth="1"/>
    <col min="5" max="5" width="21.28125" style="211" hidden="1" customWidth="1"/>
    <col min="6" max="7" width="22.140625" style="212" bestFit="1" customWidth="1"/>
    <col min="8" max="8" width="13.00390625" style="206" customWidth="1"/>
    <col min="9" max="9" width="11.8515625" style="77" customWidth="1"/>
    <col min="10" max="10" width="12.28125" style="605" customWidth="1"/>
    <col min="11" max="11" width="20.57421875" style="77" customWidth="1"/>
    <col min="12" max="12" width="19.00390625" style="77" hidden="1" customWidth="1"/>
    <col min="13" max="13" width="14.57421875" style="407" customWidth="1"/>
    <col min="14" max="14" width="15.421875" style="407" customWidth="1"/>
    <col min="15" max="16384" width="8.8515625" style="77" customWidth="1"/>
  </cols>
  <sheetData>
    <row r="1" spans="1:14" ht="15">
      <c r="A1" s="273"/>
      <c r="B1" s="274" t="s">
        <v>478</v>
      </c>
      <c r="C1" s="275"/>
      <c r="D1" s="276"/>
      <c r="E1" s="531" t="s">
        <v>373</v>
      </c>
      <c r="F1" s="622"/>
      <c r="G1" s="279"/>
      <c r="H1" s="277"/>
      <c r="I1" s="278"/>
      <c r="J1" s="580"/>
      <c r="K1" s="280"/>
      <c r="L1" s="408"/>
      <c r="M1" s="420"/>
      <c r="N1" s="421"/>
    </row>
    <row r="2" spans="1:14" ht="14.25" customHeight="1">
      <c r="A2" s="281"/>
      <c r="B2" s="233" t="s">
        <v>1</v>
      </c>
      <c r="C2" s="234"/>
      <c r="D2" s="340" t="s">
        <v>319</v>
      </c>
      <c r="E2" s="532" t="s">
        <v>74</v>
      </c>
      <c r="F2" s="623" t="s">
        <v>74</v>
      </c>
      <c r="G2" s="236" t="s">
        <v>74</v>
      </c>
      <c r="H2" s="339" t="s">
        <v>85</v>
      </c>
      <c r="I2" s="55" t="s">
        <v>470</v>
      </c>
      <c r="J2" s="236" t="s">
        <v>138</v>
      </c>
      <c r="K2" s="337" t="s">
        <v>75</v>
      </c>
      <c r="M2" s="691" t="s">
        <v>138</v>
      </c>
      <c r="N2" s="692" t="s">
        <v>138</v>
      </c>
    </row>
    <row r="3" spans="1:14" ht="14.25">
      <c r="A3" s="281"/>
      <c r="B3" s="319" t="s">
        <v>332</v>
      </c>
      <c r="C3" s="238"/>
      <c r="D3" s="340" t="s">
        <v>320</v>
      </c>
      <c r="E3" s="532" t="s">
        <v>320</v>
      </c>
      <c r="F3" s="623" t="s">
        <v>320</v>
      </c>
      <c r="G3" s="236" t="s">
        <v>320</v>
      </c>
      <c r="H3" s="339" t="s">
        <v>86</v>
      </c>
      <c r="I3" s="665">
        <f>+'Unit tariffs'!F$3</f>
        <v>0.15</v>
      </c>
      <c r="J3" s="236" t="s">
        <v>139</v>
      </c>
      <c r="K3" s="337" t="s">
        <v>78</v>
      </c>
      <c r="M3" s="691" t="s">
        <v>139</v>
      </c>
      <c r="N3" s="692" t="s">
        <v>139</v>
      </c>
    </row>
    <row r="4" spans="1:14" ht="14.25">
      <c r="A4" s="281"/>
      <c r="B4" s="233" t="s">
        <v>1</v>
      </c>
      <c r="C4" s="238" t="s">
        <v>330</v>
      </c>
      <c r="D4" s="340" t="s">
        <v>280</v>
      </c>
      <c r="E4" s="532" t="str">
        <f>'Calc Sheet 20_21'!H11</f>
        <v>2020/2021</v>
      </c>
      <c r="F4" s="690" t="str">
        <f>'Calc Sheet 20_21'!$H$11</f>
        <v>2020/2021</v>
      </c>
      <c r="G4" s="236" t="str">
        <f>'Calc Sheet 20_21'!$I$11</f>
        <v>2021/2022</v>
      </c>
      <c r="H4" s="339" t="str">
        <f>G4</f>
        <v>2021/2022</v>
      </c>
      <c r="I4" s="55" t="str">
        <f>G4</f>
        <v>2021/2022</v>
      </c>
      <c r="J4" s="236" t="str">
        <f>I4</f>
        <v>2021/2022</v>
      </c>
      <c r="K4" s="337" t="s">
        <v>79</v>
      </c>
      <c r="M4" s="691" t="s">
        <v>460</v>
      </c>
      <c r="N4" s="692" t="s">
        <v>481</v>
      </c>
    </row>
    <row r="5" spans="1:14" ht="15" thickBot="1">
      <c r="A5" s="305"/>
      <c r="B5" s="321" t="s">
        <v>1</v>
      </c>
      <c r="C5" s="307" t="s">
        <v>331</v>
      </c>
      <c r="D5" s="343" t="s">
        <v>80</v>
      </c>
      <c r="E5" s="533" t="s">
        <v>80</v>
      </c>
      <c r="F5" s="624" t="s">
        <v>80</v>
      </c>
      <c r="G5" s="346" t="s">
        <v>80</v>
      </c>
      <c r="H5" s="344"/>
      <c r="I5" s="345"/>
      <c r="J5" s="346"/>
      <c r="K5" s="347"/>
      <c r="M5" s="424"/>
      <c r="N5" s="425"/>
    </row>
    <row r="6" spans="1:14" ht="15" thickTop="1">
      <c r="A6" s="298"/>
      <c r="B6" s="327"/>
      <c r="C6" s="341"/>
      <c r="D6" s="317"/>
      <c r="E6" s="534"/>
      <c r="F6" s="625"/>
      <c r="G6" s="304"/>
      <c r="H6" s="302"/>
      <c r="I6" s="303"/>
      <c r="J6" s="581"/>
      <c r="K6" s="322"/>
      <c r="M6" s="426"/>
      <c r="N6" s="427"/>
    </row>
    <row r="7" spans="1:14" ht="24" customHeight="1">
      <c r="A7" s="281"/>
      <c r="B7" s="238" t="s">
        <v>104</v>
      </c>
      <c r="C7" s="238"/>
      <c r="D7" s="391"/>
      <c r="E7" s="535"/>
      <c r="F7" s="626"/>
      <c r="G7" s="232"/>
      <c r="H7" s="231"/>
      <c r="I7" s="228"/>
      <c r="J7" s="582"/>
      <c r="K7" s="282"/>
      <c r="M7" s="428"/>
      <c r="N7" s="429"/>
    </row>
    <row r="8" spans="1:14" ht="14.25">
      <c r="A8" s="281"/>
      <c r="B8" s="239" t="str">
        <f>'Calc Sheet 20_21'!B5</f>
        <v>1. NEW SINGLE PHASE CONNECTIONS: URBAN</v>
      </c>
      <c r="C8" s="238"/>
      <c r="D8" s="230"/>
      <c r="E8" s="536"/>
      <c r="F8" s="626"/>
      <c r="G8" s="232"/>
      <c r="H8" s="231"/>
      <c r="I8" s="228"/>
      <c r="J8" s="582"/>
      <c r="K8" s="282"/>
      <c r="M8" s="428"/>
      <c r="N8" s="429"/>
    </row>
    <row r="9" spans="1:14" ht="14.25">
      <c r="A9" s="281"/>
      <c r="B9" s="239"/>
      <c r="C9" s="238"/>
      <c r="D9" s="230"/>
      <c r="E9" s="536"/>
      <c r="F9" s="626"/>
      <c r="G9" s="232"/>
      <c r="H9" s="231"/>
      <c r="I9" s="228"/>
      <c r="J9" s="582"/>
      <c r="K9" s="282"/>
      <c r="M9" s="428"/>
      <c r="N9" s="429"/>
    </row>
    <row r="10" spans="1:14" ht="27">
      <c r="A10" s="281"/>
      <c r="B10" s="233" t="str">
        <f>'Calc Sheet 20_21'!B7</f>
        <v>1.1  Single phase overhead connection with Split Pre-payment meter taken from overhead network   - No Ready board   </v>
      </c>
      <c r="C10" s="234" t="s">
        <v>241</v>
      </c>
      <c r="D10" s="213">
        <f>'Calc Sheet 20_21'!H37</f>
        <v>6510</v>
      </c>
      <c r="E10" s="537">
        <v>6225</v>
      </c>
      <c r="F10" s="627">
        <f>+'Calc Sheet 20_21'!H37</f>
        <v>6510</v>
      </c>
      <c r="G10" s="393">
        <f>'Calc Sheet 20_21'!I37</f>
        <v>6880</v>
      </c>
      <c r="H10" s="240">
        <f>(G10-F10)/F10</f>
        <v>0.05683563748079877</v>
      </c>
      <c r="I10" s="241">
        <f>G10*I$3</f>
        <v>1032</v>
      </c>
      <c r="J10" s="583">
        <f>G10+I10</f>
        <v>7912</v>
      </c>
      <c r="K10" s="283">
        <v>9100033030416</v>
      </c>
      <c r="M10" s="430">
        <f>+$J10*(1+'Unit tariffs'!$F$2)</f>
        <v>8244.304</v>
      </c>
      <c r="N10" s="431">
        <f>+$M10*(1+'Unit tariffs'!$F$2)</f>
        <v>8590.564768</v>
      </c>
    </row>
    <row r="11" spans="1:14" ht="14.25">
      <c r="A11" s="281"/>
      <c r="B11" s="233"/>
      <c r="C11" s="234"/>
      <c r="D11" s="213"/>
      <c r="E11" s="537"/>
      <c r="F11" s="627"/>
      <c r="G11" s="393"/>
      <c r="H11" s="240"/>
      <c r="I11" s="240"/>
      <c r="J11" s="584"/>
      <c r="K11" s="284"/>
      <c r="M11" s="432"/>
      <c r="N11" s="433"/>
    </row>
    <row r="12" spans="1:14" ht="27">
      <c r="A12" s="281"/>
      <c r="B12" s="233" t="str">
        <f>'Calc Sheet 20_21'!B50</f>
        <v>1.2  Single phase overhead connection with Split Pre-payment meter taken from overhead network   - With Ready board   </v>
      </c>
      <c r="C12" s="234" t="s">
        <v>241</v>
      </c>
      <c r="D12" s="213">
        <f>'Calc Sheet 20_21'!H82</f>
        <v>8230</v>
      </c>
      <c r="E12" s="537">
        <v>1400</v>
      </c>
      <c r="F12" s="627">
        <f>+'Calc Sheet 20_21'!H82</f>
        <v>8230</v>
      </c>
      <c r="G12" s="393">
        <f>'Calc Sheet 20_21'!I82</f>
        <v>8910</v>
      </c>
      <c r="H12" s="240">
        <f>(G12-F12)/F12</f>
        <v>0.08262454434993925</v>
      </c>
      <c r="I12" s="241">
        <f>G12*I$3</f>
        <v>1336.5</v>
      </c>
      <c r="J12" s="583">
        <f>G12+I12</f>
        <v>10246.5</v>
      </c>
      <c r="K12" s="283">
        <v>9100033030416</v>
      </c>
      <c r="M12" s="430">
        <f>+$J12*(1+'Unit tariffs'!$F$2)</f>
        <v>10676.853000000001</v>
      </c>
      <c r="N12" s="431">
        <f>+$M12*(1+'Unit tariffs'!$F$2)</f>
        <v>11125.280826000002</v>
      </c>
    </row>
    <row r="13" spans="1:14" ht="14.25">
      <c r="A13" s="281"/>
      <c r="B13" s="243"/>
      <c r="C13" s="244"/>
      <c r="D13" s="213"/>
      <c r="E13" s="537"/>
      <c r="F13" s="627"/>
      <c r="G13" s="393"/>
      <c r="H13" s="240"/>
      <c r="I13" s="240"/>
      <c r="J13" s="584"/>
      <c r="K13" s="284"/>
      <c r="M13" s="432"/>
      <c r="N13" s="433"/>
    </row>
    <row r="14" spans="1:14" ht="27">
      <c r="A14" s="281"/>
      <c r="B14" s="233" t="str">
        <f>+'Calc Sheet 20_21'!B86</f>
        <v>1.3  Single phase underground/ovehead connection with Split Pre-payment meter taken from underground/overhead network (Flisp Housing)  - With Ready board   </v>
      </c>
      <c r="C14" s="702" t="s">
        <v>296</v>
      </c>
      <c r="D14" s="213"/>
      <c r="E14" s="537"/>
      <c r="F14" s="627">
        <f>+'Calc Sheet 20_21'!H115</f>
        <v>10720</v>
      </c>
      <c r="G14" s="393">
        <f>+'Calc Sheet 20_21'!I115</f>
        <v>9510</v>
      </c>
      <c r="H14" s="240">
        <f>(G14-F14)/F14</f>
        <v>-0.11287313432835822</v>
      </c>
      <c r="I14" s="241">
        <f>G14*I$3</f>
        <v>1426.5</v>
      </c>
      <c r="J14" s="583">
        <f>G14+I14</f>
        <v>10936.5</v>
      </c>
      <c r="K14" s="283">
        <v>9100033030416</v>
      </c>
      <c r="M14" s="430">
        <f>+$J14*(1+'Unit tariffs'!$F$2)</f>
        <v>11395.833</v>
      </c>
      <c r="N14" s="431">
        <f>+$M14*(1+'Unit tariffs'!$F$2)</f>
        <v>11874.457986000001</v>
      </c>
    </row>
    <row r="15" spans="1:14" ht="14.25">
      <c r="A15" s="281"/>
      <c r="B15" s="243"/>
      <c r="C15" s="244"/>
      <c r="D15" s="213"/>
      <c r="E15" s="537"/>
      <c r="F15" s="627"/>
      <c r="G15" s="393"/>
      <c r="H15" s="240"/>
      <c r="I15" s="240"/>
      <c r="J15" s="584"/>
      <c r="K15" s="284"/>
      <c r="M15" s="432"/>
      <c r="N15" s="433"/>
    </row>
    <row r="16" spans="1:14" ht="27">
      <c r="A16" s="281"/>
      <c r="B16" s="233" t="str">
        <f>'Calc Sheet 20_21'!B119</f>
        <v>1.4  New connection (Permanent) for Church/ Creche with NPO certificate &amp; Proof of Title deeds paper registered with Church/Creche:  Single phase Split Prepaid  meter</v>
      </c>
      <c r="C16" s="234" t="s">
        <v>241</v>
      </c>
      <c r="D16" s="213">
        <f>'Calc Sheet 20_21'!H148</f>
        <v>10790</v>
      </c>
      <c r="E16" s="537">
        <v>1000</v>
      </c>
      <c r="F16" s="627">
        <f>+'Calc Sheet 20_21'!H148</f>
        <v>10790</v>
      </c>
      <c r="G16" s="393">
        <f>'Calc Sheet 20_21'!I148</f>
        <v>13250</v>
      </c>
      <c r="H16" s="240">
        <f>(G16-F16)/F16</f>
        <v>0.22798887859128822</v>
      </c>
      <c r="I16" s="241">
        <f>G16*I$3</f>
        <v>1987.5</v>
      </c>
      <c r="J16" s="583">
        <f>G16+I16</f>
        <v>15237.5</v>
      </c>
      <c r="K16" s="283">
        <v>9100033030416</v>
      </c>
      <c r="M16" s="430">
        <f>+$J16*(1+'Unit tariffs'!$F$2)</f>
        <v>15877.475</v>
      </c>
      <c r="N16" s="431">
        <f>+$M16*(1+'Unit tariffs'!$F$2)</f>
        <v>16544.32895</v>
      </c>
    </row>
    <row r="17" spans="1:14" ht="19.5" customHeight="1">
      <c r="A17" s="281"/>
      <c r="B17" s="233"/>
      <c r="C17" s="234"/>
      <c r="D17" s="213"/>
      <c r="E17" s="537"/>
      <c r="F17" s="627"/>
      <c r="G17" s="393"/>
      <c r="H17" s="240"/>
      <c r="I17" s="241"/>
      <c r="J17" s="583"/>
      <c r="K17" s="283"/>
      <c r="M17" s="430"/>
      <c r="N17" s="431"/>
    </row>
    <row r="18" spans="1:14" ht="32.25" customHeight="1">
      <c r="A18" s="281"/>
      <c r="B18" s="245" t="str">
        <f>+'Calc Sheet 20_21'!B155</f>
        <v>1.5  Single phase domestic connection in meter box placed on stand boundary taken from underground cable network (connection to an erf, where the development costs has been paid) -</v>
      </c>
      <c r="C18" s="234" t="s">
        <v>241</v>
      </c>
      <c r="D18" s="213"/>
      <c r="E18" s="536"/>
      <c r="F18" s="627"/>
      <c r="G18" s="393"/>
      <c r="H18" s="240"/>
      <c r="I18" s="241"/>
      <c r="J18" s="583"/>
      <c r="K18" s="283"/>
      <c r="M18" s="430"/>
      <c r="N18" s="431"/>
    </row>
    <row r="19" spans="1:14" ht="32.25" customHeight="1">
      <c r="A19" s="281"/>
      <c r="B19" s="245" t="str">
        <f>+'Calc Sheet 20_21'!B157:G157</f>
        <v>    1.5.1 Connection in meter box, Single Phase Time of Use kWh meter</v>
      </c>
      <c r="C19" s="234" t="s">
        <v>241</v>
      </c>
      <c r="D19" s="213">
        <v>1620</v>
      </c>
      <c r="E19" s="537">
        <v>2230</v>
      </c>
      <c r="F19" s="627">
        <f>+'Calc Sheet 20_21'!H184</f>
        <v>8500</v>
      </c>
      <c r="G19" s="393">
        <f>+'Calc Sheet 20_21'!I184</f>
        <v>8260</v>
      </c>
      <c r="H19" s="240">
        <f>(G19-F19)/F19</f>
        <v>-0.02823529411764706</v>
      </c>
      <c r="I19" s="241">
        <f>G19*I$3</f>
        <v>1239</v>
      </c>
      <c r="J19" s="583">
        <f>G19+I19</f>
        <v>9499</v>
      </c>
      <c r="K19" s="283">
        <v>9100033030416</v>
      </c>
      <c r="M19" s="430">
        <f>+$J19*(1+'Unit tariffs'!$F$2)</f>
        <v>9897.958</v>
      </c>
      <c r="N19" s="431">
        <f>+$M19*(1+'Unit tariffs'!$F$2)</f>
        <v>10313.672236</v>
      </c>
    </row>
    <row r="20" spans="1:14" ht="32.25" customHeight="1">
      <c r="A20" s="281"/>
      <c r="B20" s="245" t="str">
        <f>+'Calc Sheet 20_21'!B191:G191</f>
        <v>    1.5.2 Connection in meter box, Single phase Split pre-payment meter</v>
      </c>
      <c r="C20" s="234" t="s">
        <v>241</v>
      </c>
      <c r="D20" s="213">
        <v>3180</v>
      </c>
      <c r="E20" s="537">
        <v>4340</v>
      </c>
      <c r="F20" s="627">
        <f>+'Calc Sheet 20_21'!H215</f>
        <v>4530</v>
      </c>
      <c r="G20" s="393">
        <f>+'Calc Sheet 20_21'!I215</f>
        <v>4800</v>
      </c>
      <c r="H20" s="240">
        <f>(G20-F20)/F20</f>
        <v>0.059602649006622516</v>
      </c>
      <c r="I20" s="241">
        <f>G20*I$3</f>
        <v>720</v>
      </c>
      <c r="J20" s="583">
        <f>G20+I20</f>
        <v>5520</v>
      </c>
      <c r="K20" s="283">
        <v>9100033030416</v>
      </c>
      <c r="M20" s="430">
        <f>+$J20*(1+'Unit tariffs'!$F$2)</f>
        <v>5751.84</v>
      </c>
      <c r="N20" s="431">
        <f>+$M20*(1+'Unit tariffs'!$F$2)</f>
        <v>5993.417280000001</v>
      </c>
    </row>
    <row r="21" spans="1:14" ht="14.25">
      <c r="A21" s="281"/>
      <c r="B21" s="233"/>
      <c r="C21" s="234"/>
      <c r="D21" s="213"/>
      <c r="E21" s="537"/>
      <c r="F21" s="627"/>
      <c r="G21" s="393"/>
      <c r="H21" s="240"/>
      <c r="I21" s="241"/>
      <c r="J21" s="583"/>
      <c r="K21" s="283"/>
      <c r="M21" s="430"/>
      <c r="N21" s="431"/>
    </row>
    <row r="22" spans="1:14" ht="27">
      <c r="A22" s="281"/>
      <c r="B22" s="246" t="str">
        <f>+'Calc Sheet 20_21'!B221</f>
        <v>1.6 Single phase Pre-payment meters for areas that are fully subsidised. (Grants from different departments, e.g USDG, etc)</v>
      </c>
      <c r="C22" s="234" t="s">
        <v>241</v>
      </c>
      <c r="D22" s="213">
        <f>+'Calc Sheet 20_21'!H245</f>
        <v>1050</v>
      </c>
      <c r="E22" s="538">
        <v>370</v>
      </c>
      <c r="F22" s="627">
        <f>+'Calc Sheet 20_21'!H245</f>
        <v>1050</v>
      </c>
      <c r="G22" s="393">
        <f>+'Calc Sheet 20_21'!I245</f>
        <v>800</v>
      </c>
      <c r="H22" s="240">
        <f>(G22-F22)/F22</f>
        <v>-0.23809523809523808</v>
      </c>
      <c r="I22" s="241">
        <f>G22*I$3</f>
        <v>120</v>
      </c>
      <c r="J22" s="583">
        <f>G22+I22</f>
        <v>920</v>
      </c>
      <c r="K22" s="283">
        <v>9100033030416</v>
      </c>
      <c r="M22" s="430">
        <f>+$J22*(1+'Unit tariffs'!$F$2)</f>
        <v>958.64</v>
      </c>
      <c r="N22" s="431">
        <f>+$M22*(1+'Unit tariffs'!$F$2)</f>
        <v>998.90288</v>
      </c>
    </row>
    <row r="23" spans="1:14" ht="20.25" customHeight="1">
      <c r="A23" s="281"/>
      <c r="B23" s="233" t="str">
        <f>+'Calc Sheet 20_21'!B252</f>
        <v>1.7  Subdivision  (Domestic) -  Urban area: </v>
      </c>
      <c r="C23" s="234"/>
      <c r="D23" s="213"/>
      <c r="E23" s="537"/>
      <c r="F23" s="627"/>
      <c r="G23" s="393"/>
      <c r="H23" s="240"/>
      <c r="I23" s="241"/>
      <c r="J23" s="583"/>
      <c r="K23" s="283"/>
      <c r="M23" s="430"/>
      <c r="N23" s="431"/>
    </row>
    <row r="24" spans="1:14" ht="30.75" customHeight="1">
      <c r="A24" s="281"/>
      <c r="B24" s="233" t="str">
        <f>+'Calc Sheet 20_21'!B254</f>
        <v>    1.7.1 Subdivision Urban Area:  A new Single Phase Split pre-payment meter for domestic connection </v>
      </c>
      <c r="C24" s="234" t="s">
        <v>241</v>
      </c>
      <c r="D24" s="213">
        <f>+'Calc Sheet 20_21'!H283</f>
        <v>18760</v>
      </c>
      <c r="E24" s="537">
        <v>15780</v>
      </c>
      <c r="F24" s="627">
        <f>+'Calc Sheet 20_21'!H283</f>
        <v>18760</v>
      </c>
      <c r="G24" s="393">
        <f>+'Calc Sheet 20_21'!I283</f>
        <v>17950</v>
      </c>
      <c r="H24" s="240">
        <f>(G24-F24)/F24</f>
        <v>-0.04317697228144989</v>
      </c>
      <c r="I24" s="241">
        <f>G24*I$3</f>
        <v>2692.5</v>
      </c>
      <c r="J24" s="583">
        <f>G24+I24</f>
        <v>20642.5</v>
      </c>
      <c r="K24" s="285">
        <v>9100033030416</v>
      </c>
      <c r="M24" s="430">
        <f>+$J24*(1+'Unit tariffs'!$F$2)</f>
        <v>21509.485</v>
      </c>
      <c r="N24" s="431">
        <f>+$M24*(1+'Unit tariffs'!$F$2)</f>
        <v>22412.883370000003</v>
      </c>
    </row>
    <row r="25" spans="1:14" ht="93">
      <c r="A25" s="281"/>
      <c r="B25" s="233" t="str">
        <f>+'Calc Sheet 20_21'!B291</f>
        <v>1.8 Additional Meters:  New 1ph  Split pre-paid meter connection- limited up to 500kVA, LV per Erf. Cost estimates will be compiled based on the quantiry of meters required and Network contribution will be levied as per ruling R/kVA.</v>
      </c>
      <c r="C25" s="234" t="s">
        <v>241</v>
      </c>
      <c r="D25" s="247" t="str">
        <f>+'Calc Sheet 20_21'!H291</f>
        <v>Actual estimated cost plus network contribution for 1.5kVA</v>
      </c>
      <c r="E25" s="539"/>
      <c r="F25" s="628" t="s">
        <v>262</v>
      </c>
      <c r="G25" s="394" t="str">
        <f>+'Calc Sheet 20_21'!I291</f>
        <v>Actual estimated cost plus network contribution ADMD (to be detrmined by number of meters applied for) crediting the network contribution already paid for.</v>
      </c>
      <c r="H25" s="231"/>
      <c r="I25" s="228"/>
      <c r="J25" s="582"/>
      <c r="K25" s="282"/>
      <c r="M25" s="428"/>
      <c r="N25" s="429"/>
    </row>
    <row r="26" spans="1:14" ht="14.25">
      <c r="A26" s="350"/>
      <c r="B26" s="351"/>
      <c r="C26" s="352"/>
      <c r="D26" s="703"/>
      <c r="E26" s="704"/>
      <c r="F26" s="705"/>
      <c r="G26" s="706"/>
      <c r="H26" s="707"/>
      <c r="I26" s="708"/>
      <c r="J26" s="709"/>
      <c r="K26" s="710"/>
      <c r="M26" s="711"/>
      <c r="N26" s="712"/>
    </row>
    <row r="27" spans="1:14" ht="15" thickBot="1">
      <c r="A27" s="378"/>
      <c r="B27" s="379"/>
      <c r="C27" s="380"/>
      <c r="D27" s="293"/>
      <c r="E27" s="540"/>
      <c r="F27" s="629"/>
      <c r="G27" s="296"/>
      <c r="H27" s="294"/>
      <c r="I27" s="295"/>
      <c r="J27" s="585"/>
      <c r="K27" s="381"/>
      <c r="L27" s="409"/>
      <c r="M27" s="434"/>
      <c r="N27" s="435"/>
    </row>
    <row r="28" spans="1:14" ht="14.25">
      <c r="A28" s="298"/>
      <c r="B28" s="299" t="str">
        <f>'Calc Sheet 20_21'!B295</f>
        <v>2. NEW THREE PHASE DOMESTIC CONNECTIONS: URBAN</v>
      </c>
      <c r="C28" s="341"/>
      <c r="D28" s="342"/>
      <c r="E28" s="534"/>
      <c r="F28" s="625"/>
      <c r="G28" s="317"/>
      <c r="H28" s="302"/>
      <c r="I28" s="303"/>
      <c r="J28" s="581"/>
      <c r="K28" s="303"/>
      <c r="L28" s="303"/>
      <c r="M28" s="426"/>
      <c r="N28" s="426"/>
    </row>
    <row r="29" spans="1:14" ht="14.25">
      <c r="A29" s="298"/>
      <c r="B29" s="239"/>
      <c r="C29" s="234"/>
      <c r="D29" s="229"/>
      <c r="E29" s="536"/>
      <c r="F29" s="626"/>
      <c r="G29" s="230"/>
      <c r="H29" s="231"/>
      <c r="I29" s="228"/>
      <c r="J29" s="582"/>
      <c r="K29" s="228"/>
      <c r="L29" s="228"/>
      <c r="M29" s="428"/>
      <c r="N29" s="428"/>
    </row>
    <row r="30" spans="1:14" ht="27">
      <c r="A30" s="298"/>
      <c r="B30" s="237" t="str">
        <f>+'Calc Sheet 20_21'!B297</f>
        <v>Three phase connection in meter box placed on stand boundary taken from underground cable network.</v>
      </c>
      <c r="C30" s="300"/>
      <c r="D30" s="301"/>
      <c r="E30" s="541"/>
      <c r="F30" s="630"/>
      <c r="G30" s="396"/>
      <c r="H30" s="302"/>
      <c r="I30" s="303"/>
      <c r="J30" s="581"/>
      <c r="K30" s="322"/>
      <c r="M30" s="426"/>
      <c r="N30" s="427"/>
    </row>
    <row r="31" spans="1:14" ht="12" customHeight="1">
      <c r="A31" s="281"/>
      <c r="B31" s="233"/>
      <c r="C31" s="234"/>
      <c r="D31" s="248"/>
      <c r="E31" s="542"/>
      <c r="F31" s="631"/>
      <c r="G31" s="397"/>
      <c r="H31" s="249"/>
      <c r="I31" s="250"/>
      <c r="J31" s="586"/>
      <c r="K31" s="286"/>
      <c r="M31" s="428"/>
      <c r="N31" s="429"/>
    </row>
    <row r="32" spans="1:14" ht="14.25" hidden="1">
      <c r="A32" s="281"/>
      <c r="B32" s="233" t="str">
        <f>+'Calc Sheet 20_21'!B299</f>
        <v>2.1 Three phase domestic connection (80A) in meter box,  Time of use (TOU) meter    </v>
      </c>
      <c r="C32" s="234" t="s">
        <v>343</v>
      </c>
      <c r="D32" s="213">
        <f>+'Calc Sheet 20_21'!H332</f>
        <v>19790</v>
      </c>
      <c r="E32" s="537">
        <v>18370</v>
      </c>
      <c r="F32" s="627">
        <v>18710</v>
      </c>
      <c r="G32" s="393">
        <f>+'Calc Sheet 20_21'!I332</f>
        <v>22990</v>
      </c>
      <c r="H32" s="240">
        <f>(G32-F32)/F32</f>
        <v>0.22875467664350616</v>
      </c>
      <c r="I32" s="241">
        <f>G32*I$3</f>
        <v>3448.5</v>
      </c>
      <c r="J32" s="583">
        <f>G32+I32</f>
        <v>26438.5</v>
      </c>
      <c r="K32" s="283">
        <v>9100033030416</v>
      </c>
      <c r="M32" s="430">
        <f>+$J32*(1+'Unit tariffs'!$F$2)</f>
        <v>27548.917</v>
      </c>
      <c r="N32" s="431">
        <f>+$M32*(1+'Unit tariffs'!$F$2)</f>
        <v>28705.971514</v>
      </c>
    </row>
    <row r="33" spans="1:14" ht="14.25" hidden="1">
      <c r="A33" s="281"/>
      <c r="B33" s="233"/>
      <c r="C33" s="234"/>
      <c r="D33" s="213"/>
      <c r="E33" s="537"/>
      <c r="F33" s="627"/>
      <c r="G33" s="393"/>
      <c r="H33" s="231"/>
      <c r="I33" s="228"/>
      <c r="J33" s="582"/>
      <c r="K33" s="282"/>
      <c r="M33" s="428"/>
      <c r="N33" s="429"/>
    </row>
    <row r="34" spans="1:14" ht="14.25">
      <c r="A34" s="281"/>
      <c r="B34" s="233" t="str">
        <f>+'Calc Sheet 20_21'!B340</f>
        <v>2.2 Three phase connection (80A) in meter box,  Time of use (TOU) meter                                               </v>
      </c>
      <c r="C34" s="238" t="s">
        <v>344</v>
      </c>
      <c r="D34" s="213">
        <f>+'Calc Sheet 20_21'!H370</f>
        <v>16860</v>
      </c>
      <c r="E34" s="537">
        <v>15725</v>
      </c>
      <c r="F34" s="627">
        <f>+'Calc Sheet 20_21'!H370</f>
        <v>16860</v>
      </c>
      <c r="G34" s="393">
        <f>+'Calc Sheet 20_21'!I370</f>
        <v>18620</v>
      </c>
      <c r="H34" s="240">
        <f>(G34-F34)/F34</f>
        <v>0.10438908659549229</v>
      </c>
      <c r="I34" s="241">
        <f>G34*I$3</f>
        <v>2793</v>
      </c>
      <c r="J34" s="583">
        <f>G34+I34</f>
        <v>21413</v>
      </c>
      <c r="K34" s="283">
        <v>9100033030416</v>
      </c>
      <c r="M34" s="430">
        <f>+$J34*(1+'Unit tariffs'!$F$2)</f>
        <v>22312.346</v>
      </c>
      <c r="N34" s="431">
        <f>+$M34*(1+'Unit tariffs'!$F$2)</f>
        <v>23249.464532</v>
      </c>
    </row>
    <row r="35" spans="1:14" ht="14.25">
      <c r="A35" s="281"/>
      <c r="B35" s="233"/>
      <c r="C35" s="234" t="s">
        <v>241</v>
      </c>
      <c r="D35" s="248"/>
      <c r="E35" s="542"/>
      <c r="F35" s="627"/>
      <c r="G35" s="397"/>
      <c r="H35" s="249"/>
      <c r="I35" s="250"/>
      <c r="J35" s="586"/>
      <c r="K35" s="286"/>
      <c r="M35" s="428"/>
      <c r="N35" s="429"/>
    </row>
    <row r="36" spans="1:14" ht="14.25" hidden="1">
      <c r="A36" s="281"/>
      <c r="B36" s="233" t="str">
        <f>'Calc Sheet 20_21'!B376</f>
        <v>2.3 Three phase domestic connection in meter box, Split pre-payment meter </v>
      </c>
      <c r="C36" s="234" t="s">
        <v>343</v>
      </c>
      <c r="D36" s="213">
        <f>'Calc Sheet 20_21'!H408</f>
        <v>17560</v>
      </c>
      <c r="E36" s="537">
        <v>16375</v>
      </c>
      <c r="F36" s="627">
        <v>16040</v>
      </c>
      <c r="G36" s="393">
        <f>'Calc Sheet 20_21'!I408</f>
        <v>20320</v>
      </c>
      <c r="H36" s="240">
        <f>(G36-F36)/F36</f>
        <v>0.26683291770573564</v>
      </c>
      <c r="I36" s="241">
        <f>G36*I$3</f>
        <v>3048</v>
      </c>
      <c r="J36" s="583">
        <f>G36+I36</f>
        <v>23368</v>
      </c>
      <c r="K36" s="283">
        <v>9100033030416</v>
      </c>
      <c r="M36" s="430">
        <f>+$J36*(1+'Unit tariffs'!$F$2)</f>
        <v>24349.456000000002</v>
      </c>
      <c r="N36" s="431">
        <f>+$M36*(1+'Unit tariffs'!$F$2)</f>
        <v>25372.133152000002</v>
      </c>
    </row>
    <row r="37" spans="1:14" ht="14.25" hidden="1">
      <c r="A37" s="281"/>
      <c r="B37" s="251"/>
      <c r="C37" s="234"/>
      <c r="D37" s="213"/>
      <c r="E37" s="537"/>
      <c r="F37" s="631"/>
      <c r="G37" s="393"/>
      <c r="H37" s="240"/>
      <c r="I37" s="241"/>
      <c r="J37" s="583"/>
      <c r="K37" s="287"/>
      <c r="M37" s="430"/>
      <c r="N37" s="431"/>
    </row>
    <row r="38" spans="1:14" ht="14.25">
      <c r="A38" s="281"/>
      <c r="B38" s="233" t="str">
        <f>'Calc Sheet 20_21'!B415</f>
        <v>2.4 Three phase domestic connection in meter box, Split pre-payment meter.</v>
      </c>
      <c r="C38" s="238" t="s">
        <v>344</v>
      </c>
      <c r="D38" s="213">
        <f>'Calc Sheet 20_21'!H445</f>
        <v>14620</v>
      </c>
      <c r="E38" s="537">
        <v>13720</v>
      </c>
      <c r="F38" s="627">
        <f>+'Calc Sheet 20_21'!H445</f>
        <v>14620</v>
      </c>
      <c r="G38" s="393">
        <f>'Calc Sheet 20_21'!I445</f>
        <v>14330</v>
      </c>
      <c r="H38" s="240">
        <f>(G38-F38)/F38</f>
        <v>-0.019835841313269494</v>
      </c>
      <c r="I38" s="241">
        <f>G38*I$3</f>
        <v>2149.5</v>
      </c>
      <c r="J38" s="583">
        <f>G38+I38</f>
        <v>16479.5</v>
      </c>
      <c r="K38" s="283">
        <v>9100033030416</v>
      </c>
      <c r="M38" s="430">
        <f>+$J38*(1+'Unit tariffs'!$F$2)</f>
        <v>17171.639</v>
      </c>
      <c r="N38" s="431">
        <f>+$M38*(1+'Unit tariffs'!$F$2)</f>
        <v>17892.847838</v>
      </c>
    </row>
    <row r="39" spans="1:14" ht="15" thickBot="1">
      <c r="A39" s="305"/>
      <c r="B39" s="313"/>
      <c r="C39" s="314" t="s">
        <v>241</v>
      </c>
      <c r="D39" s="308"/>
      <c r="E39" s="543"/>
      <c r="F39" s="632"/>
      <c r="G39" s="311"/>
      <c r="H39" s="309"/>
      <c r="I39" s="310"/>
      <c r="J39" s="587"/>
      <c r="K39" s="282"/>
      <c r="M39" s="436"/>
      <c r="N39" s="437"/>
    </row>
    <row r="40" spans="1:14" ht="15" thickBot="1" thickTop="1">
      <c r="A40" s="410"/>
      <c r="B40" s="411"/>
      <c r="C40" s="412"/>
      <c r="D40" s="413"/>
      <c r="E40" s="544"/>
      <c r="F40" s="633"/>
      <c r="G40" s="414"/>
      <c r="H40" s="415"/>
      <c r="I40" s="416"/>
      <c r="J40" s="588"/>
      <c r="K40" s="282"/>
      <c r="M40" s="438"/>
      <c r="N40" s="439"/>
    </row>
    <row r="41" spans="1:14" ht="15">
      <c r="A41" s="410"/>
      <c r="B41" s="274" t="str">
        <f>+B1</f>
        <v>CENTLEC : ELECTRICITY SERVICES COSTS FOR MANTSOPA MUNIC</v>
      </c>
      <c r="C41" s="275"/>
      <c r="D41" s="382" t="s">
        <v>319</v>
      </c>
      <c r="E41" s="545"/>
      <c r="F41" s="634" t="s">
        <v>74</v>
      </c>
      <c r="G41" s="384" t="s">
        <v>74</v>
      </c>
      <c r="H41" s="383" t="s">
        <v>85</v>
      </c>
      <c r="I41" s="55" t="s">
        <v>470</v>
      </c>
      <c r="J41" s="384" t="s">
        <v>138</v>
      </c>
      <c r="K41" s="385" t="s">
        <v>75</v>
      </c>
      <c r="M41" s="694" t="s">
        <v>138</v>
      </c>
      <c r="N41" s="695" t="s">
        <v>138</v>
      </c>
    </row>
    <row r="42" spans="1:14" ht="15">
      <c r="A42" s="410"/>
      <c r="B42" s="418"/>
      <c r="C42" s="316"/>
      <c r="D42" s="335" t="s">
        <v>320</v>
      </c>
      <c r="E42" s="546"/>
      <c r="F42" s="635" t="s">
        <v>320</v>
      </c>
      <c r="G42" s="320" t="s">
        <v>320</v>
      </c>
      <c r="H42" s="336" t="s">
        <v>86</v>
      </c>
      <c r="I42" s="665">
        <f>+'Unit tariffs'!F$3</f>
        <v>0.15</v>
      </c>
      <c r="J42" s="320" t="s">
        <v>139</v>
      </c>
      <c r="K42" s="337" t="s">
        <v>78</v>
      </c>
      <c r="M42" s="696" t="s">
        <v>139</v>
      </c>
      <c r="N42" s="697" t="s">
        <v>139</v>
      </c>
    </row>
    <row r="43" spans="1:14" ht="15">
      <c r="A43" s="410"/>
      <c r="B43" s="418"/>
      <c r="C43" s="238" t="s">
        <v>330</v>
      </c>
      <c r="D43" s="338" t="s">
        <v>280</v>
      </c>
      <c r="E43" s="547"/>
      <c r="F43" s="690" t="str">
        <f>'Calc Sheet 20_21'!$H$11</f>
        <v>2020/2021</v>
      </c>
      <c r="G43" s="236" t="str">
        <f>'Calc Sheet 20_21'!$I$11</f>
        <v>2021/2022</v>
      </c>
      <c r="H43" s="339" t="str">
        <f>G43</f>
        <v>2021/2022</v>
      </c>
      <c r="I43" s="55" t="str">
        <f>G43</f>
        <v>2021/2022</v>
      </c>
      <c r="J43" s="236" t="str">
        <f>I43</f>
        <v>2021/2022</v>
      </c>
      <c r="K43" s="337" t="s">
        <v>79</v>
      </c>
      <c r="M43" s="691" t="s">
        <v>460</v>
      </c>
      <c r="N43" s="692" t="s">
        <v>481</v>
      </c>
    </row>
    <row r="44" spans="1:14" ht="15" thickBot="1">
      <c r="A44" s="417"/>
      <c r="B44" s="419" t="str">
        <f>'Calc Sheet 20_21'!B453</f>
        <v>3. NEW SINGLE PHASE DOMESTIC CONNECTIONS: PERI-URBAN</v>
      </c>
      <c r="C44" s="307" t="s">
        <v>331</v>
      </c>
      <c r="D44" s="318" t="s">
        <v>80</v>
      </c>
      <c r="E44" s="548"/>
      <c r="F44" s="636" t="s">
        <v>80</v>
      </c>
      <c r="G44" s="395" t="s">
        <v>80</v>
      </c>
      <c r="H44" s="309"/>
      <c r="I44" s="310"/>
      <c r="J44" s="587"/>
      <c r="K44" s="323"/>
      <c r="M44" s="436"/>
      <c r="N44" s="437"/>
    </row>
    <row r="45" spans="1:14" ht="15" thickTop="1">
      <c r="A45" s="312"/>
      <c r="C45" s="300"/>
      <c r="D45" s="301"/>
      <c r="E45" s="541"/>
      <c r="F45" s="630"/>
      <c r="G45" s="396"/>
      <c r="H45" s="302"/>
      <c r="I45" s="303"/>
      <c r="J45" s="581"/>
      <c r="K45" s="322"/>
      <c r="M45" s="426"/>
      <c r="N45" s="427"/>
    </row>
    <row r="46" spans="1:14" ht="45.75" customHeight="1">
      <c r="A46" s="281"/>
      <c r="B46" s="233" t="str">
        <f>+'Calc Sheet 20_21'!B455</f>
        <v>3.1 Single phase Peri-Urban domestic connection with TOU kWh meter.  Supplied by 25kVA single phase transformer (60A) from 11kV overhead line   (where an 11kV line exists and is within the first 350m)</v>
      </c>
      <c r="C46" s="234" t="s">
        <v>242</v>
      </c>
      <c r="D46" s="578">
        <f>+'Calc Sheet 20_21'!H484</f>
        <v>34840</v>
      </c>
      <c r="E46" s="549">
        <v>15930</v>
      </c>
      <c r="F46" s="637">
        <f>+'Calc Sheet 20_21'!H484</f>
        <v>34840</v>
      </c>
      <c r="G46" s="398">
        <f>+'Calc Sheet 20_21'!I484</f>
        <v>33420</v>
      </c>
      <c r="H46" s="240">
        <f>(G46-F46)/F46</f>
        <v>-0.04075774971297359</v>
      </c>
      <c r="I46" s="241">
        <f>G46*I$3</f>
        <v>5013</v>
      </c>
      <c r="J46" s="583">
        <f>G46+I46</f>
        <v>38433</v>
      </c>
      <c r="K46" s="283">
        <v>9100033030416</v>
      </c>
      <c r="M46" s="430">
        <f>+$J46*(1+'Unit tariffs'!$F$2)</f>
        <v>40047.186</v>
      </c>
      <c r="N46" s="431">
        <f>+$M46*(1+'Unit tariffs'!$F$2)</f>
        <v>41729.167812</v>
      </c>
    </row>
    <row r="47" spans="1:14" ht="33.75" customHeight="1">
      <c r="A47" s="281"/>
      <c r="B47" s="233" t="str">
        <f>+'Calc Sheet 20_21'!B534</f>
        <v>3.3 Single phase Peri-Urban domestic connection - Prepayment meter. - Supplied by 25kVA single phase Trfr (60A) from 11kV overhead line   (where an 11kV line exists)</v>
      </c>
      <c r="C47" s="234" t="s">
        <v>242</v>
      </c>
      <c r="D47" s="213">
        <f>+'Calc Sheet 20_21'!H572</f>
        <v>41370</v>
      </c>
      <c r="E47" s="537">
        <v>12240</v>
      </c>
      <c r="F47" s="627">
        <f>+'Calc Sheet 20_21'!H572</f>
        <v>41370</v>
      </c>
      <c r="G47" s="393">
        <f>+'Calc Sheet 20_21'!I572</f>
        <v>37190</v>
      </c>
      <c r="H47" s="240">
        <f>(G47-F47)/F47</f>
        <v>-0.10103940053178632</v>
      </c>
      <c r="I47" s="241">
        <f>G47*I$3</f>
        <v>5578.5</v>
      </c>
      <c r="J47" s="583">
        <f>G47+I47</f>
        <v>42768.5</v>
      </c>
      <c r="K47" s="283">
        <v>9100033030416</v>
      </c>
      <c r="M47" s="430">
        <f>+$J47*(1+'Unit tariffs'!$F$2)</f>
        <v>44564.777</v>
      </c>
      <c r="N47" s="431">
        <f>+$M47*(1+'Unit tariffs'!$F$2)</f>
        <v>46436.49763400001</v>
      </c>
    </row>
    <row r="48" spans="1:14" ht="44.25" customHeight="1">
      <c r="A48" s="281"/>
      <c r="B48" s="233" t="str">
        <f>+'Summary Mangaung 2020_2021'!B49</f>
        <v>3.5  Additional  Meters Peri-Urban Area:  New 1ph  Split pre-paid meter connection- limited up to 200kVA, LV per Erf. Cost estimates will be compiled based on the quantiry of meters required and Network contribution will be levied as per ruling R/kVA.</v>
      </c>
      <c r="C48" s="713" t="s">
        <v>242</v>
      </c>
      <c r="D48" s="213"/>
      <c r="E48" s="537"/>
      <c r="F48" s="628" t="str">
        <f>'Summary Mangaung 2020_2021'!F49</f>
        <v>Actual estimated cost plus network contribution depending on number of meters required </v>
      </c>
      <c r="G48" s="394" t="str">
        <f>+'Summary Mangaung 2020_2021'!G49</f>
        <v>Actual estimated cost plus ADMD network contribution to be dertmined by number of meters needed </v>
      </c>
      <c r="H48" s="240"/>
      <c r="I48" s="241"/>
      <c r="J48" s="583"/>
      <c r="K48" s="283"/>
      <c r="M48" s="430"/>
      <c r="N48" s="431"/>
    </row>
    <row r="49" spans="1:14" ht="12.75" customHeight="1">
      <c r="A49" s="281"/>
      <c r="B49" s="233"/>
      <c r="C49" s="713"/>
      <c r="D49" s="213"/>
      <c r="E49" s="537"/>
      <c r="F49" s="628"/>
      <c r="G49" s="394"/>
      <c r="H49" s="240"/>
      <c r="I49" s="241"/>
      <c r="J49" s="583"/>
      <c r="K49" s="283"/>
      <c r="M49" s="430"/>
      <c r="N49" s="431"/>
    </row>
    <row r="50" spans="1:14" ht="18.75" customHeight="1">
      <c r="A50" s="281"/>
      <c r="B50" s="239" t="str">
        <f>'Calc Sheet 20_21'!B624</f>
        <v>4. NEW THREE PHASE DOMESTIC CONNECTIONS: PERI-URBAN</v>
      </c>
      <c r="C50" s="234"/>
      <c r="D50" s="213"/>
      <c r="E50" s="536"/>
      <c r="F50" s="626"/>
      <c r="G50" s="232"/>
      <c r="H50" s="231"/>
      <c r="I50" s="228"/>
      <c r="J50" s="582"/>
      <c r="K50" s="282"/>
      <c r="M50" s="428"/>
      <c r="N50" s="429"/>
    </row>
    <row r="51" spans="1:14" ht="28.5" customHeight="1">
      <c r="A51" s="298"/>
      <c r="B51" s="348" t="str">
        <f>+'Calc Sheet 20_21'!B626</f>
        <v>Three phase domestic connection in meterbox, where an 11kV line exists or has to be extended up to 350m.                                           </v>
      </c>
      <c r="C51" s="238"/>
      <c r="D51" s="213"/>
      <c r="E51" s="537"/>
      <c r="F51" s="627"/>
      <c r="G51" s="393"/>
      <c r="H51" s="231"/>
      <c r="I51" s="228"/>
      <c r="J51" s="582"/>
      <c r="K51" s="282"/>
      <c r="M51" s="428"/>
      <c r="N51" s="429"/>
    </row>
    <row r="52" spans="1:14" ht="12.75" customHeight="1">
      <c r="A52" s="281"/>
      <c r="B52" s="233"/>
      <c r="C52" s="234"/>
      <c r="D52" s="213"/>
      <c r="E52" s="537"/>
      <c r="F52" s="627"/>
      <c r="G52" s="393"/>
      <c r="H52" s="231"/>
      <c r="I52" s="228"/>
      <c r="J52" s="582"/>
      <c r="K52" s="282"/>
      <c r="M52" s="428"/>
      <c r="N52" s="429"/>
    </row>
    <row r="53" spans="1:14" ht="24.75" customHeight="1" hidden="1">
      <c r="A53" s="281"/>
      <c r="B53" s="233" t="str">
        <f>+'Calc Sheet 20_21'!B629</f>
        <v>4.1 New Three phase 80A/ph 25kVA domestic connection  in meter box with Time of use (TOU) meter in Mangaung - Peri urban                                              </v>
      </c>
      <c r="C53" s="234" t="str">
        <f>+C47</f>
        <v>Peri Urban Area</v>
      </c>
      <c r="D53" s="213">
        <f>+'Calc Sheet 20_21'!H668</f>
        <v>45010</v>
      </c>
      <c r="E53" s="537">
        <v>27150</v>
      </c>
      <c r="F53" s="627">
        <v>27500</v>
      </c>
      <c r="G53" s="393">
        <f>+'Calc Sheet 20_21'!I668</f>
        <v>45990</v>
      </c>
      <c r="H53" s="240">
        <f>(G53-F53)/F53</f>
        <v>0.6723636363636364</v>
      </c>
      <c r="I53" s="241">
        <f>G53*I$3</f>
        <v>6898.5</v>
      </c>
      <c r="J53" s="583">
        <f>G53+I53</f>
        <v>52888.5</v>
      </c>
      <c r="K53" s="283">
        <v>9100033030416</v>
      </c>
      <c r="M53" s="430">
        <f>+$J53*(1+'Unit tariffs'!$F$2)</f>
        <v>55109.817</v>
      </c>
      <c r="N53" s="431">
        <f>+$M53*(1+'Unit tariffs'!$F$2)</f>
        <v>57424.42931400001</v>
      </c>
    </row>
    <row r="54" spans="1:14" ht="14.25" hidden="1">
      <c r="A54" s="281"/>
      <c r="B54" s="253"/>
      <c r="C54" s="234"/>
      <c r="D54" s="213"/>
      <c r="E54" s="537"/>
      <c r="F54" s="627"/>
      <c r="G54" s="393"/>
      <c r="H54" s="231"/>
      <c r="I54" s="228"/>
      <c r="J54" s="582"/>
      <c r="K54" s="282"/>
      <c r="M54" s="428"/>
      <c r="N54" s="429"/>
    </row>
    <row r="55" spans="1:14" ht="25.5" customHeight="1">
      <c r="A55" s="281"/>
      <c r="B55" s="233" t="str">
        <f>+'Calc Sheet 20_21'!B673</f>
        <v>4.2 New Three phase 80A/ph domestic connection in meter box with Time of use (TOU) meter in Regional.                                                                                      </v>
      </c>
      <c r="C55" s="234" t="s">
        <v>244</v>
      </c>
      <c r="D55" s="577">
        <f>+'Calc Sheet 20_21'!H709</f>
        <v>46750</v>
      </c>
      <c r="E55" s="537">
        <v>26870</v>
      </c>
      <c r="F55" s="627">
        <f>+'Calc Sheet 20_21'!H709</f>
        <v>46750</v>
      </c>
      <c r="G55" s="393">
        <f>+'Calc Sheet 20_21'!I709</f>
        <v>35160</v>
      </c>
      <c r="H55" s="240">
        <f>(G55-F55)/F55</f>
        <v>-0.2479144385026738</v>
      </c>
      <c r="I55" s="241">
        <f>G55*I$3</f>
        <v>5274</v>
      </c>
      <c r="J55" s="583">
        <f>G55+I55</f>
        <v>40434</v>
      </c>
      <c r="K55" s="283">
        <v>9100033030416</v>
      </c>
      <c r="M55" s="430">
        <f>+$J55*(1+'Unit tariffs'!$F$2)</f>
        <v>42132.228</v>
      </c>
      <c r="N55" s="431">
        <f>+$M55*(1+'Unit tariffs'!$F$2)</f>
        <v>43901.781576</v>
      </c>
    </row>
    <row r="56" spans="1:14" ht="14.25">
      <c r="A56" s="281"/>
      <c r="B56" s="253"/>
      <c r="C56" s="234"/>
      <c r="D56" s="213"/>
      <c r="E56" s="537"/>
      <c r="F56" s="627"/>
      <c r="G56" s="393"/>
      <c r="H56" s="231"/>
      <c r="I56" s="228"/>
      <c r="J56" s="582"/>
      <c r="K56" s="282"/>
      <c r="M56" s="428"/>
      <c r="N56" s="429"/>
    </row>
    <row r="57" spans="1:14" ht="23.25" customHeight="1" hidden="1">
      <c r="A57" s="281"/>
      <c r="B57" s="233" t="str">
        <f>'Calc Sheet 20_21'!B716</f>
        <v>4.3  New Three phase Peri-Urban domestic connection - Pre-payment meter (80A per phase)                                                    </v>
      </c>
      <c r="C57" s="234" t="str">
        <f>+C55</f>
        <v>[Regional - peri urban area]</v>
      </c>
      <c r="D57" s="213">
        <f>+'Calc Sheet 20_21'!H758</f>
        <v>36660</v>
      </c>
      <c r="E57" s="537">
        <v>27370</v>
      </c>
      <c r="F57" s="627">
        <v>27980</v>
      </c>
      <c r="G57" s="393">
        <f>+'Calc Sheet 20_21'!I758</f>
        <v>35780</v>
      </c>
      <c r="H57" s="240">
        <f>(G57-F57)/F57</f>
        <v>0.278770550393138</v>
      </c>
      <c r="I57" s="241">
        <f>G57*I$3</f>
        <v>5367</v>
      </c>
      <c r="J57" s="583">
        <f>G57+I57</f>
        <v>41147</v>
      </c>
      <c r="K57" s="283">
        <v>9100033030416</v>
      </c>
      <c r="M57" s="430">
        <f>+$J57*(1+'Unit tariffs'!$F$2)</f>
        <v>42875.174</v>
      </c>
      <c r="N57" s="431">
        <f>+$M57*(1+'Unit tariffs'!$F$2)</f>
        <v>44675.931308</v>
      </c>
    </row>
    <row r="58" spans="1:14" ht="14.25" hidden="1">
      <c r="A58" s="281"/>
      <c r="B58" s="251"/>
      <c r="C58" s="234"/>
      <c r="D58" s="213"/>
      <c r="E58" s="537"/>
      <c r="F58" s="627"/>
      <c r="G58" s="393"/>
      <c r="H58" s="240"/>
      <c r="I58" s="241"/>
      <c r="J58" s="583"/>
      <c r="K58" s="287"/>
      <c r="M58" s="430"/>
      <c r="N58" s="431"/>
    </row>
    <row r="59" spans="1:14" ht="37.5" customHeight="1">
      <c r="A59" s="281"/>
      <c r="B59" s="233" t="str">
        <f>'Calc Sheet 20_21'!B763</f>
        <v>4.4 Three phase Peri-Urban domestic connection - Pre- payment meter (80A per phase)                                                    </v>
      </c>
      <c r="C59" s="234" t="str">
        <f>+'Calc Sheet 20_21'!I763</f>
        <v>[Regional - peri urban area]</v>
      </c>
      <c r="D59" s="213">
        <f>+'Calc Sheet 20_21'!H801</f>
        <v>35440</v>
      </c>
      <c r="E59" s="537">
        <v>24710</v>
      </c>
      <c r="F59" s="627">
        <f>+'Calc Sheet 20_21'!H801</f>
        <v>35440</v>
      </c>
      <c r="G59" s="393">
        <f>+'Calc Sheet 20_21'!I801</f>
        <v>34560</v>
      </c>
      <c r="H59" s="240">
        <f>(G59-F59)/F59</f>
        <v>-0.024830699774266364</v>
      </c>
      <c r="I59" s="241">
        <f>G59*I$3</f>
        <v>5184</v>
      </c>
      <c r="J59" s="583">
        <f>G59+I59</f>
        <v>39744</v>
      </c>
      <c r="K59" s="283">
        <v>9100033030416</v>
      </c>
      <c r="M59" s="430">
        <f>+$J59*(1+'Unit tariffs'!$F$2)</f>
        <v>41413.248</v>
      </c>
      <c r="N59" s="431">
        <f>+$M59*(1+'Unit tariffs'!$F$2)</f>
        <v>43152.604416</v>
      </c>
    </row>
    <row r="60" spans="1:14" ht="14.25">
      <c r="A60" s="281"/>
      <c r="B60" s="251"/>
      <c r="C60" s="234"/>
      <c r="D60" s="213"/>
      <c r="E60" s="537"/>
      <c r="F60" s="627"/>
      <c r="G60" s="393"/>
      <c r="H60" s="240"/>
      <c r="I60" s="241"/>
      <c r="J60" s="583"/>
      <c r="K60" s="283"/>
      <c r="M60" s="430"/>
      <c r="N60" s="431"/>
    </row>
    <row r="61" spans="1:14" ht="14.25">
      <c r="A61" s="281"/>
      <c r="B61" s="239" t="str">
        <f>+'Calc Sheet 20_21'!B811</f>
        <v>4.5  Subdivision -  Peri-Urban area: </v>
      </c>
      <c r="C61" s="238"/>
      <c r="D61" s="213"/>
      <c r="E61" s="537"/>
      <c r="F61" s="627"/>
      <c r="G61" s="393"/>
      <c r="H61" s="240"/>
      <c r="I61" s="241"/>
      <c r="J61" s="583"/>
      <c r="K61" s="283"/>
      <c r="M61" s="430"/>
      <c r="N61" s="431"/>
    </row>
    <row r="62" spans="1:14" ht="35.25" customHeight="1">
      <c r="A62" s="281"/>
      <c r="B62" s="233" t="str">
        <f>+'Calc Sheet 20_21'!B813</f>
        <v>    4.5.1  Subdivision Pri Urban Area:  New Single Phase Split pre-payment meter connection in existing 11kV overhead line or  where 11kV overhead line needs to be exteded up to 350m.</v>
      </c>
      <c r="C62" s="234" t="s">
        <v>242</v>
      </c>
      <c r="D62" s="213">
        <f>+'Calc Sheet 20_21'!H842</f>
        <v>15970</v>
      </c>
      <c r="E62" s="537">
        <v>14510</v>
      </c>
      <c r="F62" s="627">
        <f>+'Calc Sheet 20_21'!H842</f>
        <v>15970</v>
      </c>
      <c r="G62" s="393">
        <f>+'Calc Sheet 20_21'!I842</f>
        <v>24380</v>
      </c>
      <c r="H62" s="240">
        <f>(G62-F62)/F62</f>
        <v>0.5266123982467126</v>
      </c>
      <c r="I62" s="241">
        <f>G62*I$3</f>
        <v>3657</v>
      </c>
      <c r="J62" s="583">
        <f>G62+I62</f>
        <v>28037</v>
      </c>
      <c r="K62" s="285">
        <v>9100033030416</v>
      </c>
      <c r="M62" s="430">
        <f>+$J62*(1+'Unit tariffs'!$F$2)</f>
        <v>29214.554</v>
      </c>
      <c r="N62" s="431">
        <f>+$M62*(1+'Unit tariffs'!$F$2)</f>
        <v>30441.565268000002</v>
      </c>
    </row>
    <row r="63" spans="1:14" ht="39.75">
      <c r="A63" s="281"/>
      <c r="B63" s="233" t="e">
        <f>+'Calc Sheet 20_21'!#REF!</f>
        <v>#REF!</v>
      </c>
      <c r="C63" s="234" t="s">
        <v>242</v>
      </c>
      <c r="D63" s="247" t="e">
        <f>+'Calc Sheet 20_21'!#REF!</f>
        <v>#REF!</v>
      </c>
      <c r="E63" s="539"/>
      <c r="F63" s="628" t="s">
        <v>262</v>
      </c>
      <c r="G63" s="394" t="e">
        <f>+'Calc Sheet 20_21'!#REF!</f>
        <v>#REF!</v>
      </c>
      <c r="H63" s="240"/>
      <c r="I63" s="241"/>
      <c r="J63" s="583"/>
      <c r="K63" s="283"/>
      <c r="M63" s="430"/>
      <c r="N63" s="431"/>
    </row>
    <row r="64" spans="1:14" ht="39.75">
      <c r="A64" s="281"/>
      <c r="B64" s="233" t="str">
        <f>+'Calc Sheet 20_21'!B847</f>
        <v>    4.5.2 Subdivision Peri Urban Area:  New Three Split pre-payment meter connection on the stand boundary, where 11kV overhead line needs to be exteded up to 350m at ADMD = 7,5KVA</v>
      </c>
      <c r="C64" s="234" t="s">
        <v>242</v>
      </c>
      <c r="D64" s="247" t="str">
        <f>+'Calc Sheet 20_21'!H850</f>
        <v>Actual estimated cost plus network contribution for 7.5kVA</v>
      </c>
      <c r="E64" s="539"/>
      <c r="F64" s="628" t="s">
        <v>262</v>
      </c>
      <c r="G64" s="394" t="str">
        <f>+'Calc Sheet 20_21'!I850</f>
        <v>Actual estimated cost plus network contribution for 7.5kVA</v>
      </c>
      <c r="H64" s="240"/>
      <c r="I64" s="241"/>
      <c r="J64" s="583"/>
      <c r="K64" s="283"/>
      <c r="M64" s="430"/>
      <c r="N64" s="431"/>
    </row>
    <row r="65" spans="1:14" ht="15" thickBot="1">
      <c r="A65" s="378"/>
      <c r="B65" s="290"/>
      <c r="C65" s="291"/>
      <c r="D65" s="293"/>
      <c r="E65" s="540"/>
      <c r="F65" s="629"/>
      <c r="G65" s="296"/>
      <c r="H65" s="294"/>
      <c r="I65" s="295"/>
      <c r="J65" s="585"/>
      <c r="K65" s="386"/>
      <c r="M65" s="434"/>
      <c r="N65" s="435"/>
    </row>
    <row r="66" spans="1:14" ht="15">
      <c r="A66" s="273"/>
      <c r="B66" s="274" t="str">
        <f>B1</f>
        <v>CENTLEC : ELECTRICITY SERVICES COSTS FOR MANTSOPA MUNIC</v>
      </c>
      <c r="C66" s="275"/>
      <c r="D66" s="276"/>
      <c r="E66" s="550"/>
      <c r="F66" s="622"/>
      <c r="G66" s="279"/>
      <c r="H66" s="277"/>
      <c r="I66" s="278"/>
      <c r="J66" s="580"/>
      <c r="K66" s="280"/>
      <c r="M66" s="420"/>
      <c r="N66" s="421"/>
    </row>
    <row r="67" spans="1:14" ht="14.25">
      <c r="A67" s="298"/>
      <c r="B67" s="299" t="s">
        <v>1</v>
      </c>
      <c r="C67" s="300"/>
      <c r="D67" s="335" t="s">
        <v>74</v>
      </c>
      <c r="E67" s="546"/>
      <c r="F67" s="635" t="s">
        <v>74</v>
      </c>
      <c r="G67" s="320" t="s">
        <v>74</v>
      </c>
      <c r="H67" s="336" t="s">
        <v>85</v>
      </c>
      <c r="I67" s="55" t="s">
        <v>470</v>
      </c>
      <c r="J67" s="320" t="s">
        <v>138</v>
      </c>
      <c r="K67" s="337" t="s">
        <v>75</v>
      </c>
      <c r="M67" s="696" t="s">
        <v>138</v>
      </c>
      <c r="N67" s="697" t="s">
        <v>138</v>
      </c>
    </row>
    <row r="68" spans="1:14" ht="14.25">
      <c r="A68" s="281"/>
      <c r="B68" s="319" t="s">
        <v>333</v>
      </c>
      <c r="C68" s="238"/>
      <c r="D68" s="340" t="s">
        <v>77</v>
      </c>
      <c r="E68" s="532"/>
      <c r="F68" s="623" t="s">
        <v>77</v>
      </c>
      <c r="G68" s="236" t="s">
        <v>77</v>
      </c>
      <c r="H68" s="339" t="s">
        <v>86</v>
      </c>
      <c r="I68" s="665">
        <f>+'Unit tariffs'!F$3</f>
        <v>0.15</v>
      </c>
      <c r="J68" s="236" t="s">
        <v>139</v>
      </c>
      <c r="K68" s="337" t="s">
        <v>78</v>
      </c>
      <c r="M68" s="691" t="s">
        <v>139</v>
      </c>
      <c r="N68" s="692" t="s">
        <v>139</v>
      </c>
    </row>
    <row r="69" spans="1:14" ht="14.25">
      <c r="A69" s="281"/>
      <c r="B69" s="239" t="s">
        <v>1</v>
      </c>
      <c r="C69" s="238"/>
      <c r="D69" s="340" t="str">
        <f>D$4</f>
        <v>2016/2017</v>
      </c>
      <c r="E69" s="532"/>
      <c r="F69" s="690" t="str">
        <f>'Calc Sheet 20_21'!$H$11</f>
        <v>2020/2021</v>
      </c>
      <c r="G69" s="236" t="str">
        <f>'Calc Sheet 20_21'!$I$11</f>
        <v>2021/2022</v>
      </c>
      <c r="H69" s="339" t="str">
        <f>G69</f>
        <v>2021/2022</v>
      </c>
      <c r="I69" s="55" t="str">
        <f>G69</f>
        <v>2021/2022</v>
      </c>
      <c r="J69" s="236" t="str">
        <f>I69</f>
        <v>2021/2022</v>
      </c>
      <c r="K69" s="337" t="s">
        <v>79</v>
      </c>
      <c r="M69" s="691" t="s">
        <v>460</v>
      </c>
      <c r="N69" s="692" t="s">
        <v>481</v>
      </c>
    </row>
    <row r="70" spans="1:14" ht="14.25">
      <c r="A70" s="281"/>
      <c r="B70" s="239" t="s">
        <v>1</v>
      </c>
      <c r="C70" s="238"/>
      <c r="D70" s="340" t="s">
        <v>80</v>
      </c>
      <c r="E70" s="532"/>
      <c r="F70" s="623" t="s">
        <v>80</v>
      </c>
      <c r="G70" s="236" t="s">
        <v>80</v>
      </c>
      <c r="H70" s="339"/>
      <c r="I70" s="55"/>
      <c r="J70" s="236"/>
      <c r="K70" s="337"/>
      <c r="M70" s="422"/>
      <c r="N70" s="423"/>
    </row>
    <row r="71" spans="1:14" ht="19.5" customHeight="1">
      <c r="A71" s="281"/>
      <c r="B71" s="239" t="str">
        <f>'Calc Sheet 20_21'!B853</f>
        <v>5.  ILLUMINATING SIGNS</v>
      </c>
      <c r="C71" s="238"/>
      <c r="D71" s="230"/>
      <c r="E71" s="536"/>
      <c r="F71" s="626"/>
      <c r="G71" s="232"/>
      <c r="H71" s="231"/>
      <c r="I71" s="228"/>
      <c r="J71" s="582"/>
      <c r="K71" s="282"/>
      <c r="M71" s="428"/>
      <c r="N71" s="429"/>
    </row>
    <row r="72" spans="1:14" ht="14.25">
      <c r="A72" s="281"/>
      <c r="B72" s="233" t="s">
        <v>1</v>
      </c>
      <c r="C72" s="234"/>
      <c r="D72" s="230"/>
      <c r="E72" s="536"/>
      <c r="F72" s="626"/>
      <c r="G72" s="232"/>
      <c r="H72" s="231"/>
      <c r="I72" s="228"/>
      <c r="J72" s="582"/>
      <c r="K72" s="282" t="s">
        <v>1</v>
      </c>
      <c r="M72" s="428"/>
      <c r="N72" s="429"/>
    </row>
    <row r="73" spans="1:14" ht="14.25">
      <c r="A73" s="281"/>
      <c r="B73" s="233" t="s">
        <v>100</v>
      </c>
      <c r="C73" s="234"/>
      <c r="D73" s="230" t="s">
        <v>205</v>
      </c>
      <c r="E73" s="536"/>
      <c r="F73" s="626" t="s">
        <v>205</v>
      </c>
      <c r="G73" s="232" t="s">
        <v>205</v>
      </c>
      <c r="H73" s="231"/>
      <c r="I73" s="228"/>
      <c r="J73" s="582"/>
      <c r="K73" s="283">
        <v>9100033030416</v>
      </c>
      <c r="M73" s="428"/>
      <c r="N73" s="429"/>
    </row>
    <row r="74" spans="1:14" ht="14.25">
      <c r="A74" s="281"/>
      <c r="B74" s="233" t="s">
        <v>1</v>
      </c>
      <c r="C74" s="234"/>
      <c r="D74" s="230"/>
      <c r="E74" s="536"/>
      <c r="F74" s="626"/>
      <c r="G74" s="232"/>
      <c r="H74" s="231"/>
      <c r="I74" s="228"/>
      <c r="J74" s="582"/>
      <c r="K74" s="287"/>
      <c r="M74" s="428"/>
      <c r="N74" s="429"/>
    </row>
    <row r="75" spans="1:14" ht="14.25">
      <c r="A75" s="281"/>
      <c r="B75" s="233" t="str">
        <f>'Calc Sheet 20_21'!B857</f>
        <v>Levy for electricity consumed</v>
      </c>
      <c r="C75" s="234"/>
      <c r="D75" s="213">
        <f>'Calc Sheet 20_21'!H864</f>
        <v>103</v>
      </c>
      <c r="E75" s="537"/>
      <c r="F75" s="627">
        <f>+'Calc Sheet 20_21'!H864</f>
        <v>103</v>
      </c>
      <c r="G75" s="393">
        <f>'Calc Sheet 20_21'!I864</f>
        <v>111</v>
      </c>
      <c r="H75" s="240">
        <f>(G75-F75)/F75</f>
        <v>0.07766990291262135</v>
      </c>
      <c r="I75" s="241">
        <f>G75*I$3</f>
        <v>16.65</v>
      </c>
      <c r="J75" s="583">
        <f>G75+I75</f>
        <v>127.65</v>
      </c>
      <c r="K75" s="283">
        <v>9100033030416</v>
      </c>
      <c r="M75" s="430">
        <f>+$J75*(1+'Unit tariffs'!$F$2)</f>
        <v>133.0113</v>
      </c>
      <c r="N75" s="431">
        <f>+$M75*(1+'Unit tariffs'!$F$2)</f>
        <v>138.5977746</v>
      </c>
    </row>
    <row r="76" spans="1:14" ht="14.25">
      <c r="A76" s="281"/>
      <c r="B76" s="233" t="s">
        <v>1</v>
      </c>
      <c r="C76" s="234"/>
      <c r="D76" s="213"/>
      <c r="E76" s="537"/>
      <c r="F76" s="627"/>
      <c r="G76" s="393"/>
      <c r="H76" s="254"/>
      <c r="I76" s="242"/>
      <c r="J76" s="236"/>
      <c r="K76" s="287"/>
      <c r="M76" s="422"/>
      <c r="N76" s="423"/>
    </row>
    <row r="77" spans="1:14" ht="14.25">
      <c r="A77" s="281"/>
      <c r="B77" s="233"/>
      <c r="C77" s="234"/>
      <c r="D77" s="230"/>
      <c r="E77" s="536"/>
      <c r="F77" s="626"/>
      <c r="G77" s="232"/>
      <c r="H77" s="231"/>
      <c r="I77" s="228"/>
      <c r="J77" s="582"/>
      <c r="K77" s="282"/>
      <c r="M77" s="428"/>
      <c r="N77" s="429"/>
    </row>
    <row r="78" spans="1:14" ht="16.5" customHeight="1">
      <c r="A78" s="298"/>
      <c r="B78" s="299" t="str">
        <f>'Calc Sheet 20_21'!B872</f>
        <v>6. TEMPORARY CONNECTIONS - MAXIMUM PERIOD OF 12 MONTHS </v>
      </c>
      <c r="C78" s="300"/>
      <c r="D78" s="301" t="s">
        <v>1</v>
      </c>
      <c r="E78" s="541"/>
      <c r="F78" s="630" t="s">
        <v>1</v>
      </c>
      <c r="G78" s="396" t="s">
        <v>1</v>
      </c>
      <c r="H78" s="302"/>
      <c r="I78" s="303"/>
      <c r="J78" s="581"/>
      <c r="K78" s="322" t="s">
        <v>1</v>
      </c>
      <c r="M78" s="426"/>
      <c r="N78" s="427"/>
    </row>
    <row r="79" spans="1:14" ht="14.25">
      <c r="A79" s="281"/>
      <c r="B79" s="233"/>
      <c r="C79" s="234"/>
      <c r="D79" s="213" t="s">
        <v>81</v>
      </c>
      <c r="E79" s="537"/>
      <c r="F79" s="627" t="s">
        <v>81</v>
      </c>
      <c r="G79" s="393" t="s">
        <v>81</v>
      </c>
      <c r="H79" s="231"/>
      <c r="I79" s="228"/>
      <c r="J79" s="582"/>
      <c r="K79" s="282"/>
      <c r="M79" s="428"/>
      <c r="N79" s="429"/>
    </row>
    <row r="80" spans="1:14" ht="14.25">
      <c r="A80" s="281"/>
      <c r="B80" s="233" t="s">
        <v>82</v>
      </c>
      <c r="C80" s="234"/>
      <c r="D80" s="213"/>
      <c r="E80" s="537"/>
      <c r="F80" s="627"/>
      <c r="G80" s="393"/>
      <c r="H80" s="231"/>
      <c r="I80" s="228"/>
      <c r="J80" s="582"/>
      <c r="K80" s="282"/>
      <c r="M80" s="428"/>
      <c r="N80" s="429"/>
    </row>
    <row r="81" spans="1:14" ht="14.25">
      <c r="A81" s="281"/>
      <c r="B81" s="233" t="s">
        <v>83</v>
      </c>
      <c r="C81" s="234"/>
      <c r="D81" s="213"/>
      <c r="E81" s="537"/>
      <c r="F81" s="627"/>
      <c r="G81" s="393"/>
      <c r="H81" s="231"/>
      <c r="I81" s="228"/>
      <c r="J81" s="582"/>
      <c r="K81" s="282"/>
      <c r="M81" s="428"/>
      <c r="N81" s="429"/>
    </row>
    <row r="82" spans="1:14" ht="14.25">
      <c r="A82" s="281"/>
      <c r="B82" s="233" t="s">
        <v>84</v>
      </c>
      <c r="C82" s="234"/>
      <c r="D82" s="213"/>
      <c r="E82" s="537"/>
      <c r="F82" s="627"/>
      <c r="G82" s="393"/>
      <c r="H82" s="231"/>
      <c r="I82" s="228"/>
      <c r="J82" s="582"/>
      <c r="K82" s="282" t="s">
        <v>1</v>
      </c>
      <c r="M82" s="428"/>
      <c r="N82" s="429"/>
    </row>
    <row r="83" spans="1:14" ht="14.25">
      <c r="A83" s="281"/>
      <c r="B83" s="233"/>
      <c r="C83" s="234"/>
      <c r="D83" s="213"/>
      <c r="E83" s="537"/>
      <c r="F83" s="627"/>
      <c r="G83" s="393"/>
      <c r="H83" s="231"/>
      <c r="I83" s="228"/>
      <c r="J83" s="582"/>
      <c r="K83" s="282"/>
      <c r="M83" s="428"/>
      <c r="N83" s="429"/>
    </row>
    <row r="84" spans="1:14" ht="39.75">
      <c r="A84" s="281"/>
      <c r="B84" s="233" t="str">
        <f>'Calc Sheet 20_21'!B874</f>
        <v>6.1 Temporary builders underground connection - Three phase 80 Ampère Prepaid meter only.  Please note: These connections would only be permitted  for a maximum period of 12 months after which it will be removed by CENTLEC. (Where a trench is not longer than 12m)</v>
      </c>
      <c r="C84" s="234"/>
      <c r="D84" s="213">
        <f>'Calc Sheet 20_21'!H910</f>
        <v>19730</v>
      </c>
      <c r="E84" s="537">
        <v>25880</v>
      </c>
      <c r="F84" s="627">
        <f>+'Calc Sheet 20_21'!H910</f>
        <v>19730</v>
      </c>
      <c r="G84" s="393">
        <f>'Calc Sheet 20_21'!I910</f>
        <v>27260</v>
      </c>
      <c r="H84" s="240">
        <f>(G84-F84)/F84</f>
        <v>0.3816523061327927</v>
      </c>
      <c r="I84" s="241">
        <f>G84*I$3</f>
        <v>4089</v>
      </c>
      <c r="J84" s="583">
        <f>G84+I84</f>
        <v>31349</v>
      </c>
      <c r="K84" s="283">
        <v>9100033030416</v>
      </c>
      <c r="M84" s="430">
        <f>+$J84*(1+'Unit tariffs'!$F$2)</f>
        <v>32665.658</v>
      </c>
      <c r="N84" s="431">
        <f>+$M84*(1+'Unit tariffs'!$F$2)</f>
        <v>34037.615636</v>
      </c>
    </row>
    <row r="85" spans="1:14" ht="12.75" customHeight="1">
      <c r="A85" s="281"/>
      <c r="B85" s="233"/>
      <c r="C85" s="234"/>
      <c r="D85" s="213"/>
      <c r="E85" s="537"/>
      <c r="F85" s="627"/>
      <c r="G85" s="393"/>
      <c r="H85" s="240"/>
      <c r="I85" s="241"/>
      <c r="J85" s="583"/>
      <c r="K85" s="283"/>
      <c r="M85" s="430"/>
      <c r="N85" s="431"/>
    </row>
    <row r="86" spans="1:14" ht="44.25" customHeight="1">
      <c r="A86" s="281"/>
      <c r="B86" s="233" t="s">
        <v>334</v>
      </c>
      <c r="C86" s="234"/>
      <c r="D86" s="255"/>
      <c r="E86" s="538"/>
      <c r="F86" s="638"/>
      <c r="G86" s="399"/>
      <c r="H86" s="240"/>
      <c r="I86" s="241"/>
      <c r="J86" s="583"/>
      <c r="K86" s="283"/>
      <c r="M86" s="430"/>
      <c r="N86" s="431"/>
    </row>
    <row r="87" spans="1:14" ht="6.75" customHeight="1">
      <c r="A87" s="281"/>
      <c r="B87" s="233"/>
      <c r="C87" s="234"/>
      <c r="D87" s="255"/>
      <c r="E87" s="538"/>
      <c r="F87" s="638"/>
      <c r="G87" s="399"/>
      <c r="H87" s="240"/>
      <c r="I87" s="241"/>
      <c r="J87" s="583"/>
      <c r="K87" s="283"/>
      <c r="M87" s="430"/>
      <c r="N87" s="431"/>
    </row>
    <row r="88" spans="1:14" ht="39.75">
      <c r="A88" s="281"/>
      <c r="B88" s="233" t="str">
        <f>+'Calc Sheet 20_21'!B915:G915</f>
        <v>6.2.1 Temporary connection for a special event - Single phase 80Ampère P/P with over head Airdac - Church Crusades, Social, Cultural and community events, temporary creches, police stations, etc.</v>
      </c>
      <c r="C88" s="234"/>
      <c r="D88" s="252">
        <f>+'Calc Sheet 20_21'!H946</f>
        <v>9070</v>
      </c>
      <c r="E88" s="549">
        <v>8260</v>
      </c>
      <c r="F88" s="637">
        <f>+'Calc Sheet 20_21'!H946</f>
        <v>9070</v>
      </c>
      <c r="G88" s="398">
        <f>+'Calc Sheet 20_21'!I946</f>
        <v>11690</v>
      </c>
      <c r="H88" s="240">
        <f>(G88-F88)/F88</f>
        <v>0.288864388092613</v>
      </c>
      <c r="I88" s="241">
        <f>G88*I$3</f>
        <v>1753.5</v>
      </c>
      <c r="J88" s="583">
        <f>G88+I88</f>
        <v>13443.5</v>
      </c>
      <c r="K88" s="283">
        <v>9100033030416</v>
      </c>
      <c r="M88" s="430">
        <f>+$J88*(1+'Unit tariffs'!$F$2)</f>
        <v>14008.127</v>
      </c>
      <c r="N88" s="431">
        <f>+$M88*(1+'Unit tariffs'!$F$2)</f>
        <v>14596.468334000001</v>
      </c>
    </row>
    <row r="89" spans="1:14" ht="39.75">
      <c r="A89" s="281"/>
      <c r="B89" s="233" t="str">
        <f>+'Calc Sheet 20_21'!B949:G949</f>
        <v>6.2.2 Temporary connection for a special event - Three phase 80Ampère P/P- Church Crusades, Social, Cultural and community events, temporary creches, police stations, Car wash ect (where a trench is not longer than 12m)</v>
      </c>
      <c r="C89" s="234"/>
      <c r="D89" s="252">
        <f>+'Calc Sheet 20_21'!H947</f>
        <v>0.03775743707093822</v>
      </c>
      <c r="E89" s="549">
        <v>25880</v>
      </c>
      <c r="F89" s="637">
        <f>+'Calc Sheet 20_21'!H984</f>
        <v>36090</v>
      </c>
      <c r="G89" s="398">
        <f>+'Calc Sheet 20_21'!I984</f>
        <v>38230</v>
      </c>
      <c r="H89" s="240">
        <f>(G89-F89)/F89</f>
        <v>0.059296203934607924</v>
      </c>
      <c r="I89" s="241">
        <f>G89*I$3</f>
        <v>5734.5</v>
      </c>
      <c r="J89" s="583">
        <f>G89+I89</f>
        <v>43964.5</v>
      </c>
      <c r="K89" s="283">
        <v>9100033030416</v>
      </c>
      <c r="M89" s="430">
        <f>+$J89*(1+'Unit tariffs'!$F$2)</f>
        <v>45811.009</v>
      </c>
      <c r="N89" s="431">
        <f>+$M89*(1+'Unit tariffs'!$F$2)</f>
        <v>47735.071378</v>
      </c>
    </row>
    <row r="90" spans="1:14" ht="43.5" customHeight="1">
      <c r="A90" s="350"/>
      <c r="B90" s="351" t="str">
        <f>+'Calc Sheet 20_21'!B987:G987</f>
        <v>6.2.3 Temporary connection for a special event - Three phase 80Ampère P/P- Car wash etc (Subsidised sites)</v>
      </c>
      <c r="C90" s="352"/>
      <c r="D90" s="252">
        <f>+'Calc Sheet 20_21'!H948</f>
        <v>0</v>
      </c>
      <c r="E90" s="551">
        <v>20525</v>
      </c>
      <c r="F90" s="639">
        <f>+'Calc Sheet 20_21'!H1022</f>
        <v>13620</v>
      </c>
      <c r="G90" s="529">
        <f>+'Calc Sheet 20_21'!I1022</f>
        <v>37560</v>
      </c>
      <c r="H90" s="240">
        <f>(G90-F90)/F90</f>
        <v>1.7577092511013215</v>
      </c>
      <c r="I90" s="241">
        <f>G90*I$3</f>
        <v>5634</v>
      </c>
      <c r="J90" s="583">
        <f>G90+I90</f>
        <v>43194</v>
      </c>
      <c r="K90" s="353">
        <v>9100033030416</v>
      </c>
      <c r="M90" s="430">
        <f>+$J90*(1+'Unit tariffs'!$F$2)</f>
        <v>45008.148</v>
      </c>
      <c r="N90" s="431">
        <f>+$M90*(1+'Unit tariffs'!$F$2)</f>
        <v>46898.490216000006</v>
      </c>
    </row>
    <row r="91" spans="1:14" ht="15" thickBot="1">
      <c r="A91" s="378"/>
      <c r="B91" s="387"/>
      <c r="C91" s="291"/>
      <c r="D91" s="293"/>
      <c r="E91" s="540"/>
      <c r="F91" s="629"/>
      <c r="G91" s="296"/>
      <c r="H91" s="294"/>
      <c r="I91" s="295"/>
      <c r="J91" s="585"/>
      <c r="K91" s="297"/>
      <c r="M91" s="434"/>
      <c r="N91" s="435"/>
    </row>
    <row r="92" spans="1:14" ht="16.5" customHeight="1">
      <c r="A92" s="273"/>
      <c r="B92" s="274" t="str">
        <f>$B1</f>
        <v>CENTLEC : ELECTRICITY SERVICES COSTS FOR MANTSOPA MUNIC</v>
      </c>
      <c r="C92" s="275"/>
      <c r="D92" s="276"/>
      <c r="E92" s="550"/>
      <c r="F92" s="622"/>
      <c r="G92" s="279"/>
      <c r="H92" s="277"/>
      <c r="I92" s="278"/>
      <c r="J92" s="580"/>
      <c r="K92" s="280"/>
      <c r="M92" s="420"/>
      <c r="N92" s="421"/>
    </row>
    <row r="93" spans="1:14" ht="14.25">
      <c r="A93" s="281"/>
      <c r="B93" s="239" t="s">
        <v>1</v>
      </c>
      <c r="C93" s="238"/>
      <c r="D93" s="340" t="s">
        <v>74</v>
      </c>
      <c r="E93" s="532"/>
      <c r="F93" s="623" t="s">
        <v>74</v>
      </c>
      <c r="G93" s="236" t="s">
        <v>74</v>
      </c>
      <c r="H93" s="339" t="s">
        <v>85</v>
      </c>
      <c r="I93" s="55" t="s">
        <v>470</v>
      </c>
      <c r="J93" s="236" t="s">
        <v>138</v>
      </c>
      <c r="K93" s="337" t="s">
        <v>75</v>
      </c>
      <c r="M93" s="691" t="s">
        <v>138</v>
      </c>
      <c r="N93" s="692" t="s">
        <v>138</v>
      </c>
    </row>
    <row r="94" spans="1:14" ht="14.25">
      <c r="A94" s="281"/>
      <c r="B94" s="237" t="s">
        <v>76</v>
      </c>
      <c r="C94" s="238"/>
      <c r="D94" s="340" t="s">
        <v>77</v>
      </c>
      <c r="E94" s="532"/>
      <c r="F94" s="623" t="s">
        <v>77</v>
      </c>
      <c r="G94" s="236" t="s">
        <v>77</v>
      </c>
      <c r="H94" s="339" t="s">
        <v>86</v>
      </c>
      <c r="I94" s="665">
        <f>+'Unit tariffs'!F$3</f>
        <v>0.15</v>
      </c>
      <c r="J94" s="236" t="s">
        <v>139</v>
      </c>
      <c r="K94" s="337" t="s">
        <v>78</v>
      </c>
      <c r="M94" s="691" t="s">
        <v>139</v>
      </c>
      <c r="N94" s="692" t="s">
        <v>139</v>
      </c>
    </row>
    <row r="95" spans="1:14" ht="14.25">
      <c r="A95" s="281"/>
      <c r="B95" s="239" t="s">
        <v>1</v>
      </c>
      <c r="C95" s="238"/>
      <c r="D95" s="340" t="str">
        <f>D$4</f>
        <v>2016/2017</v>
      </c>
      <c r="E95" s="532"/>
      <c r="F95" s="690" t="str">
        <f>'Calc Sheet 20_21'!$H$11</f>
        <v>2020/2021</v>
      </c>
      <c r="G95" s="236" t="str">
        <f>'Calc Sheet 20_21'!$I$11</f>
        <v>2021/2022</v>
      </c>
      <c r="H95" s="339" t="str">
        <f>G95</f>
        <v>2021/2022</v>
      </c>
      <c r="I95" s="55" t="str">
        <f>G95</f>
        <v>2021/2022</v>
      </c>
      <c r="J95" s="236" t="str">
        <f>I95</f>
        <v>2021/2022</v>
      </c>
      <c r="K95" s="337" t="s">
        <v>79</v>
      </c>
      <c r="M95" s="691" t="s">
        <v>460</v>
      </c>
      <c r="N95" s="692" t="s">
        <v>481</v>
      </c>
    </row>
    <row r="96" spans="1:14" ht="15" thickBot="1">
      <c r="A96" s="305"/>
      <c r="B96" s="306" t="s">
        <v>1</v>
      </c>
      <c r="C96" s="307"/>
      <c r="D96" s="343" t="s">
        <v>80</v>
      </c>
      <c r="E96" s="533"/>
      <c r="F96" s="624" t="s">
        <v>80</v>
      </c>
      <c r="G96" s="346" t="s">
        <v>80</v>
      </c>
      <c r="H96" s="344"/>
      <c r="I96" s="345"/>
      <c r="J96" s="346"/>
      <c r="K96" s="347"/>
      <c r="M96" s="424"/>
      <c r="N96" s="425"/>
    </row>
    <row r="97" spans="1:14" ht="15" thickTop="1">
      <c r="A97" s="298"/>
      <c r="B97" s="299" t="str">
        <f>'Calc Sheet 20_21'!B1027</f>
        <v>7. ALTERATIONS TO ELECTRICITY SERVICES</v>
      </c>
      <c r="C97" s="300"/>
      <c r="D97" s="301" t="s">
        <v>1</v>
      </c>
      <c r="E97" s="541"/>
      <c r="F97" s="630" t="s">
        <v>1</v>
      </c>
      <c r="G97" s="396" t="s">
        <v>1</v>
      </c>
      <c r="H97" s="302" t="s">
        <v>1</v>
      </c>
      <c r="I97" s="303"/>
      <c r="J97" s="581"/>
      <c r="K97" s="322"/>
      <c r="L97" s="46"/>
      <c r="M97" s="426"/>
      <c r="N97" s="427"/>
    </row>
    <row r="98" spans="1:14" ht="14.25">
      <c r="A98" s="281"/>
      <c r="B98" s="233" t="s">
        <v>1</v>
      </c>
      <c r="C98" s="234"/>
      <c r="D98" s="213"/>
      <c r="E98" s="537"/>
      <c r="F98" s="627"/>
      <c r="G98" s="393"/>
      <c r="H98" s="231" t="s">
        <v>1</v>
      </c>
      <c r="I98" s="228"/>
      <c r="J98" s="582"/>
      <c r="K98" s="282"/>
      <c r="L98" s="46"/>
      <c r="M98" s="428"/>
      <c r="N98" s="429"/>
    </row>
    <row r="99" spans="1:14" ht="27">
      <c r="A99" s="281"/>
      <c r="B99" s="233" t="str">
        <f>'Calc Sheet 20_21'!B1029</f>
        <v>7.1.1 Conversion of a single register meter to Single phase Pre-payment where meterbox exist on erf boundary - ( No charge for Prepayment  meter)</v>
      </c>
      <c r="C99" s="234"/>
      <c r="D99" s="213">
        <f>'Calc Sheet 20_21'!H1051</f>
        <v>1610</v>
      </c>
      <c r="E99" s="537">
        <v>1410</v>
      </c>
      <c r="F99" s="637">
        <f>'Calc Sheet 20_21'!H1051</f>
        <v>1610</v>
      </c>
      <c r="G99" s="393">
        <f>'Calc Sheet 20_21'!I1051</f>
        <v>1990</v>
      </c>
      <c r="H99" s="240">
        <f aca="true" t="shared" si="0" ref="H99:H106">(G99-F99)/F99</f>
        <v>0.2360248447204969</v>
      </c>
      <c r="I99" s="241">
        <f aca="true" t="shared" si="1" ref="I99:I110">G99*I$3</f>
        <v>298.5</v>
      </c>
      <c r="J99" s="583">
        <f aca="true" t="shared" si="2" ref="J99:J110">G99+I99</f>
        <v>2288.5</v>
      </c>
      <c r="K99" s="283">
        <v>9100033030416</v>
      </c>
      <c r="L99" s="46"/>
      <c r="M99" s="430">
        <f>+$J99*(1+'Unit tariffs'!$F$2)</f>
        <v>2384.617</v>
      </c>
      <c r="N99" s="431">
        <f>+$M99*(1+'Unit tariffs'!$F$2)</f>
        <v>2484.770914</v>
      </c>
    </row>
    <row r="100" spans="1:14" ht="27">
      <c r="A100" s="281"/>
      <c r="B100" s="233" t="str">
        <f>'Calc Sheet 20_21'!B1058</f>
        <v>7.1.2 Conversion of Three phase (TOU/kWH) connection to Prepayment meter - Existing meterbox on erf boundary</v>
      </c>
      <c r="C100" s="234" t="s">
        <v>296</v>
      </c>
      <c r="D100" s="213">
        <f>'Calc Sheet 20_21'!H1081</f>
        <v>9900</v>
      </c>
      <c r="E100" s="537">
        <v>9390</v>
      </c>
      <c r="F100" s="637">
        <f>'Calc Sheet 20_21'!H1081</f>
        <v>9900</v>
      </c>
      <c r="G100" s="393">
        <f>'Calc Sheet 20_21'!I1081</f>
        <v>1760</v>
      </c>
      <c r="H100" s="240">
        <f t="shared" si="0"/>
        <v>-0.8222222222222222</v>
      </c>
      <c r="I100" s="241">
        <f t="shared" si="1"/>
        <v>264</v>
      </c>
      <c r="J100" s="583">
        <f t="shared" si="2"/>
        <v>2024</v>
      </c>
      <c r="K100" s="283">
        <v>9100033030416</v>
      </c>
      <c r="L100" s="46"/>
      <c r="M100" s="430">
        <f>+$J100*(1+'Unit tariffs'!$F$2)</f>
        <v>2109.0080000000003</v>
      </c>
      <c r="N100" s="431">
        <f>+$M100*(1+'Unit tariffs'!$F$2)</f>
        <v>2197.5863360000003</v>
      </c>
    </row>
    <row r="101" spans="1:14" ht="14.25">
      <c r="A101" s="281"/>
      <c r="B101" s="233" t="str">
        <f>'Calc Sheet 20_21'!B1087</f>
        <v>7.1.3 Upgrade of single phase Urban connection to three phase - Time of Use Meter(TOU)            </v>
      </c>
      <c r="C101" s="234" t="s">
        <v>296</v>
      </c>
      <c r="D101" s="213">
        <f>'Calc Sheet 20_21'!H1119</f>
        <v>19520</v>
      </c>
      <c r="E101" s="537">
        <v>18190</v>
      </c>
      <c r="F101" s="637">
        <f>'Calc Sheet 20_21'!H1119</f>
        <v>19520</v>
      </c>
      <c r="G101" s="393">
        <f>'Calc Sheet 20_21'!I1119</f>
        <v>20140</v>
      </c>
      <c r="H101" s="240">
        <f t="shared" si="0"/>
        <v>0.031762295081967214</v>
      </c>
      <c r="I101" s="241">
        <f t="shared" si="1"/>
        <v>3021</v>
      </c>
      <c r="J101" s="583">
        <f t="shared" si="2"/>
        <v>23161</v>
      </c>
      <c r="K101" s="283">
        <v>9100033030416</v>
      </c>
      <c r="L101" s="46"/>
      <c r="M101" s="430">
        <f>+$J101*(1+'Unit tariffs'!$F$2)</f>
        <v>24133.762000000002</v>
      </c>
      <c r="N101" s="431">
        <f>+$M101*(1+'Unit tariffs'!$F$2)</f>
        <v>25147.380004000002</v>
      </c>
    </row>
    <row r="102" spans="1:14" ht="14.25">
      <c r="A102" s="281"/>
      <c r="B102" s="233" t="str">
        <f>'Calc Sheet 20_21'!B1124</f>
        <v>7.1.4 Upgrade of single phase Urban connection to three phase - Split pre-payment meter             </v>
      </c>
      <c r="C102" s="234" t="s">
        <v>296</v>
      </c>
      <c r="D102" s="213">
        <f>'Calc Sheet 20_21'!H1155</f>
        <v>12020</v>
      </c>
      <c r="E102" s="537">
        <v>10960</v>
      </c>
      <c r="F102" s="637">
        <f>'Calc Sheet 20_21'!H1155</f>
        <v>12020</v>
      </c>
      <c r="G102" s="393">
        <f>'Calc Sheet 20_21'!I1155</f>
        <v>12760</v>
      </c>
      <c r="H102" s="240">
        <f t="shared" si="0"/>
        <v>0.06156405990016639</v>
      </c>
      <c r="I102" s="241">
        <f t="shared" si="1"/>
        <v>1914</v>
      </c>
      <c r="J102" s="583">
        <f t="shared" si="2"/>
        <v>14674</v>
      </c>
      <c r="K102" s="283">
        <v>9100033030416</v>
      </c>
      <c r="L102" s="46"/>
      <c r="M102" s="430">
        <f>+$J102*(1+'Unit tariffs'!$F$2)</f>
        <v>15290.308</v>
      </c>
      <c r="N102" s="431">
        <f>+$M102*(1+'Unit tariffs'!$F$2)</f>
        <v>15932.500936000002</v>
      </c>
    </row>
    <row r="103" spans="1:14" ht="14.25">
      <c r="A103" s="281"/>
      <c r="B103" s="233" t="str">
        <f>'Calc Sheet 20_21'!B1161</f>
        <v>8.1.5 Upgrading of single phase Urban connection to three phase - Time of Use Meter(TOU)            </v>
      </c>
      <c r="C103" s="234" t="s">
        <v>296</v>
      </c>
      <c r="D103" s="213">
        <f>'Calc Sheet 20_21'!H1192</f>
        <v>16970</v>
      </c>
      <c r="E103" s="537">
        <v>15890</v>
      </c>
      <c r="F103" s="637">
        <f>'Calc Sheet 20_21'!H1192</f>
        <v>16970</v>
      </c>
      <c r="G103" s="393">
        <f>'Calc Sheet 20_21'!I1192</f>
        <v>17490</v>
      </c>
      <c r="H103" s="240">
        <f t="shared" si="0"/>
        <v>0.030642309958750738</v>
      </c>
      <c r="I103" s="241">
        <f t="shared" si="1"/>
        <v>2623.5</v>
      </c>
      <c r="J103" s="583">
        <f t="shared" si="2"/>
        <v>20113.5</v>
      </c>
      <c r="K103" s="283">
        <v>9100033030416</v>
      </c>
      <c r="L103" s="46"/>
      <c r="M103" s="430">
        <f>+$J103*(1+'Unit tariffs'!$F$2)</f>
        <v>20958.267</v>
      </c>
      <c r="N103" s="431">
        <f>+$M103*(1+'Unit tariffs'!$F$2)</f>
        <v>21838.514214</v>
      </c>
    </row>
    <row r="104" spans="1:14" ht="14.25">
      <c r="A104" s="281"/>
      <c r="B104" s="233" t="str">
        <f>'Calc Sheet 20_21'!B1196</f>
        <v>7.1.6 Upgrade of single phase Urban connection to three phase - Split pre-payment meter            </v>
      </c>
      <c r="C104" s="234" t="s">
        <v>296</v>
      </c>
      <c r="D104" s="213">
        <f>'Calc Sheet 20_21'!H1226</f>
        <v>15370</v>
      </c>
      <c r="E104" s="537">
        <v>14355</v>
      </c>
      <c r="F104" s="637">
        <f>'Calc Sheet 20_21'!H1226</f>
        <v>15370</v>
      </c>
      <c r="G104" s="393">
        <f>'Calc Sheet 20_21'!I1226</f>
        <v>15460</v>
      </c>
      <c r="H104" s="240">
        <f t="shared" si="0"/>
        <v>0.005855562784645413</v>
      </c>
      <c r="I104" s="241">
        <f t="shared" si="1"/>
        <v>2319</v>
      </c>
      <c r="J104" s="583">
        <f t="shared" si="2"/>
        <v>17779</v>
      </c>
      <c r="K104" s="283">
        <v>9100033030416</v>
      </c>
      <c r="M104" s="430">
        <f>+$J104*(1+'Unit tariffs'!$F$2)</f>
        <v>18525.718</v>
      </c>
      <c r="N104" s="431">
        <f>+$M104*(1+'Unit tariffs'!$F$2)</f>
        <v>19303.798156</v>
      </c>
    </row>
    <row r="105" spans="1:14" ht="14.25">
      <c r="A105" s="281"/>
      <c r="B105" s="233" t="str">
        <f>'Calc Sheet 20_21'!B1231</f>
        <v>7.1.7 Upgrade of single phase Peri-Urban connection to three phase -Time of Use Meter(TOU)  </v>
      </c>
      <c r="C105" s="234" t="s">
        <v>298</v>
      </c>
      <c r="D105" s="213">
        <f>'Calc Sheet 20_21'!H1263</f>
        <v>22380</v>
      </c>
      <c r="E105" s="537">
        <v>20570</v>
      </c>
      <c r="F105" s="637">
        <f>'Calc Sheet 20_21'!H1263</f>
        <v>22380</v>
      </c>
      <c r="G105" s="393">
        <f>'Calc Sheet 20_21'!I1263</f>
        <v>21510</v>
      </c>
      <c r="H105" s="240">
        <f t="shared" si="0"/>
        <v>-0.0388739946380697</v>
      </c>
      <c r="I105" s="241">
        <f t="shared" si="1"/>
        <v>3226.5</v>
      </c>
      <c r="J105" s="583">
        <f t="shared" si="2"/>
        <v>24736.5</v>
      </c>
      <c r="K105" s="283">
        <v>9100033030416</v>
      </c>
      <c r="M105" s="430">
        <f>+$J105*(1+'Unit tariffs'!$F$2)</f>
        <v>25775.433</v>
      </c>
      <c r="N105" s="431">
        <f>+$M105*(1+'Unit tariffs'!$F$2)</f>
        <v>26858.001186</v>
      </c>
    </row>
    <row r="106" spans="1:14" ht="14.25">
      <c r="A106" s="281"/>
      <c r="B106" s="233" t="str">
        <f>'Calc Sheet 20_21'!B1268</f>
        <v>7.1.8 Upgrade of single phase Peri-Urban connection to three phase -Split pre-payment meter    </v>
      </c>
      <c r="C106" s="234" t="s">
        <v>298</v>
      </c>
      <c r="D106" s="213">
        <f>'Calc Sheet 20_21'!H1300</f>
        <v>25120</v>
      </c>
      <c r="E106" s="537">
        <v>23200</v>
      </c>
      <c r="F106" s="637">
        <f>'Calc Sheet 20_21'!H1300</f>
        <v>25120</v>
      </c>
      <c r="G106" s="393">
        <f>'Calc Sheet 20_21'!I1300</f>
        <v>23390</v>
      </c>
      <c r="H106" s="240">
        <f t="shared" si="0"/>
        <v>-0.06886942675159236</v>
      </c>
      <c r="I106" s="241">
        <f t="shared" si="1"/>
        <v>3508.5</v>
      </c>
      <c r="J106" s="583">
        <f t="shared" si="2"/>
        <v>26898.5</v>
      </c>
      <c r="K106" s="283">
        <v>9100033030416</v>
      </c>
      <c r="M106" s="430">
        <f>+$J106*(1+'Unit tariffs'!$F$2)</f>
        <v>28028.237</v>
      </c>
      <c r="N106" s="431">
        <f>+$M106*(1+'Unit tariffs'!$F$2)</f>
        <v>29205.422954</v>
      </c>
    </row>
    <row r="107" spans="1:14" ht="14.25">
      <c r="A107" s="281"/>
      <c r="B107" s="233" t="str">
        <f>'Calc Sheet 20_21'!B1305</f>
        <v>7.1.9 Upgrade of single phase Peri-Urban connection to three phase -Time of Use Meter(TOU)  </v>
      </c>
      <c r="C107" s="234" t="s">
        <v>298</v>
      </c>
      <c r="D107" s="213">
        <f>'Calc Sheet 20_21'!H1337</f>
        <v>20530</v>
      </c>
      <c r="E107" s="537">
        <v>18810</v>
      </c>
      <c r="F107" s="637">
        <f>'Calc Sheet 20_21'!H1337</f>
        <v>20530</v>
      </c>
      <c r="G107" s="393">
        <f>'Calc Sheet 20_21'!I1337</f>
        <v>22640</v>
      </c>
      <c r="H107" s="240">
        <f>(G107-D107)/D107</f>
        <v>0.10277642474427667</v>
      </c>
      <c r="I107" s="241">
        <f t="shared" si="1"/>
        <v>3396</v>
      </c>
      <c r="J107" s="583">
        <f t="shared" si="2"/>
        <v>26036</v>
      </c>
      <c r="K107" s="283">
        <v>9100033030416</v>
      </c>
      <c r="M107" s="430">
        <f>+$J107*(1+'Unit tariffs'!$F$2)</f>
        <v>27129.512000000002</v>
      </c>
      <c r="N107" s="431">
        <f>+$M107*(1+'Unit tariffs'!$F$2)</f>
        <v>28268.951504000004</v>
      </c>
    </row>
    <row r="108" spans="1:14" ht="27">
      <c r="A108" s="281"/>
      <c r="B108" s="233" t="str">
        <f>'Calc Sheet 20_21'!B1342</f>
        <v>7.1.10 Conversion of single phase Peri-Urban connection to three phase - Split pre-payment meter      </v>
      </c>
      <c r="C108" s="234" t="s">
        <v>298</v>
      </c>
      <c r="D108" s="213">
        <f>'Calc Sheet 20_21'!H1373</f>
        <v>22180</v>
      </c>
      <c r="E108" s="537">
        <v>20540</v>
      </c>
      <c r="F108" s="637">
        <f>'Calc Sheet 20_21'!H1373</f>
        <v>22180</v>
      </c>
      <c r="G108" s="393">
        <f>'Calc Sheet 20_21'!I1373</f>
        <v>20220</v>
      </c>
      <c r="H108" s="240">
        <f>(G108-F108)/F108</f>
        <v>-0.08836789900811542</v>
      </c>
      <c r="I108" s="241">
        <f t="shared" si="1"/>
        <v>3033</v>
      </c>
      <c r="J108" s="583">
        <f t="shared" si="2"/>
        <v>23253</v>
      </c>
      <c r="K108" s="283">
        <v>9100033030416</v>
      </c>
      <c r="M108" s="430">
        <f>+$J108*(1+'Unit tariffs'!$F$2)</f>
        <v>24229.626</v>
      </c>
      <c r="N108" s="431">
        <f>+$M108*(1+'Unit tariffs'!$F$2)</f>
        <v>25247.270292</v>
      </c>
    </row>
    <row r="109" spans="1:14" ht="14.25">
      <c r="A109" s="281"/>
      <c r="B109" s="233" t="str">
        <f>'Calc Sheet 20_21'!B1378</f>
        <v>8.1.11 Shifting of meter to meter box on stand boundary - Domestic connection - Urban</v>
      </c>
      <c r="C109" s="234" t="s">
        <v>296</v>
      </c>
      <c r="D109" s="213">
        <f>'Calc Sheet 20_21'!H1385</f>
        <v>4680</v>
      </c>
      <c r="E109" s="538">
        <v>2230</v>
      </c>
      <c r="F109" s="637">
        <f>'Calc Sheet 20_21'!H1385</f>
        <v>4680</v>
      </c>
      <c r="G109" s="393">
        <f>'Calc Sheet 20_21'!I1385</f>
        <v>4800</v>
      </c>
      <c r="H109" s="240">
        <f>(G109-F109)/F109</f>
        <v>0.02564102564102564</v>
      </c>
      <c r="I109" s="241">
        <f t="shared" si="1"/>
        <v>720</v>
      </c>
      <c r="J109" s="583">
        <f t="shared" si="2"/>
        <v>5520</v>
      </c>
      <c r="K109" s="283">
        <v>9100033030416</v>
      </c>
      <c r="M109" s="430">
        <f>+$J109*(1+'Unit tariffs'!$F$2)</f>
        <v>5751.84</v>
      </c>
      <c r="N109" s="431">
        <f>+$M109*(1+'Unit tariffs'!$F$2)</f>
        <v>5993.417280000001</v>
      </c>
    </row>
    <row r="110" spans="1:14" ht="27">
      <c r="A110" s="281"/>
      <c r="B110" s="233" t="str">
        <f>'Calc Sheet 20_21'!B1390</f>
        <v>8.1.12 Shifting of connection - Pre-payment with ready board (per single connection) - Overhead only</v>
      </c>
      <c r="C110" s="234"/>
      <c r="D110" s="213">
        <f>'Calc Sheet 20_21'!H1414</f>
        <v>2060</v>
      </c>
      <c r="E110" s="537">
        <v>1840</v>
      </c>
      <c r="F110" s="637">
        <f>'Calc Sheet 20_21'!H1414</f>
        <v>2060</v>
      </c>
      <c r="G110" s="393">
        <f>'Calc Sheet 20_21'!I1414</f>
        <v>2670</v>
      </c>
      <c r="H110" s="240">
        <f>(G110-F110)/F110</f>
        <v>0.2961165048543689</v>
      </c>
      <c r="I110" s="241">
        <f t="shared" si="1"/>
        <v>400.5</v>
      </c>
      <c r="J110" s="583">
        <f t="shared" si="2"/>
        <v>3070.5</v>
      </c>
      <c r="K110" s="283">
        <v>9100033030416</v>
      </c>
      <c r="M110" s="430">
        <f>+$J110*(1+'Unit tariffs'!$F$2)</f>
        <v>3199.4610000000002</v>
      </c>
      <c r="N110" s="431">
        <f>+$M110*(1+'Unit tariffs'!$F$2)</f>
        <v>3333.8383620000004</v>
      </c>
    </row>
    <row r="111" spans="1:14" ht="14.25">
      <c r="A111" s="281"/>
      <c r="B111" s="233" t="s">
        <v>1</v>
      </c>
      <c r="C111" s="234"/>
      <c r="D111" s="230" t="s">
        <v>1</v>
      </c>
      <c r="E111" s="536"/>
      <c r="F111" s="637" t="s">
        <v>1</v>
      </c>
      <c r="G111" s="232" t="s">
        <v>1</v>
      </c>
      <c r="H111" s="254" t="s">
        <v>1</v>
      </c>
      <c r="I111" s="242"/>
      <c r="J111" s="236"/>
      <c r="K111" s="284" t="s">
        <v>81</v>
      </c>
      <c r="M111" s="422"/>
      <c r="N111" s="423"/>
    </row>
    <row r="112" spans="1:14" ht="21" customHeight="1">
      <c r="A112" s="298"/>
      <c r="B112" s="299" t="str">
        <f>'Calc Sheet 20_21'!B1419</f>
        <v>9. SPECIAL SERVICE LEVIES</v>
      </c>
      <c r="C112" s="300"/>
      <c r="D112" s="317"/>
      <c r="E112" s="534"/>
      <c r="F112" s="637"/>
      <c r="G112" s="304"/>
      <c r="H112" s="302"/>
      <c r="I112" s="303"/>
      <c r="J112" s="581"/>
      <c r="K112" s="322"/>
      <c r="M112" s="426"/>
      <c r="N112" s="427"/>
    </row>
    <row r="113" spans="1:14" ht="14.25">
      <c r="A113" s="281"/>
      <c r="B113" s="233" t="s">
        <v>1</v>
      </c>
      <c r="C113" s="234"/>
      <c r="D113" s="230"/>
      <c r="E113" s="536"/>
      <c r="F113" s="637"/>
      <c r="G113" s="232"/>
      <c r="H113" s="231"/>
      <c r="I113" s="228"/>
      <c r="J113" s="582"/>
      <c r="K113" s="282"/>
      <c r="M113" s="428"/>
      <c r="N113" s="429"/>
    </row>
    <row r="114" spans="1:14" ht="14.25">
      <c r="A114" s="281"/>
      <c r="B114" s="233" t="str">
        <f>'Calc Sheet 20_21'!B1421</f>
        <v>9.1.1 Electricity meter accuracy test at request by the consumer - Removal of meter</v>
      </c>
      <c r="C114" s="234"/>
      <c r="D114" s="213">
        <f>'Calc Sheet 20_21'!H1443</f>
        <v>1110</v>
      </c>
      <c r="E114" s="537">
        <v>390</v>
      </c>
      <c r="F114" s="637">
        <f>'Calc Sheet 20_21'!H1443</f>
        <v>1110</v>
      </c>
      <c r="G114" s="393">
        <f>'Calc Sheet 20_21'!I1443</f>
        <v>1370</v>
      </c>
      <c r="H114" s="240">
        <f>(G114-F114)/F114</f>
        <v>0.23423423423423423</v>
      </c>
      <c r="I114" s="241">
        <f>G114*I$3</f>
        <v>205.5</v>
      </c>
      <c r="J114" s="583">
        <f>G114+I114</f>
        <v>1575.5</v>
      </c>
      <c r="K114" s="283">
        <v>9100033030416</v>
      </c>
      <c r="M114" s="430">
        <v>6846.3612</v>
      </c>
      <c r="N114" s="431">
        <f>+$M114*(1+'Unit tariffs'!$F$2)</f>
        <v>7133.9083704</v>
      </c>
    </row>
    <row r="115" spans="1:14" ht="14.25">
      <c r="A115" s="281"/>
      <c r="B115" s="233" t="str">
        <f>'Calc Sheet 20_21'!B1423</f>
        <v>       Meter to be removed by supplier for testing. Testing of the meter under item 9.1.2 or 9.1.3</v>
      </c>
      <c r="C115" s="234"/>
      <c r="D115" s="213"/>
      <c r="E115" s="537"/>
      <c r="F115" s="637"/>
      <c r="G115" s="393"/>
      <c r="H115" s="254" t="s">
        <v>1</v>
      </c>
      <c r="I115" s="242"/>
      <c r="J115" s="236"/>
      <c r="K115" s="284"/>
      <c r="M115" s="422"/>
      <c r="N115" s="423"/>
    </row>
    <row r="116" spans="1:14" ht="14.25">
      <c r="A116" s="281"/>
      <c r="B116" s="233" t="str">
        <f>'Calc Sheet 20_21'!B1448</f>
        <v>9.1.2 Request for accuracy test of electricity meter - Testing of meter (1 or 3 phase)</v>
      </c>
      <c r="C116" s="234"/>
      <c r="D116" s="213">
        <f>'Calc Sheet 20_21'!H1465</f>
        <v>284</v>
      </c>
      <c r="E116" s="538">
        <v>140</v>
      </c>
      <c r="F116" s="637">
        <f>'Calc Sheet 20_21'!H1465</f>
        <v>284</v>
      </c>
      <c r="G116" s="393">
        <f>'Calc Sheet 20_21'!I1465</f>
        <v>311</v>
      </c>
      <c r="H116" s="240">
        <f>(G116-F116)/F116</f>
        <v>0.09507042253521127</v>
      </c>
      <c r="I116" s="241">
        <f>G116*I$3</f>
        <v>46.65</v>
      </c>
      <c r="J116" s="583">
        <f>G116+I116</f>
        <v>357.65</v>
      </c>
      <c r="K116" s="283">
        <v>9100033030416</v>
      </c>
      <c r="M116" s="430">
        <f>+$J116*(1+'Unit tariffs'!$F$2)</f>
        <v>372.6713</v>
      </c>
      <c r="N116" s="431">
        <f>+$M116*(1+'Unit tariffs'!$F$2)</f>
        <v>388.3234946</v>
      </c>
    </row>
    <row r="117" spans="1:14" ht="14.25">
      <c r="A117" s="281"/>
      <c r="B117" s="233" t="str">
        <f>'Calc Sheet 20_21'!B1450</f>
        <v>      Meter to be removed under item 9.1.1</v>
      </c>
      <c r="C117" s="234"/>
      <c r="D117" s="213"/>
      <c r="E117" s="537"/>
      <c r="F117" s="637"/>
      <c r="G117" s="393"/>
      <c r="H117" s="254" t="s">
        <v>1</v>
      </c>
      <c r="I117" s="242"/>
      <c r="J117" s="236"/>
      <c r="K117" s="284"/>
      <c r="M117" s="422"/>
      <c r="N117" s="423"/>
    </row>
    <row r="118" spans="1:14" ht="14.25">
      <c r="A118" s="281"/>
      <c r="B118" s="233" t="str">
        <f>'Calc Sheet 20_21'!B1472</f>
        <v>9.1.3 Request for accuracy test of Bulk electricity meter - Testing of meter</v>
      </c>
      <c r="C118" s="234"/>
      <c r="D118" s="213">
        <f>'Calc Sheet 20_21'!H1489</f>
        <v>1260</v>
      </c>
      <c r="E118" s="538">
        <v>515</v>
      </c>
      <c r="F118" s="637">
        <f>'Calc Sheet 20_21'!H1489</f>
        <v>1260</v>
      </c>
      <c r="G118" s="393">
        <f>'Calc Sheet 20_21'!I1489</f>
        <v>1170</v>
      </c>
      <c r="H118" s="240">
        <f>(G118-F118)/F118</f>
        <v>-0.07142857142857142</v>
      </c>
      <c r="I118" s="241">
        <f>G118*I$3</f>
        <v>175.5</v>
      </c>
      <c r="J118" s="583">
        <f>G118+I118</f>
        <v>1345.5</v>
      </c>
      <c r="K118" s="283">
        <v>9100033030416</v>
      </c>
      <c r="M118" s="430">
        <f>+$J118*(1+'Unit tariffs'!$F$2)</f>
        <v>1402.011</v>
      </c>
      <c r="N118" s="431">
        <f>+$M118*(1+'Unit tariffs'!$F$2)</f>
        <v>1460.895462</v>
      </c>
    </row>
    <row r="119" spans="1:14" ht="14.25">
      <c r="A119" s="281"/>
      <c r="B119" s="233" t="str">
        <f>'Calc Sheet 20_21'!B1474</f>
        <v>      Meter to be removed under item 9.1.1</v>
      </c>
      <c r="C119" s="234"/>
      <c r="D119" s="213"/>
      <c r="E119" s="537"/>
      <c r="F119" s="637"/>
      <c r="G119" s="393"/>
      <c r="H119" s="254"/>
      <c r="I119" s="242"/>
      <c r="J119" s="236"/>
      <c r="K119" s="284"/>
      <c r="M119" s="422"/>
      <c r="N119" s="423"/>
    </row>
    <row r="120" spans="1:14" ht="33" customHeight="1">
      <c r="A120" s="281"/>
      <c r="B120" s="233" t="str">
        <f>'Calc Sheet 20_21'!B1496</f>
        <v>MATERIAL (None)</v>
      </c>
      <c r="C120" s="234"/>
      <c r="D120" s="213">
        <f>'Calc Sheet 20_21'!H1512</f>
        <v>10080</v>
      </c>
      <c r="E120" s="537">
        <v>5855</v>
      </c>
      <c r="F120" s="637">
        <f>'Calc Sheet 20_21'!H1512</f>
        <v>10080</v>
      </c>
      <c r="G120" s="393">
        <f>'Calc Sheet 20_21'!I1512</f>
        <v>14740</v>
      </c>
      <c r="H120" s="240">
        <f aca="true" t="shared" si="3" ref="H120:H128">(G120-F120)/F120</f>
        <v>0.4623015873015873</v>
      </c>
      <c r="I120" s="241">
        <f>G120*I$3</f>
        <v>2211</v>
      </c>
      <c r="J120" s="583">
        <f>G120+I120</f>
        <v>16951</v>
      </c>
      <c r="K120" s="283">
        <v>9100033030416</v>
      </c>
      <c r="M120" s="430">
        <f>+$J120*(1+'Unit tariffs'!$F$2)</f>
        <v>17662.942</v>
      </c>
      <c r="N120" s="431">
        <f>+$M120*(1+'Unit tariffs'!$F$2)</f>
        <v>18404.785563999998</v>
      </c>
    </row>
    <row r="121" spans="1:14" ht="29.25" customHeight="1">
      <c r="A121" s="281"/>
      <c r="B121" s="530" t="s">
        <v>427</v>
      </c>
      <c r="C121" s="265"/>
      <c r="D121" s="213">
        <v>4943.73</v>
      </c>
      <c r="E121" s="537"/>
      <c r="F121" s="637">
        <f>+'Calc Sheet 20_21'!H1529</f>
        <v>5700</v>
      </c>
      <c r="G121" s="393">
        <f>+'Calc Sheet 20_21'!I1529</f>
        <v>6200</v>
      </c>
      <c r="H121" s="240">
        <f t="shared" si="3"/>
        <v>0.08771929824561403</v>
      </c>
      <c r="I121" s="241"/>
      <c r="J121" s="583"/>
      <c r="K121" s="283"/>
      <c r="M121" s="430"/>
      <c r="N121" s="431"/>
    </row>
    <row r="122" spans="1:14" ht="33" customHeight="1">
      <c r="A122" s="281"/>
      <c r="B122" s="530" t="s">
        <v>426</v>
      </c>
      <c r="C122" s="234"/>
      <c r="D122" s="213">
        <v>0</v>
      </c>
      <c r="E122" s="537"/>
      <c r="F122" s="637">
        <f>+'Calc Sheet 20_21'!H1545</f>
        <v>8600</v>
      </c>
      <c r="G122" s="393">
        <f>+'Calc Sheet 20_21'!I1545</f>
        <v>9200</v>
      </c>
      <c r="H122" s="240">
        <f t="shared" si="3"/>
        <v>0.06976744186046512</v>
      </c>
      <c r="I122" s="241"/>
      <c r="J122" s="583"/>
      <c r="K122" s="283"/>
      <c r="M122" s="430"/>
      <c r="N122" s="431"/>
    </row>
    <row r="123" spans="1:14" ht="39.75">
      <c r="A123" s="281"/>
      <c r="B123" s="233" t="str">
        <f>'Calc Sheet 20_21'!B1552</f>
        <v>9.7 Reinstatement of supply following disconnection of Std 3 phase service -  Where meter was damaged or persistant tampering occurred (RMD 3 Ph) - Replaced with 100A Time of Use meter (TOU) </v>
      </c>
      <c r="C123" s="234"/>
      <c r="D123" s="213">
        <f>'Calc Sheet 20_21'!H1576</f>
        <v>11360</v>
      </c>
      <c r="E123" s="537">
        <v>10470</v>
      </c>
      <c r="F123" s="637">
        <f>'Calc Sheet 20_21'!H1576</f>
        <v>11360</v>
      </c>
      <c r="G123" s="393">
        <f>'Calc Sheet 20_21'!I1576</f>
        <v>12170</v>
      </c>
      <c r="H123" s="240">
        <f t="shared" si="3"/>
        <v>0.07130281690140845</v>
      </c>
      <c r="I123" s="241">
        <f>G123*I$3</f>
        <v>1825.5</v>
      </c>
      <c r="J123" s="583">
        <f>G123+I123</f>
        <v>13995.5</v>
      </c>
      <c r="K123" s="283">
        <v>9100033030416</v>
      </c>
      <c r="M123" s="430">
        <f>+$J123*(1+'Unit tariffs'!$F$2)</f>
        <v>14583.311</v>
      </c>
      <c r="N123" s="431">
        <f>+$M123*(1+'Unit tariffs'!$F$2)</f>
        <v>15195.810062</v>
      </c>
    </row>
    <row r="124" spans="1:14" ht="29.25" customHeight="1">
      <c r="A124" s="281"/>
      <c r="B124" s="530" t="s">
        <v>428</v>
      </c>
      <c r="C124" s="234"/>
      <c r="D124" s="213">
        <v>0</v>
      </c>
      <c r="E124" s="537"/>
      <c r="F124" s="637">
        <f>+'Calc Sheet 20_21'!H1593</f>
        <v>13200</v>
      </c>
      <c r="G124" s="393">
        <f>+'Calc Sheet 20_21'!I1593</f>
        <v>15400</v>
      </c>
      <c r="H124" s="240">
        <f t="shared" si="3"/>
        <v>0.16666666666666666</v>
      </c>
      <c r="I124" s="241"/>
      <c r="J124" s="583"/>
      <c r="K124" s="283"/>
      <c r="M124" s="430"/>
      <c r="N124" s="431"/>
    </row>
    <row r="125" spans="1:14" ht="33" customHeight="1">
      <c r="A125" s="281"/>
      <c r="B125" s="530" t="s">
        <v>429</v>
      </c>
      <c r="C125" s="234"/>
      <c r="D125" s="213">
        <v>0</v>
      </c>
      <c r="E125" s="537"/>
      <c r="F125" s="637">
        <f>+'Calc Sheet 20_21'!H1611</f>
        <v>26300</v>
      </c>
      <c r="G125" s="393">
        <f>+'Calc Sheet 20_21'!I1611</f>
        <v>30800</v>
      </c>
      <c r="H125" s="240">
        <f t="shared" si="3"/>
        <v>0.17110266159695817</v>
      </c>
      <c r="I125" s="241"/>
      <c r="J125" s="583"/>
      <c r="K125" s="283"/>
      <c r="M125" s="430"/>
      <c r="N125" s="431"/>
    </row>
    <row r="126" spans="1:14" ht="30.75" customHeight="1">
      <c r="A126" s="281"/>
      <c r="B126" s="233" t="str">
        <f>'Calc Sheet 20_21'!B1646</f>
        <v>9.9 Reinstatement of supply following disconnection of service by CENTLEC - 1Phase pre-payment meter damaged or persistent tampering (PPD)</v>
      </c>
      <c r="C126" s="234"/>
      <c r="D126" s="213">
        <f>+'Calc Sheet 20_21'!H1669</f>
        <v>6410</v>
      </c>
      <c r="E126" s="537">
        <v>5990</v>
      </c>
      <c r="F126" s="637">
        <f>+'Calc Sheet 20_21'!H1669</f>
        <v>6410</v>
      </c>
      <c r="G126" s="393">
        <f>+'Calc Sheet 20_21'!I1669</f>
        <v>7590</v>
      </c>
      <c r="H126" s="240">
        <f t="shared" si="3"/>
        <v>0.18408736349453977</v>
      </c>
      <c r="I126" s="241">
        <f>G126*I$3</f>
        <v>1138.5</v>
      </c>
      <c r="J126" s="583">
        <f>G126+I126</f>
        <v>8728.5</v>
      </c>
      <c r="K126" s="283">
        <v>9100033030416</v>
      </c>
      <c r="M126" s="430">
        <f>+$J126*(1+'Unit tariffs'!$F$2)</f>
        <v>9095.097</v>
      </c>
      <c r="N126" s="431">
        <f>+$M126*(1+'Unit tariffs'!$F$2)</f>
        <v>9477.091074</v>
      </c>
    </row>
    <row r="127" spans="1:14" ht="29.25" customHeight="1">
      <c r="A127" s="281"/>
      <c r="B127" s="530" t="s">
        <v>430</v>
      </c>
      <c r="C127" s="234"/>
      <c r="D127" s="213">
        <v>4943.73</v>
      </c>
      <c r="E127" s="537"/>
      <c r="F127" s="637">
        <f>+'Calc Sheet 20_21'!H1687</f>
        <v>5300</v>
      </c>
      <c r="G127" s="393">
        <f>+'Calc Sheet 20_21'!I1687</f>
        <v>6200</v>
      </c>
      <c r="H127" s="240">
        <f t="shared" si="3"/>
        <v>0.16981132075471697</v>
      </c>
      <c r="I127" s="241"/>
      <c r="J127" s="583"/>
      <c r="K127" s="283"/>
      <c r="M127" s="430"/>
      <c r="N127" s="431"/>
    </row>
    <row r="128" spans="1:14" ht="33" customHeight="1">
      <c r="A128" s="281"/>
      <c r="B128" s="530" t="s">
        <v>431</v>
      </c>
      <c r="C128" s="234"/>
      <c r="D128" s="213">
        <v>0</v>
      </c>
      <c r="E128" s="537"/>
      <c r="F128" s="637">
        <f>+'Calc Sheet 20_21'!H1704</f>
        <v>7900</v>
      </c>
      <c r="G128" s="393">
        <f>+'Calc Sheet 20_21'!I1704</f>
        <v>9200</v>
      </c>
      <c r="H128" s="240">
        <f t="shared" si="3"/>
        <v>0.16455696202531644</v>
      </c>
      <c r="I128" s="241"/>
      <c r="J128" s="583"/>
      <c r="K128" s="283"/>
      <c r="M128" s="430"/>
      <c r="N128" s="431"/>
    </row>
    <row r="129" spans="1:14" ht="13.5" customHeight="1" thickBot="1">
      <c r="A129" s="378"/>
      <c r="B129" s="290"/>
      <c r="C129" s="291"/>
      <c r="D129" s="374"/>
      <c r="E129" s="552"/>
      <c r="F129" s="637"/>
      <c r="G129" s="400"/>
      <c r="H129" s="375"/>
      <c r="I129" s="376"/>
      <c r="J129" s="589"/>
      <c r="K129" s="377"/>
      <c r="M129" s="440"/>
      <c r="N129" s="441"/>
    </row>
    <row r="130" spans="1:14" ht="15">
      <c r="A130" s="273"/>
      <c r="B130" s="274" t="str">
        <f>B1</f>
        <v>CENTLEC : ELECTRICITY SERVICES COSTS FOR MANTSOPA MUNIC</v>
      </c>
      <c r="C130" s="388"/>
      <c r="D130" s="382" t="s">
        <v>74</v>
      </c>
      <c r="E130" s="545"/>
      <c r="F130" s="693" t="s">
        <v>74</v>
      </c>
      <c r="G130" s="384" t="s">
        <v>74</v>
      </c>
      <c r="H130" s="383" t="s">
        <v>85</v>
      </c>
      <c r="I130" s="55" t="s">
        <v>470</v>
      </c>
      <c r="J130" s="384" t="s">
        <v>138</v>
      </c>
      <c r="K130" s="385" t="s">
        <v>75</v>
      </c>
      <c r="M130" s="694" t="s">
        <v>138</v>
      </c>
      <c r="N130" s="695" t="s">
        <v>138</v>
      </c>
    </row>
    <row r="131" spans="1:14" ht="14.25">
      <c r="A131" s="281"/>
      <c r="B131" s="239"/>
      <c r="C131" s="238"/>
      <c r="D131" s="340" t="s">
        <v>77</v>
      </c>
      <c r="E131" s="532"/>
      <c r="F131" s="693" t="s">
        <v>77</v>
      </c>
      <c r="G131" s="236" t="s">
        <v>77</v>
      </c>
      <c r="H131" s="339" t="s">
        <v>86</v>
      </c>
      <c r="I131" s="665">
        <f>+'Unit tariffs'!F$3</f>
        <v>0.15</v>
      </c>
      <c r="J131" s="236" t="s">
        <v>139</v>
      </c>
      <c r="K131" s="337" t="s">
        <v>78</v>
      </c>
      <c r="M131" s="691" t="s">
        <v>139</v>
      </c>
      <c r="N131" s="692" t="s">
        <v>139</v>
      </c>
    </row>
    <row r="132" spans="1:14" ht="14.25">
      <c r="A132" s="281"/>
      <c r="B132" s="239"/>
      <c r="C132" s="238"/>
      <c r="D132" s="340" t="str">
        <f>D$4</f>
        <v>2016/2017</v>
      </c>
      <c r="E132" s="532"/>
      <c r="F132" s="690" t="str">
        <f>'Calc Sheet 20_21'!$H$11</f>
        <v>2020/2021</v>
      </c>
      <c r="G132" s="236" t="str">
        <f>'Calc Sheet 20_21'!$I$11</f>
        <v>2021/2022</v>
      </c>
      <c r="H132" s="339" t="str">
        <f>G132</f>
        <v>2021/2022</v>
      </c>
      <c r="I132" s="55" t="str">
        <f>G132</f>
        <v>2021/2022</v>
      </c>
      <c r="J132" s="236" t="str">
        <f>I132</f>
        <v>2021/2022</v>
      </c>
      <c r="K132" s="337" t="s">
        <v>79</v>
      </c>
      <c r="M132" s="691" t="s">
        <v>460</v>
      </c>
      <c r="N132" s="692" t="s">
        <v>481</v>
      </c>
    </row>
    <row r="133" spans="1:14" ht="15.75" thickBot="1">
      <c r="A133" s="305"/>
      <c r="B133" s="349" t="s">
        <v>105</v>
      </c>
      <c r="C133" s="307"/>
      <c r="D133" s="343" t="s">
        <v>80</v>
      </c>
      <c r="E133" s="533"/>
      <c r="F133" s="693" t="s">
        <v>80</v>
      </c>
      <c r="G133" s="346" t="s">
        <v>80</v>
      </c>
      <c r="H133" s="344"/>
      <c r="I133" s="345"/>
      <c r="J133" s="346"/>
      <c r="K133" s="347"/>
      <c r="M133" s="424"/>
      <c r="N133" s="425"/>
    </row>
    <row r="134" spans="1:14" ht="27" thickTop="1">
      <c r="A134" s="281"/>
      <c r="B134" s="530" t="s">
        <v>370</v>
      </c>
      <c r="C134" s="234"/>
      <c r="D134" s="213">
        <f>+'Calc Sheet 20_21'!H1734</f>
        <v>11890</v>
      </c>
      <c r="E134" s="537">
        <v>11360</v>
      </c>
      <c r="F134" s="637">
        <f>+'Calc Sheet 20_21'!H1734</f>
        <v>11890</v>
      </c>
      <c r="G134" s="393">
        <f>+'Calc Sheet 20_21'!I1734</f>
        <v>14120</v>
      </c>
      <c r="H134" s="240">
        <f>IF(G134&lt;0.01,"0",(G134-D134)/D134)</f>
        <v>0.18755256518082422</v>
      </c>
      <c r="I134" s="241">
        <f>G134*I$3</f>
        <v>2118</v>
      </c>
      <c r="J134" s="583">
        <f aca="true" t="shared" si="4" ref="J134:J149">G134+I134</f>
        <v>16238</v>
      </c>
      <c r="K134" s="283">
        <v>9100033030416</v>
      </c>
      <c r="M134" s="430">
        <f>+$J134*(1+'Unit tariffs'!$F$2)</f>
        <v>16919.996</v>
      </c>
      <c r="N134" s="431">
        <f>+$M134*(1+'Unit tariffs'!$F$2)</f>
        <v>17630.635832</v>
      </c>
    </row>
    <row r="135" spans="1:14" ht="29.25" customHeight="1">
      <c r="A135" s="281"/>
      <c r="B135" s="530" t="s">
        <v>439</v>
      </c>
      <c r="C135" s="234"/>
      <c r="D135" s="213">
        <v>0</v>
      </c>
      <c r="E135" s="537"/>
      <c r="F135" s="637">
        <f>+'Calc Sheet 20_21'!H1751</f>
        <v>13200</v>
      </c>
      <c r="G135" s="393">
        <f>+'Calc Sheet 20_21'!I1751</f>
        <v>15400</v>
      </c>
      <c r="H135" s="240">
        <f aca="true" t="shared" si="5" ref="H135:H146">(G135-F135)/F135</f>
        <v>0.16666666666666666</v>
      </c>
      <c r="I135" s="241"/>
      <c r="J135" s="583"/>
      <c r="K135" s="283"/>
      <c r="M135" s="430"/>
      <c r="N135" s="431"/>
    </row>
    <row r="136" spans="1:14" ht="33" customHeight="1">
      <c r="A136" s="281"/>
      <c r="B136" s="530" t="s">
        <v>440</v>
      </c>
      <c r="C136" s="234"/>
      <c r="D136" s="213">
        <v>0</v>
      </c>
      <c r="E136" s="537"/>
      <c r="F136" s="637">
        <f>+'Calc Sheet 20_21'!H1768</f>
        <v>26300</v>
      </c>
      <c r="G136" s="393">
        <f>+'Calc Sheet 20_21'!I1768</f>
        <v>30800</v>
      </c>
      <c r="H136" s="240">
        <f t="shared" si="5"/>
        <v>0.17110266159695817</v>
      </c>
      <c r="I136" s="241"/>
      <c r="J136" s="583"/>
      <c r="K136" s="283"/>
      <c r="M136" s="430"/>
      <c r="N136" s="431"/>
    </row>
    <row r="137" spans="1:14" ht="18.75" customHeight="1">
      <c r="A137" s="281"/>
      <c r="B137" s="530" t="s">
        <v>459</v>
      </c>
      <c r="C137" s="234"/>
      <c r="D137" s="213">
        <f>+'Calc Sheet 20_21'!H1796</f>
        <v>793</v>
      </c>
      <c r="E137" s="538">
        <v>240</v>
      </c>
      <c r="F137" s="637">
        <f>+'Calc Sheet 20_21'!H1796</f>
        <v>793</v>
      </c>
      <c r="G137" s="393">
        <f>+'Calc Sheet 20_21'!I1796</f>
        <v>950</v>
      </c>
      <c r="H137" s="240">
        <f t="shared" si="5"/>
        <v>0.19798234552332913</v>
      </c>
      <c r="I137" s="241">
        <f aca="true" t="shared" si="6" ref="I137:I150">G137*I$3</f>
        <v>142.5</v>
      </c>
      <c r="J137" s="583">
        <f t="shared" si="4"/>
        <v>1092.5</v>
      </c>
      <c r="K137" s="283">
        <v>9100033030416</v>
      </c>
      <c r="M137" s="430">
        <f>+$J137*(1+'Unit tariffs'!$F$2)</f>
        <v>1138.385</v>
      </c>
      <c r="N137" s="431">
        <f>+$M137*(1+'Unit tariffs'!$F$2)</f>
        <v>1186.1971700000001</v>
      </c>
    </row>
    <row r="138" spans="1:14" ht="27">
      <c r="A138" s="281"/>
      <c r="B138" s="233" t="str">
        <f>+'Calc Sheet 20_21'!B1803:G1803</f>
        <v>9.12 Reinstatement of supply by CENTLEC - Where supplied from overhead transmission systems or a substation</v>
      </c>
      <c r="C138" s="234"/>
      <c r="D138" s="213">
        <f>+'Calc Sheet 20_21'!H1825</f>
        <v>1430</v>
      </c>
      <c r="E138" s="537">
        <v>1330</v>
      </c>
      <c r="F138" s="637">
        <f>+'Calc Sheet 20_21'!H1825</f>
        <v>1430</v>
      </c>
      <c r="G138" s="393">
        <f>+'Calc Sheet 20_21'!I1825</f>
        <v>1780</v>
      </c>
      <c r="H138" s="240">
        <f t="shared" si="5"/>
        <v>0.24475524475524477</v>
      </c>
      <c r="I138" s="241">
        <f t="shared" si="6"/>
        <v>267</v>
      </c>
      <c r="J138" s="583">
        <f t="shared" si="4"/>
        <v>2047</v>
      </c>
      <c r="K138" s="283">
        <v>9100033030416</v>
      </c>
      <c r="M138" s="430">
        <f>+$J138*(1+'Unit tariffs'!$F$2)</f>
        <v>2132.974</v>
      </c>
      <c r="N138" s="431">
        <f>+$M138*(1+'Unit tariffs'!$F$2)</f>
        <v>2222.5589080000004</v>
      </c>
    </row>
    <row r="139" spans="1:14" ht="27">
      <c r="A139" s="281"/>
      <c r="B139" s="530" t="s">
        <v>371</v>
      </c>
      <c r="C139" s="234"/>
      <c r="D139" s="213">
        <f>+'Calc Sheet 20_21'!H1856</f>
        <v>2370</v>
      </c>
      <c r="E139" s="538">
        <v>1170</v>
      </c>
      <c r="F139" s="637">
        <f>+'Calc Sheet 20_21'!H1856</f>
        <v>2370</v>
      </c>
      <c r="G139" s="393">
        <f>+'Calc Sheet 20_21'!I1856</f>
        <v>2830</v>
      </c>
      <c r="H139" s="256">
        <f t="shared" si="5"/>
        <v>0.1940928270042194</v>
      </c>
      <c r="I139" s="241">
        <f t="shared" si="6"/>
        <v>424.5</v>
      </c>
      <c r="J139" s="583">
        <f t="shared" si="4"/>
        <v>3254.5</v>
      </c>
      <c r="K139" s="283">
        <v>9100033030416</v>
      </c>
      <c r="M139" s="430">
        <f>+$J139*(1+'Unit tariffs'!$F$2)</f>
        <v>3391.1890000000003</v>
      </c>
      <c r="N139" s="431">
        <f>+$M139*(1+'Unit tariffs'!$F$2)</f>
        <v>3533.6189380000005</v>
      </c>
    </row>
    <row r="140" spans="1:14" ht="27">
      <c r="A140" s="281"/>
      <c r="B140" s="530" t="s">
        <v>372</v>
      </c>
      <c r="C140" s="234"/>
      <c r="D140" s="213">
        <f>+'Calc Sheet 20_21'!H1887</f>
        <v>2500</v>
      </c>
      <c r="E140" s="538">
        <v>1295</v>
      </c>
      <c r="F140" s="637">
        <f>+'Calc Sheet 20_21'!H1887</f>
        <v>2500</v>
      </c>
      <c r="G140" s="393">
        <f>+'Calc Sheet 20_21'!I1887</f>
        <v>2950</v>
      </c>
      <c r="H140" s="240">
        <f t="shared" si="5"/>
        <v>0.18</v>
      </c>
      <c r="I140" s="241">
        <f t="shared" si="6"/>
        <v>442.5</v>
      </c>
      <c r="J140" s="583">
        <f t="shared" si="4"/>
        <v>3392.5</v>
      </c>
      <c r="K140" s="283">
        <v>9100033030416</v>
      </c>
      <c r="M140" s="430">
        <f>+$J140*(1+'Unit tariffs'!$F$2)</f>
        <v>3534.985</v>
      </c>
      <c r="N140" s="431">
        <f>+$M140*(1+'Unit tariffs'!$F$2)</f>
        <v>3683.4543700000004</v>
      </c>
    </row>
    <row r="141" spans="1:14" ht="14.25">
      <c r="A141" s="281"/>
      <c r="B141" s="233" t="s">
        <v>135</v>
      </c>
      <c r="C141" s="234"/>
      <c r="D141" s="213">
        <f>'Calc Sheet 20_21'!H1919</f>
        <v>3900</v>
      </c>
      <c r="E141" s="537">
        <v>3210</v>
      </c>
      <c r="F141" s="637">
        <f>'Calc Sheet 20_21'!H1919</f>
        <v>3900</v>
      </c>
      <c r="G141" s="393">
        <f>'Calc Sheet 20_21'!I1919</f>
        <v>4310</v>
      </c>
      <c r="H141" s="240">
        <f t="shared" si="5"/>
        <v>0.10512820512820513</v>
      </c>
      <c r="I141" s="241">
        <f t="shared" si="6"/>
        <v>646.5</v>
      </c>
      <c r="J141" s="583">
        <f t="shared" si="4"/>
        <v>4956.5</v>
      </c>
      <c r="K141" s="283">
        <v>9100033030416</v>
      </c>
      <c r="M141" s="430">
        <f>+$J141*(1+'Unit tariffs'!$F$2)</f>
        <v>5164.673</v>
      </c>
      <c r="N141" s="431">
        <f>+$M141*(1+'Unit tariffs'!$F$2)</f>
        <v>5381.589266</v>
      </c>
    </row>
    <row r="142" spans="1:14" ht="14.25">
      <c r="A142" s="281"/>
      <c r="B142" s="233" t="s">
        <v>136</v>
      </c>
      <c r="C142" s="234"/>
      <c r="D142" s="213">
        <f>+'Calc Sheet 20_21'!H1951</f>
        <v>9990</v>
      </c>
      <c r="E142" s="537">
        <v>9025</v>
      </c>
      <c r="F142" s="637">
        <f>+'Calc Sheet 20_21'!H1951</f>
        <v>9990</v>
      </c>
      <c r="G142" s="393">
        <f>+'Calc Sheet 20_21'!I1951</f>
        <v>10140</v>
      </c>
      <c r="H142" s="240">
        <f t="shared" si="5"/>
        <v>0.015015015015015015</v>
      </c>
      <c r="I142" s="241">
        <f t="shared" si="6"/>
        <v>1521</v>
      </c>
      <c r="J142" s="583">
        <f t="shared" si="4"/>
        <v>11661</v>
      </c>
      <c r="K142" s="283">
        <v>9100033030416</v>
      </c>
      <c r="M142" s="430">
        <f>+$J142*(1+'Unit tariffs'!$F$2)</f>
        <v>12150.762</v>
      </c>
      <c r="N142" s="431">
        <f>+$M142*(1+'Unit tariffs'!$F$2)</f>
        <v>12661.094004</v>
      </c>
    </row>
    <row r="143" spans="1:14" ht="27">
      <c r="A143" s="281"/>
      <c r="B143" s="530" t="s">
        <v>432</v>
      </c>
      <c r="C143" s="234"/>
      <c r="D143" s="213">
        <f>+'Calc Sheet 20_21'!H1669</f>
        <v>6410</v>
      </c>
      <c r="E143" s="537">
        <v>5990</v>
      </c>
      <c r="F143" s="637">
        <f>+'Calc Sheet 20_21'!H1669</f>
        <v>6410</v>
      </c>
      <c r="G143" s="393">
        <f>+'Calc Sheet 20_21'!I1669</f>
        <v>7590</v>
      </c>
      <c r="H143" s="256">
        <f t="shared" si="5"/>
        <v>0.18408736349453977</v>
      </c>
      <c r="I143" s="241">
        <f t="shared" si="6"/>
        <v>1138.5</v>
      </c>
      <c r="J143" s="583">
        <f>G143+I143</f>
        <v>8728.5</v>
      </c>
      <c r="K143" s="283">
        <v>9100033030416</v>
      </c>
      <c r="M143" s="430">
        <f>+$J143*(1+'Unit tariffs'!$F$2)</f>
        <v>9095.097</v>
      </c>
      <c r="N143" s="431">
        <f>+$M143*(1+'Unit tariffs'!$F$2)</f>
        <v>9477.091074</v>
      </c>
    </row>
    <row r="144" spans="1:14" ht="33" customHeight="1">
      <c r="A144" s="281"/>
      <c r="B144" s="530" t="s">
        <v>434</v>
      </c>
      <c r="C144" s="234"/>
      <c r="D144" s="213">
        <v>0</v>
      </c>
      <c r="E144" s="537"/>
      <c r="F144" s="637">
        <f>+'Calc Sheet 20_21'!H2020</f>
        <v>11400</v>
      </c>
      <c r="G144" s="393">
        <f>+'Calc Sheet 20_21'!I2020</f>
        <v>12300</v>
      </c>
      <c r="H144" s="240">
        <f t="shared" si="5"/>
        <v>0.07894736842105263</v>
      </c>
      <c r="I144" s="241">
        <f t="shared" si="6"/>
        <v>1845</v>
      </c>
      <c r="J144" s="583">
        <f>G144+I144</f>
        <v>14145</v>
      </c>
      <c r="K144" s="283">
        <v>9100033030416</v>
      </c>
      <c r="M144" s="430">
        <f>+$J144*(1+'Unit tariffs'!$F$2)</f>
        <v>14739.09</v>
      </c>
      <c r="N144" s="431">
        <f>+$M144*(1+'Unit tariffs'!$F$2)</f>
        <v>15358.131780000002</v>
      </c>
    </row>
    <row r="145" spans="1:14" ht="27">
      <c r="A145" s="281"/>
      <c r="B145" s="530" t="s">
        <v>433</v>
      </c>
      <c r="C145" s="234"/>
      <c r="D145" s="213">
        <f>+'Calc Sheet 20_21'!H2075</f>
        <v>18240</v>
      </c>
      <c r="E145" s="538">
        <v>16065</v>
      </c>
      <c r="F145" s="637">
        <f>+'Calc Sheet 20_21'!H2075</f>
        <v>18240</v>
      </c>
      <c r="G145" s="393">
        <f>+'Calc Sheet 20_21'!I2075</f>
        <v>18940</v>
      </c>
      <c r="H145" s="240">
        <f t="shared" si="5"/>
        <v>0.03837719298245614</v>
      </c>
      <c r="I145" s="241">
        <f t="shared" si="6"/>
        <v>2841</v>
      </c>
      <c r="J145" s="583">
        <f>G145+I145</f>
        <v>21781</v>
      </c>
      <c r="K145" s="283">
        <v>9100033030416</v>
      </c>
      <c r="M145" s="430">
        <f>+$J145*(1+'Unit tariffs'!$F$2)</f>
        <v>22695.802</v>
      </c>
      <c r="N145" s="431">
        <f>+$M145*(1+'Unit tariffs'!$F$2)</f>
        <v>23649.025684</v>
      </c>
    </row>
    <row r="146" spans="1:14" ht="33" customHeight="1">
      <c r="A146" s="281"/>
      <c r="B146" s="530" t="s">
        <v>435</v>
      </c>
      <c r="C146" s="234"/>
      <c r="D146" s="213">
        <v>15894.94</v>
      </c>
      <c r="E146" s="537"/>
      <c r="F146" s="637">
        <f>+'Calc Sheet 20_21'!H2092</f>
        <v>39000</v>
      </c>
      <c r="G146" s="393">
        <f>+'Calc Sheet 20_21'!I2092</f>
        <v>41100</v>
      </c>
      <c r="H146" s="240">
        <f t="shared" si="5"/>
        <v>0.05384615384615385</v>
      </c>
      <c r="I146" s="241">
        <f t="shared" si="6"/>
        <v>6165</v>
      </c>
      <c r="J146" s="583">
        <f>G146+I146</f>
        <v>47265</v>
      </c>
      <c r="K146" s="283">
        <v>9100033030416</v>
      </c>
      <c r="M146" s="430">
        <f>+$J146*(1+'Unit tariffs'!$F$2)</f>
        <v>49250.130000000005</v>
      </c>
      <c r="N146" s="431">
        <f>+$M146*(1+'Unit tariffs'!$F$2)</f>
        <v>51318.635460000005</v>
      </c>
    </row>
    <row r="147" spans="1:14" ht="14.25">
      <c r="A147" s="281"/>
      <c r="B147" s="233" t="s">
        <v>137</v>
      </c>
      <c r="C147" s="234"/>
      <c r="D147" s="213">
        <f>+'Calc Sheet 20_21'!H2146</f>
        <v>25530</v>
      </c>
      <c r="E147" s="538">
        <v>20260</v>
      </c>
      <c r="F147" s="637">
        <f>+'Calc Sheet 20_21'!H2146</f>
        <v>25530</v>
      </c>
      <c r="G147" s="393">
        <f>+'Calc Sheet 20_21'!I2146</f>
        <v>27230</v>
      </c>
      <c r="H147" s="240">
        <f>IF(G147&lt;0.01,"0",(G147-D147)/D147)</f>
        <v>0.06658832745789267</v>
      </c>
      <c r="I147" s="241">
        <f t="shared" si="6"/>
        <v>4084.5</v>
      </c>
      <c r="J147" s="583">
        <f t="shared" si="4"/>
        <v>31314.5</v>
      </c>
      <c r="K147" s="283">
        <v>9100033030416</v>
      </c>
      <c r="M147" s="430">
        <f>+$J147*(1+'Unit tariffs'!$F$2)</f>
        <v>32629.709000000003</v>
      </c>
      <c r="N147" s="431">
        <f>+$M147*(1+'Unit tariffs'!$F$2)</f>
        <v>34000.156778000004</v>
      </c>
    </row>
    <row r="148" spans="1:14" ht="23.25" customHeight="1">
      <c r="A148" s="281"/>
      <c r="B148" s="530" t="s">
        <v>437</v>
      </c>
      <c r="C148" s="234"/>
      <c r="D148" s="213">
        <v>0</v>
      </c>
      <c r="E148" s="537"/>
      <c r="F148" s="637">
        <f>+'Calc Sheet 20_21'!H2163</f>
        <v>90000</v>
      </c>
      <c r="G148" s="393">
        <f>+'Calc Sheet 20_21'!I2163</f>
        <v>100000</v>
      </c>
      <c r="H148" s="240">
        <f>(G148-F148)/F148</f>
        <v>0.1111111111111111</v>
      </c>
      <c r="I148" s="241">
        <f t="shared" si="6"/>
        <v>15000</v>
      </c>
      <c r="J148" s="583">
        <f t="shared" si="4"/>
        <v>115000</v>
      </c>
      <c r="K148" s="283">
        <v>9100033030416</v>
      </c>
      <c r="M148" s="430">
        <f>+$J148*(1+'Unit tariffs'!$F$2)</f>
        <v>119830</v>
      </c>
      <c r="N148" s="431">
        <f>+$M148*(1+'Unit tariffs'!$F$2)</f>
        <v>124862.86</v>
      </c>
    </row>
    <row r="149" spans="1:14" ht="23.25" customHeight="1">
      <c r="A149" s="281"/>
      <c r="B149" s="530" t="s">
        <v>438</v>
      </c>
      <c r="C149" s="234"/>
      <c r="D149" s="213">
        <v>0</v>
      </c>
      <c r="E149" s="537"/>
      <c r="F149" s="637">
        <f>+'Calc Sheet 20_21'!H2179</f>
        <v>150000</v>
      </c>
      <c r="G149" s="393">
        <f>+'Calc Sheet 20_21'!I2179</f>
        <v>170000</v>
      </c>
      <c r="H149" s="256">
        <f>(G149-F149)/F149</f>
        <v>0.13333333333333333</v>
      </c>
      <c r="I149" s="241">
        <f t="shared" si="6"/>
        <v>25500</v>
      </c>
      <c r="J149" s="583">
        <f t="shared" si="4"/>
        <v>195500</v>
      </c>
      <c r="K149" s="283">
        <v>9100033030416</v>
      </c>
      <c r="M149" s="430">
        <f>+$J149*(1+'Unit tariffs'!$F$2)</f>
        <v>203711</v>
      </c>
      <c r="N149" s="431">
        <f>+$M149*(1+'Unit tariffs'!$F$2)</f>
        <v>212266.862</v>
      </c>
    </row>
    <row r="150" spans="1:14" ht="14.25">
      <c r="A150" s="281"/>
      <c r="B150" s="530" t="s">
        <v>441</v>
      </c>
      <c r="C150" s="234"/>
      <c r="D150" s="577">
        <v>954.07</v>
      </c>
      <c r="E150" s="537"/>
      <c r="F150" s="637">
        <f>+'Calc Sheet 20_21'!H2210</f>
        <v>1740</v>
      </c>
      <c r="G150" s="393">
        <f>+'Calc Sheet 20_21'!I2210</f>
        <v>1750</v>
      </c>
      <c r="H150" s="240">
        <f>(G150-F150)/F150</f>
        <v>0.005747126436781609</v>
      </c>
      <c r="I150" s="241">
        <f t="shared" si="6"/>
        <v>262.5</v>
      </c>
      <c r="J150" s="583">
        <f>+I150+G150</f>
        <v>2012.5</v>
      </c>
      <c r="K150" s="283">
        <v>9100033030416</v>
      </c>
      <c r="M150" s="430">
        <f>+$J150*(1+'Unit tariffs'!$F$2)</f>
        <v>2097.025</v>
      </c>
      <c r="N150" s="431">
        <f>+$M150*(1+'Unit tariffs'!$F$2)</f>
        <v>2185.10005</v>
      </c>
    </row>
    <row r="151" spans="1:14" ht="20.25" customHeight="1">
      <c r="A151" s="281"/>
      <c r="B151" s="579" t="s">
        <v>436</v>
      </c>
      <c r="C151" s="234"/>
      <c r="D151" s="213"/>
      <c r="E151" s="537"/>
      <c r="F151" s="627"/>
      <c r="G151" s="393"/>
      <c r="H151" s="256"/>
      <c r="I151" s="257"/>
      <c r="J151" s="583"/>
      <c r="K151" s="283">
        <v>9100033030416</v>
      </c>
      <c r="M151" s="430"/>
      <c r="N151" s="431"/>
    </row>
    <row r="152" spans="1:14" ht="21" customHeight="1">
      <c r="A152" s="298"/>
      <c r="B152" s="334" t="s">
        <v>250</v>
      </c>
      <c r="C152" s="329"/>
      <c r="D152" s="317"/>
      <c r="E152" s="534"/>
      <c r="F152" s="625"/>
      <c r="G152" s="304"/>
      <c r="H152" s="302"/>
      <c r="I152" s="303"/>
      <c r="J152" s="590"/>
      <c r="K152" s="322"/>
      <c r="M152" s="426"/>
      <c r="N152" s="427"/>
    </row>
    <row r="153" spans="1:14" ht="57" customHeight="1">
      <c r="A153" s="281"/>
      <c r="B153" s="373" t="s">
        <v>251</v>
      </c>
      <c r="C153" s="258"/>
      <c r="D153" s="260" t="s">
        <v>252</v>
      </c>
      <c r="E153" s="553"/>
      <c r="F153" s="643" t="s">
        <v>347</v>
      </c>
      <c r="G153" s="666" t="s">
        <v>471</v>
      </c>
      <c r="H153" s="240"/>
      <c r="I153" s="241"/>
      <c r="J153" s="591"/>
      <c r="K153" s="283">
        <v>9100033030416</v>
      </c>
      <c r="M153" s="430"/>
      <c r="N153" s="431"/>
    </row>
    <row r="154" spans="1:14" ht="57" customHeight="1">
      <c r="A154" s="281"/>
      <c r="B154" s="259" t="s">
        <v>253</v>
      </c>
      <c r="C154" s="258"/>
      <c r="D154" s="260" t="s">
        <v>252</v>
      </c>
      <c r="E154" s="553"/>
      <c r="F154" s="643" t="s">
        <v>347</v>
      </c>
      <c r="G154" s="401" t="s">
        <v>347</v>
      </c>
      <c r="H154" s="240"/>
      <c r="I154" s="241"/>
      <c r="J154" s="591"/>
      <c r="K154" s="283">
        <v>9100033030416</v>
      </c>
      <c r="M154" s="430"/>
      <c r="N154" s="431"/>
    </row>
    <row r="155" spans="1:14" ht="66">
      <c r="A155" s="281"/>
      <c r="B155" s="261" t="s">
        <v>259</v>
      </c>
      <c r="C155" s="258"/>
      <c r="D155" s="262" t="s">
        <v>254</v>
      </c>
      <c r="E155" s="554"/>
      <c r="F155" s="643" t="s">
        <v>346</v>
      </c>
      <c r="G155" s="401" t="s">
        <v>346</v>
      </c>
      <c r="H155" s="240"/>
      <c r="I155" s="241"/>
      <c r="J155" s="591"/>
      <c r="K155" s="283">
        <v>9100033030416</v>
      </c>
      <c r="M155" s="430"/>
      <c r="N155" s="431"/>
    </row>
    <row r="156" spans="1:14" ht="66">
      <c r="A156" s="281"/>
      <c r="B156" s="261" t="s">
        <v>348</v>
      </c>
      <c r="C156" s="258"/>
      <c r="D156" s="262" t="s">
        <v>255</v>
      </c>
      <c r="E156" s="554"/>
      <c r="F156" s="643" t="s">
        <v>256</v>
      </c>
      <c r="G156" s="401" t="s">
        <v>256</v>
      </c>
      <c r="H156" s="240"/>
      <c r="I156" s="241"/>
      <c r="J156" s="591"/>
      <c r="K156" s="283">
        <v>9100033030416</v>
      </c>
      <c r="M156" s="430"/>
      <c r="N156" s="431"/>
    </row>
    <row r="157" spans="1:14" ht="66">
      <c r="A157" s="281"/>
      <c r="B157" s="261" t="s">
        <v>349</v>
      </c>
      <c r="C157" s="258"/>
      <c r="D157" s="262" t="s">
        <v>256</v>
      </c>
      <c r="E157" s="554"/>
      <c r="F157" s="643" t="s">
        <v>345</v>
      </c>
      <c r="G157" s="401" t="s">
        <v>345</v>
      </c>
      <c r="H157" s="406"/>
      <c r="I157" s="241"/>
      <c r="J157" s="591"/>
      <c r="K157" s="283">
        <v>9100033030416</v>
      </c>
      <c r="M157" s="430"/>
      <c r="N157" s="431"/>
    </row>
    <row r="158" spans="1:14" ht="39.75">
      <c r="A158" s="281"/>
      <c r="B158" s="239" t="s">
        <v>257</v>
      </c>
      <c r="C158" s="258"/>
      <c r="D158" s="247"/>
      <c r="E158" s="539"/>
      <c r="F158" s="628"/>
      <c r="G158" s="394"/>
      <c r="H158" s="240"/>
      <c r="I158" s="241"/>
      <c r="J158" s="591"/>
      <c r="K158" s="283"/>
      <c r="M158" s="430"/>
      <c r="N158" s="431"/>
    </row>
    <row r="159" spans="1:14" ht="15" thickBot="1">
      <c r="A159" s="378"/>
      <c r="B159" s="379"/>
      <c r="C159" s="389"/>
      <c r="D159" s="390"/>
      <c r="E159" s="555"/>
      <c r="F159" s="644"/>
      <c r="G159" s="402"/>
      <c r="H159" s="375"/>
      <c r="I159" s="376"/>
      <c r="J159" s="592"/>
      <c r="K159" s="377"/>
      <c r="M159" s="440"/>
      <c r="N159" s="441"/>
    </row>
    <row r="160" spans="1:14" ht="19.5" customHeight="1">
      <c r="A160" s="273"/>
      <c r="B160" s="274" t="s">
        <v>148</v>
      </c>
      <c r="C160" s="388"/>
      <c r="D160" s="382" t="s">
        <v>74</v>
      </c>
      <c r="E160" s="545"/>
      <c r="F160" s="634" t="s">
        <v>74</v>
      </c>
      <c r="G160" s="384" t="s">
        <v>74</v>
      </c>
      <c r="H160" s="383" t="s">
        <v>85</v>
      </c>
      <c r="I160" s="55" t="s">
        <v>470</v>
      </c>
      <c r="J160" s="384" t="s">
        <v>138</v>
      </c>
      <c r="K160" s="385" t="s">
        <v>75</v>
      </c>
      <c r="M160" s="694" t="s">
        <v>138</v>
      </c>
      <c r="N160" s="695" t="s">
        <v>138</v>
      </c>
    </row>
    <row r="161" spans="1:14" ht="14.25">
      <c r="A161" s="281"/>
      <c r="B161" s="239"/>
      <c r="C161" s="238"/>
      <c r="D161" s="340" t="s">
        <v>77</v>
      </c>
      <c r="E161" s="532"/>
      <c r="F161" s="623" t="s">
        <v>77</v>
      </c>
      <c r="G161" s="236" t="s">
        <v>77</v>
      </c>
      <c r="H161" s="339" t="s">
        <v>86</v>
      </c>
      <c r="I161" s="665">
        <f>+'Unit tariffs'!F$3</f>
        <v>0.15</v>
      </c>
      <c r="J161" s="236" t="s">
        <v>139</v>
      </c>
      <c r="K161" s="337" t="s">
        <v>78</v>
      </c>
      <c r="M161" s="691" t="s">
        <v>139</v>
      </c>
      <c r="N161" s="692" t="s">
        <v>139</v>
      </c>
    </row>
    <row r="162" spans="1:14" ht="14.25">
      <c r="A162" s="281"/>
      <c r="B162" s="239" t="s">
        <v>105</v>
      </c>
      <c r="C162" s="238"/>
      <c r="D162" s="340" t="str">
        <f>D$4</f>
        <v>2016/2017</v>
      </c>
      <c r="E162" s="532"/>
      <c r="F162" s="690" t="str">
        <f>'Calc Sheet 20_21'!$H$11</f>
        <v>2020/2021</v>
      </c>
      <c r="G162" s="236" t="str">
        <f>'Calc Sheet 20_21'!$I$11</f>
        <v>2021/2022</v>
      </c>
      <c r="H162" s="339" t="str">
        <f>G162</f>
        <v>2021/2022</v>
      </c>
      <c r="I162" s="55" t="str">
        <f>G162</f>
        <v>2021/2022</v>
      </c>
      <c r="J162" s="236" t="str">
        <f>I162</f>
        <v>2021/2022</v>
      </c>
      <c r="K162" s="337" t="s">
        <v>79</v>
      </c>
      <c r="M162" s="691" t="s">
        <v>460</v>
      </c>
      <c r="N162" s="692" t="s">
        <v>481</v>
      </c>
    </row>
    <row r="163" spans="1:14" ht="15" thickBot="1">
      <c r="A163" s="305"/>
      <c r="B163" s="306"/>
      <c r="C163" s="307"/>
      <c r="D163" s="343" t="s">
        <v>80</v>
      </c>
      <c r="E163" s="533"/>
      <c r="F163" s="624" t="s">
        <v>80</v>
      </c>
      <c r="G163" s="346" t="s">
        <v>80</v>
      </c>
      <c r="H163" s="344"/>
      <c r="I163" s="345"/>
      <c r="J163" s="346"/>
      <c r="K163" s="347"/>
      <c r="M163" s="424"/>
      <c r="N163" s="425"/>
    </row>
    <row r="164" spans="1:14" ht="15.75" thickTop="1">
      <c r="A164" s="298"/>
      <c r="B164" s="315"/>
      <c r="C164" s="329"/>
      <c r="D164" s="330"/>
      <c r="E164" s="556"/>
      <c r="F164" s="645"/>
      <c r="G164" s="403"/>
      <c r="H164" s="331"/>
      <c r="I164" s="332"/>
      <c r="J164" s="593"/>
      <c r="K164" s="333"/>
      <c r="M164" s="442"/>
      <c r="N164" s="443"/>
    </row>
    <row r="165" spans="1:14" ht="26.25">
      <c r="A165" s="281"/>
      <c r="B165" s="261" t="s">
        <v>258</v>
      </c>
      <c r="C165" s="263"/>
      <c r="D165" s="392">
        <v>82.005</v>
      </c>
      <c r="E165" s="557"/>
      <c r="F165" s="646">
        <v>93.18687378000001</v>
      </c>
      <c r="G165" s="404">
        <f>+F165*(1+'Unit tariffs'!$F$2)</f>
        <v>97.10072247876002</v>
      </c>
      <c r="H165" s="240">
        <f>(G165-F165)/F165</f>
        <v>0.04200000000000006</v>
      </c>
      <c r="I165" s="241">
        <f>G165*I$3</f>
        <v>14.565108371814002</v>
      </c>
      <c r="J165" s="594">
        <f>+I165+G165</f>
        <v>111.66583085057403</v>
      </c>
      <c r="K165" s="364">
        <v>9100033030416</v>
      </c>
      <c r="L165" s="210" t="s">
        <v>276</v>
      </c>
      <c r="M165" s="430">
        <f>+$J165*(1+'Unit tariffs'!$F$2)</f>
        <v>116.35579574629814</v>
      </c>
      <c r="N165" s="431">
        <f>+$M165*(1+'Unit tariffs'!$F$2)</f>
        <v>121.24273916764267</v>
      </c>
    </row>
    <row r="166" spans="1:14" ht="14.25">
      <c r="A166" s="281"/>
      <c r="B166" s="228" t="s">
        <v>321</v>
      </c>
      <c r="C166" s="265"/>
      <c r="D166" s="392">
        <v>63.9</v>
      </c>
      <c r="E166" s="557"/>
      <c r="F166" s="646">
        <v>72.61314840000001</v>
      </c>
      <c r="G166" s="404">
        <f>+F166*(1+'Unit tariffs'!$F$2)</f>
        <v>75.66290063280002</v>
      </c>
      <c r="H166" s="240">
        <f>(G166-F166)/F166</f>
        <v>0.04200000000000004</v>
      </c>
      <c r="I166" s="241">
        <f>G166*I$3</f>
        <v>11.349435094920002</v>
      </c>
      <c r="J166" s="595">
        <f>+I166+G166</f>
        <v>87.01233572772001</v>
      </c>
      <c r="K166" s="364">
        <v>9100033030416</v>
      </c>
      <c r="M166" s="430">
        <f>+$J166*(1+'Unit tariffs'!$F$2)</f>
        <v>90.66685382828426</v>
      </c>
      <c r="N166" s="431">
        <f>+$M166*(1+'Unit tariffs'!$F$2)</f>
        <v>94.4748616890722</v>
      </c>
    </row>
    <row r="167" spans="1:14" ht="14.25">
      <c r="A167" s="281"/>
      <c r="B167" s="228"/>
      <c r="C167" s="266"/>
      <c r="D167" s="271"/>
      <c r="E167" s="558"/>
      <c r="F167" s="647"/>
      <c r="G167" s="270"/>
      <c r="H167" s="272"/>
      <c r="I167" s="267"/>
      <c r="J167" s="596"/>
      <c r="K167" s="365"/>
      <c r="M167" s="444"/>
      <c r="N167" s="445"/>
    </row>
    <row r="168" spans="1:14" ht="14.25">
      <c r="A168" s="281"/>
      <c r="B168" s="228" t="s">
        <v>322</v>
      </c>
      <c r="C168" s="266"/>
      <c r="D168" s="271"/>
      <c r="E168" s="558"/>
      <c r="F168" s="647"/>
      <c r="G168" s="270"/>
      <c r="H168" s="272"/>
      <c r="I168" s="267"/>
      <c r="J168" s="596"/>
      <c r="K168" s="365"/>
      <c r="M168" s="444"/>
      <c r="N168" s="445"/>
    </row>
    <row r="169" spans="1:14" ht="14.25">
      <c r="A169" s="281"/>
      <c r="B169" s="228" t="s">
        <v>275</v>
      </c>
      <c r="C169" s="266"/>
      <c r="D169" s="271">
        <v>170.13375</v>
      </c>
      <c r="E169" s="558"/>
      <c r="F169" s="646">
        <v>193.33250761500003</v>
      </c>
      <c r="G169" s="404">
        <f>+F169*(1+'Unit tariffs'!$F$2)</f>
        <v>201.45247293483004</v>
      </c>
      <c r="H169" s="240">
        <f>(G169-F169)/F169</f>
        <v>0.04200000000000007</v>
      </c>
      <c r="I169" s="241">
        <f>G169*I$3</f>
        <v>30.217870940224504</v>
      </c>
      <c r="J169" s="595">
        <f>+I169+G169</f>
        <v>231.67034387505456</v>
      </c>
      <c r="K169" s="364">
        <v>9100033030416</v>
      </c>
      <c r="M169" s="430">
        <f>+$J169*(1+'Unit tariffs'!$F$2)</f>
        <v>241.40049831780686</v>
      </c>
      <c r="N169" s="431">
        <f>+$M169*(1+'Unit tariffs'!$F$2)</f>
        <v>251.53931924715476</v>
      </c>
    </row>
    <row r="170" spans="1:14" ht="21.75" customHeight="1">
      <c r="A170" s="288" t="s">
        <v>264</v>
      </c>
      <c r="B170" s="268"/>
      <c r="C170" s="266"/>
      <c r="D170" s="271"/>
      <c r="E170" s="558"/>
      <c r="F170" s="647"/>
      <c r="G170" s="270"/>
      <c r="H170" s="272"/>
      <c r="I170" s="269"/>
      <c r="J170" s="597"/>
      <c r="K170" s="365"/>
      <c r="M170" s="446"/>
      <c r="N170" s="447"/>
    </row>
    <row r="171" spans="1:14" ht="14.25">
      <c r="A171" s="281"/>
      <c r="B171" s="228" t="s">
        <v>323</v>
      </c>
      <c r="C171" s="266"/>
      <c r="D171" s="392">
        <v>63.768319353</v>
      </c>
      <c r="E171" s="557"/>
      <c r="F171" s="646">
        <v>72.46351230669768</v>
      </c>
      <c r="G171" s="404">
        <f>+F171*(1+'Unit tariffs'!$F$2)</f>
        <v>75.50697982357899</v>
      </c>
      <c r="H171" s="240">
        <f>(G171-F171)/F171</f>
        <v>0.042000000000000065</v>
      </c>
      <c r="I171" s="241">
        <f>G171*I$3</f>
        <v>11.326046973536847</v>
      </c>
      <c r="J171" s="595">
        <f>+I171+G171</f>
        <v>86.83302679711583</v>
      </c>
      <c r="K171" s="365"/>
      <c r="M171" s="430">
        <f>+$J171*(1+'Unit tariffs'!$F$2)</f>
        <v>90.48001392259471</v>
      </c>
      <c r="N171" s="431">
        <f>+$M171*(1+'Unit tariffs'!$F$2)</f>
        <v>94.28017450734369</v>
      </c>
    </row>
    <row r="172" spans="1:14" ht="14.25">
      <c r="A172" s="288" t="s">
        <v>265</v>
      </c>
      <c r="B172" s="239"/>
      <c r="C172" s="266"/>
      <c r="D172" s="271"/>
      <c r="E172" s="558"/>
      <c r="F172" s="647"/>
      <c r="G172" s="270"/>
      <c r="H172" s="272"/>
      <c r="I172" s="266"/>
      <c r="J172" s="598"/>
      <c r="K172" s="365"/>
      <c r="M172" s="448"/>
      <c r="N172" s="449"/>
    </row>
    <row r="173" spans="1:14" ht="14.25">
      <c r="A173" s="281"/>
      <c r="B173" s="228" t="s">
        <v>324</v>
      </c>
      <c r="C173" s="266"/>
      <c r="D173" s="392">
        <v>379.45599615</v>
      </c>
      <c r="E173" s="557"/>
      <c r="F173" s="646">
        <v>431.1970979610294</v>
      </c>
      <c r="G173" s="404">
        <f>+F173*(1+'Unit tariffs'!$F$2)</f>
        <v>449.30737607539265</v>
      </c>
      <c r="H173" s="240">
        <f>(G173-F173)/F173</f>
        <v>0.04200000000000008</v>
      </c>
      <c r="I173" s="241">
        <f>G173*I$3</f>
        <v>67.39610641130889</v>
      </c>
      <c r="J173" s="595">
        <f>+I173+G173</f>
        <v>516.7034824867015</v>
      </c>
      <c r="K173" s="365"/>
      <c r="M173" s="430">
        <f>+$J173*(1+'Unit tariffs'!$F$2)</f>
        <v>538.405028751143</v>
      </c>
      <c r="N173" s="431">
        <f>+$M173*(1+'Unit tariffs'!$F$2)</f>
        <v>561.0180399586911</v>
      </c>
    </row>
    <row r="174" spans="1:14" ht="14.25">
      <c r="A174" s="281"/>
      <c r="B174" s="228" t="s">
        <v>325</v>
      </c>
      <c r="C174" s="266"/>
      <c r="D174" s="527">
        <f>+D173*1.33</f>
        <v>504.6764748795</v>
      </c>
      <c r="E174" s="559"/>
      <c r="F174" s="648">
        <v>0</v>
      </c>
      <c r="G174" s="687" t="s">
        <v>477</v>
      </c>
      <c r="H174" s="526"/>
      <c r="I174" s="241"/>
      <c r="J174" s="599"/>
      <c r="K174" s="365"/>
      <c r="M174" s="430"/>
      <c r="N174" s="431"/>
    </row>
    <row r="175" spans="1:14" ht="14.25">
      <c r="A175" s="281"/>
      <c r="B175" s="228" t="s">
        <v>326</v>
      </c>
      <c r="C175" s="266"/>
      <c r="D175" s="528">
        <v>1300.9796274750001</v>
      </c>
      <c r="E175" s="560"/>
      <c r="F175" s="649">
        <v>1478.3760055589814</v>
      </c>
      <c r="G175" s="404">
        <f>+F175*(1+'Unit tariffs'!$F$2)</f>
        <v>1540.4677977924587</v>
      </c>
      <c r="H175" s="240">
        <f>(G175-F175)/F175</f>
        <v>0.04200000000000001</v>
      </c>
      <c r="I175" s="241">
        <f>G175*I$3</f>
        <v>231.0701696688688</v>
      </c>
      <c r="J175" s="595">
        <f>+I175+G175</f>
        <v>1771.5379674613275</v>
      </c>
      <c r="K175" s="365"/>
      <c r="M175" s="430">
        <f>+$J175*(1+'Unit tariffs'!$F$2)</f>
        <v>1845.9425620947034</v>
      </c>
      <c r="N175" s="431">
        <f>+$M175*(1+'Unit tariffs'!$F$2)</f>
        <v>1923.472149702681</v>
      </c>
    </row>
    <row r="176" spans="1:14" ht="14.25">
      <c r="A176" s="281"/>
      <c r="B176" s="228" t="s">
        <v>327</v>
      </c>
      <c r="C176" s="266"/>
      <c r="D176" s="527">
        <f>+D175*1.33</f>
        <v>1730.3029045417502</v>
      </c>
      <c r="E176" s="559"/>
      <c r="F176" s="648">
        <v>0</v>
      </c>
      <c r="G176" s="687" t="s">
        <v>477</v>
      </c>
      <c r="H176" s="526"/>
      <c r="I176" s="241"/>
      <c r="J176" s="599"/>
      <c r="K176" s="365"/>
      <c r="M176" s="430"/>
      <c r="N176" s="431"/>
    </row>
    <row r="177" spans="1:14" ht="14.25">
      <c r="A177" s="281"/>
      <c r="B177" s="228" t="s">
        <v>328</v>
      </c>
      <c r="C177" s="266"/>
      <c r="D177" s="528">
        <v>2710.3752538500003</v>
      </c>
      <c r="E177" s="560"/>
      <c r="F177" s="649">
        <v>3079.9511819639715</v>
      </c>
      <c r="G177" s="404">
        <f>+F177*(1+'Unit tariffs'!$F$2)</f>
        <v>3209.3091316064583</v>
      </c>
      <c r="H177" s="240">
        <f>(G177-F177)/F177</f>
        <v>0.041999999999999996</v>
      </c>
      <c r="I177" s="241">
        <f>G177*I$3</f>
        <v>481.39636974096874</v>
      </c>
      <c r="J177" s="595">
        <f>+I177+G177</f>
        <v>3690.705501347427</v>
      </c>
      <c r="K177" s="365"/>
      <c r="M177" s="430">
        <f>+$J177*(1+'Unit tariffs'!$F$2)</f>
        <v>3845.7151324040187</v>
      </c>
      <c r="N177" s="431">
        <f>+$M177*(1+'Unit tariffs'!$F$2)</f>
        <v>4007.235167964988</v>
      </c>
    </row>
    <row r="178" spans="1:14" ht="14.25">
      <c r="A178" s="281"/>
      <c r="B178" s="228" t="s">
        <v>329</v>
      </c>
      <c r="C178" s="266"/>
      <c r="D178" s="527">
        <f>+D177*1.33</f>
        <v>3604.7990876205004</v>
      </c>
      <c r="E178" s="559"/>
      <c r="F178" s="648">
        <v>0</v>
      </c>
      <c r="G178" s="687" t="s">
        <v>477</v>
      </c>
      <c r="H178" s="526"/>
      <c r="I178" s="241"/>
      <c r="J178" s="599"/>
      <c r="K178" s="365"/>
      <c r="M178" s="430"/>
      <c r="N178" s="431"/>
    </row>
    <row r="179" spans="1:14" ht="14.25">
      <c r="A179" s="281"/>
      <c r="B179" s="228"/>
      <c r="C179" s="266"/>
      <c r="D179" s="392"/>
      <c r="E179" s="557"/>
      <c r="F179" s="646"/>
      <c r="G179" s="404"/>
      <c r="H179" s="367"/>
      <c r="I179" s="264"/>
      <c r="J179" s="598"/>
      <c r="K179" s="365"/>
      <c r="M179" s="448"/>
      <c r="N179" s="449"/>
    </row>
    <row r="180" spans="1:14" ht="14.25">
      <c r="A180" s="326" t="s">
        <v>269</v>
      </c>
      <c r="B180" s="327"/>
      <c r="C180" s="324"/>
      <c r="D180" s="328"/>
      <c r="E180" s="561"/>
      <c r="F180" s="650"/>
      <c r="G180" s="325"/>
      <c r="H180" s="368"/>
      <c r="I180" s="324"/>
      <c r="J180" s="600"/>
      <c r="K180" s="366"/>
      <c r="M180" s="450"/>
      <c r="N180" s="451"/>
    </row>
    <row r="181" spans="1:14" ht="19.5" customHeight="1">
      <c r="A181" s="281"/>
      <c r="B181" s="228" t="s">
        <v>270</v>
      </c>
      <c r="C181" s="266"/>
      <c r="D181" s="271">
        <v>500</v>
      </c>
      <c r="E181" s="558"/>
      <c r="F181" s="647">
        <v>639.6</v>
      </c>
      <c r="G181" s="404">
        <f>+F181*(1+'Unit tariffs'!$F$2)</f>
        <v>666.4632</v>
      </c>
      <c r="H181" s="240">
        <f>(G181-F181)/F181</f>
        <v>0.04200000000000001</v>
      </c>
      <c r="I181" s="241">
        <f>G181*I$3</f>
        <v>99.96948</v>
      </c>
      <c r="J181" s="595">
        <f>+I181+G181</f>
        <v>766.43268</v>
      </c>
      <c r="K181" s="365"/>
      <c r="M181" s="430">
        <f>+$J181*(1+'Unit tariffs'!$F$2)</f>
        <v>798.6228525600001</v>
      </c>
      <c r="N181" s="431">
        <f>+$M181*(1+'Unit tariffs'!$F$2)</f>
        <v>832.1650123675201</v>
      </c>
    </row>
    <row r="182" spans="1:14" ht="14.25">
      <c r="A182" s="281"/>
      <c r="B182" s="228" t="s">
        <v>271</v>
      </c>
      <c r="C182" s="266"/>
      <c r="D182" s="271">
        <v>1500</v>
      </c>
      <c r="E182" s="558"/>
      <c r="F182" s="647">
        <v>1705.6000000000001</v>
      </c>
      <c r="G182" s="404">
        <f>+F182*(1+'Unit tariffs'!$F$2)</f>
        <v>1777.2352000000003</v>
      </c>
      <c r="H182" s="240">
        <f>(G182-F182)/F182</f>
        <v>0.04200000000000009</v>
      </c>
      <c r="I182" s="241">
        <f>G182*I$3</f>
        <v>266.58528</v>
      </c>
      <c r="J182" s="595">
        <f>+I182+G182</f>
        <v>2043.8204800000003</v>
      </c>
      <c r="K182" s="365"/>
      <c r="M182" s="430">
        <f>+$J182*(1+'Unit tariffs'!$F$2)</f>
        <v>2129.6609401600003</v>
      </c>
      <c r="N182" s="431">
        <f>+$M182*(1+'Unit tariffs'!$F$2)</f>
        <v>2219.1066996467202</v>
      </c>
    </row>
    <row r="183" spans="1:14" ht="14.25">
      <c r="A183" s="281"/>
      <c r="B183" s="228" t="s">
        <v>351</v>
      </c>
      <c r="C183" s="266"/>
      <c r="D183" s="271">
        <v>6600</v>
      </c>
      <c r="E183" s="558"/>
      <c r="F183" s="647">
        <v>7568.6</v>
      </c>
      <c r="G183" s="404">
        <f>+F183*(1+'Unit tariffs'!$F$2)</f>
        <v>7886.481200000001</v>
      </c>
      <c r="H183" s="240">
        <f>(G183-F183)/F183</f>
        <v>0.04200000000000009</v>
      </c>
      <c r="I183" s="264"/>
      <c r="J183" s="598"/>
      <c r="K183" s="365"/>
      <c r="M183" s="448"/>
      <c r="N183" s="449"/>
    </row>
    <row r="184" spans="1:14" ht="14.25">
      <c r="A184" s="281"/>
      <c r="B184" s="228" t="s">
        <v>354</v>
      </c>
      <c r="C184" s="266"/>
      <c r="D184" s="271">
        <v>6600</v>
      </c>
      <c r="E184" s="558"/>
      <c r="F184" s="647">
        <v>7568.6</v>
      </c>
      <c r="G184" s="404">
        <f>+F184*(1+'Unit tariffs'!$F$2)</f>
        <v>7886.481200000001</v>
      </c>
      <c r="H184" s="240">
        <f>(G184-F184)/F184</f>
        <v>0.04200000000000009</v>
      </c>
      <c r="I184" s="266"/>
      <c r="J184" s="598"/>
      <c r="K184" s="365"/>
      <c r="M184" s="448"/>
      <c r="N184" s="449"/>
    </row>
    <row r="185" spans="1:14" ht="30" customHeight="1">
      <c r="A185" s="288" t="s">
        <v>277</v>
      </c>
      <c r="B185" s="233"/>
      <c r="C185" s="266"/>
      <c r="D185" s="271"/>
      <c r="E185" s="558"/>
      <c r="F185" s="647"/>
      <c r="G185" s="270"/>
      <c r="H185" s="272"/>
      <c r="I185" s="266"/>
      <c r="J185" s="598"/>
      <c r="K185" s="365"/>
      <c r="M185" s="448"/>
      <c r="N185" s="449"/>
    </row>
    <row r="186" spans="1:14" ht="18" customHeight="1">
      <c r="A186" s="281"/>
      <c r="B186" s="228" t="s">
        <v>266</v>
      </c>
      <c r="C186" s="266"/>
      <c r="D186" s="271">
        <v>2280</v>
      </c>
      <c r="E186" s="558"/>
      <c r="F186" s="647">
        <v>2665</v>
      </c>
      <c r="G186" s="404">
        <f>+F186*(1+'Unit tariffs'!$F$2)</f>
        <v>2776.9300000000003</v>
      </c>
      <c r="H186" s="240">
        <f>(G186-F186)/F186</f>
        <v>0.04200000000000011</v>
      </c>
      <c r="I186" s="241">
        <f>G186*I$3</f>
        <v>416.53950000000003</v>
      </c>
      <c r="J186" s="598">
        <f>+G186+I186</f>
        <v>3193.4695</v>
      </c>
      <c r="K186" s="365"/>
      <c r="M186" s="430">
        <f>+$J186*(1+'Unit tariffs'!$F$2)</f>
        <v>3327.5952190000003</v>
      </c>
      <c r="N186" s="431">
        <f>+$M186*(1+'Unit tariffs'!$F$2)</f>
        <v>3467.3542181980006</v>
      </c>
    </row>
    <row r="187" spans="1:14" ht="14.25">
      <c r="A187" s="281"/>
      <c r="B187" s="228" t="s">
        <v>267</v>
      </c>
      <c r="C187" s="266"/>
      <c r="D187" s="271">
        <v>11400</v>
      </c>
      <c r="E187" s="558"/>
      <c r="F187" s="647">
        <v>13005.2</v>
      </c>
      <c r="G187" s="404">
        <f>+F187*(1+'Unit tariffs'!$F$2)</f>
        <v>13551.4184</v>
      </c>
      <c r="H187" s="240">
        <f>(G187-F187)/F187</f>
        <v>0.041999999999999975</v>
      </c>
      <c r="I187" s="241">
        <f>G187*I$3</f>
        <v>2032.71276</v>
      </c>
      <c r="J187" s="598">
        <f>+G187+I187</f>
        <v>15584.13116</v>
      </c>
      <c r="K187" s="365"/>
      <c r="M187" s="430">
        <f>+$J187*(1+'Unit tariffs'!$F$2)</f>
        <v>16238.664668720001</v>
      </c>
      <c r="N187" s="431">
        <f>+$M187*(1+'Unit tariffs'!$F$2)</f>
        <v>16920.68858480624</v>
      </c>
    </row>
    <row r="188" spans="1:14" ht="14.25">
      <c r="A188" s="281"/>
      <c r="B188" s="228" t="s">
        <v>268</v>
      </c>
      <c r="C188" s="266"/>
      <c r="D188" s="271">
        <v>57000</v>
      </c>
      <c r="E188" s="558"/>
      <c r="F188" s="647">
        <v>65026</v>
      </c>
      <c r="G188" s="404">
        <f>+F188*(1+'Unit tariffs'!$F$2)</f>
        <v>67757.092</v>
      </c>
      <c r="H188" s="240">
        <f>(G188-F188)/F188</f>
        <v>0.042000000000000065</v>
      </c>
      <c r="I188" s="241">
        <f>G188*I$3</f>
        <v>10163.5638</v>
      </c>
      <c r="J188" s="598">
        <f>+G188+I188</f>
        <v>77920.65580000001</v>
      </c>
      <c r="K188" s="365"/>
      <c r="M188" s="430">
        <f>+$J188*(1+'Unit tariffs'!$F$2)</f>
        <v>81193.32334360002</v>
      </c>
      <c r="N188" s="431">
        <f>+$M188*(1+'Unit tariffs'!$F$2)</f>
        <v>84603.44292403122</v>
      </c>
    </row>
    <row r="189" spans="1:14" ht="12.75" customHeight="1">
      <c r="A189" s="859" t="s">
        <v>278</v>
      </c>
      <c r="B189" s="860"/>
      <c r="C189" s="861"/>
      <c r="D189" s="266"/>
      <c r="E189" s="266"/>
      <c r="F189" s="266"/>
      <c r="G189" s="266"/>
      <c r="H189" s="240"/>
      <c r="I189" s="266"/>
      <c r="J189" s="601"/>
      <c r="K189" s="365"/>
      <c r="M189" s="448"/>
      <c r="N189" s="449"/>
    </row>
    <row r="190" spans="1:14" ht="12.75" customHeight="1">
      <c r="A190" s="859" t="s">
        <v>279</v>
      </c>
      <c r="B190" s="860"/>
      <c r="C190" s="861"/>
      <c r="D190" s="266"/>
      <c r="E190" s="266"/>
      <c r="F190" s="266"/>
      <c r="G190" s="266"/>
      <c r="H190" s="272"/>
      <c r="I190" s="266"/>
      <c r="J190" s="601"/>
      <c r="K190" s="365"/>
      <c r="M190" s="448"/>
      <c r="N190" s="449"/>
    </row>
    <row r="191" spans="1:14" ht="14.25">
      <c r="A191" s="281"/>
      <c r="B191" s="233"/>
      <c r="C191" s="234"/>
      <c r="D191" s="229"/>
      <c r="E191" s="229"/>
      <c r="F191" s="229"/>
      <c r="G191" s="229"/>
      <c r="H191" s="231"/>
      <c r="I191" s="228"/>
      <c r="J191" s="602"/>
      <c r="K191" s="282"/>
      <c r="M191" s="428"/>
      <c r="N191" s="429"/>
    </row>
    <row r="192" spans="1:14" ht="14.25">
      <c r="A192" s="288" t="s">
        <v>106</v>
      </c>
      <c r="B192" s="239"/>
      <c r="C192" s="234"/>
      <c r="D192" s="229"/>
      <c r="E192" s="229"/>
      <c r="F192" s="229"/>
      <c r="G192" s="229"/>
      <c r="H192" s="231"/>
      <c r="I192" s="228"/>
      <c r="J192" s="602"/>
      <c r="K192" s="282"/>
      <c r="M192" s="428"/>
      <c r="N192" s="429"/>
    </row>
    <row r="193" spans="1:14" ht="14.25">
      <c r="A193" s="288" t="s">
        <v>130</v>
      </c>
      <c r="B193" s="239"/>
      <c r="C193" s="234"/>
      <c r="D193" s="229"/>
      <c r="E193" s="229"/>
      <c r="F193" s="229"/>
      <c r="G193" s="229"/>
      <c r="H193" s="235"/>
      <c r="I193" s="228"/>
      <c r="J193" s="602"/>
      <c r="K193" s="282"/>
      <c r="M193" s="428"/>
      <c r="N193" s="429"/>
    </row>
    <row r="194" spans="1:14" ht="19.5" customHeight="1">
      <c r="A194" s="288" t="s">
        <v>107</v>
      </c>
      <c r="B194" s="239"/>
      <c r="C194" s="234"/>
      <c r="D194" s="229"/>
      <c r="E194" s="229"/>
      <c r="F194" s="229"/>
      <c r="G194" s="229"/>
      <c r="H194" s="231"/>
      <c r="I194" s="228"/>
      <c r="J194" s="602"/>
      <c r="K194" s="282"/>
      <c r="M194" s="428"/>
      <c r="N194" s="429"/>
    </row>
    <row r="195" spans="1:14" ht="18.75" customHeight="1">
      <c r="A195" s="281" t="s">
        <v>110</v>
      </c>
      <c r="B195" s="233"/>
      <c r="C195" s="234"/>
      <c r="D195" s="229"/>
      <c r="E195" s="229"/>
      <c r="F195" s="229"/>
      <c r="G195" s="229"/>
      <c r="H195" s="231"/>
      <c r="I195" s="228"/>
      <c r="J195" s="602"/>
      <c r="K195" s="282"/>
      <c r="M195" s="428"/>
      <c r="N195" s="429"/>
    </row>
    <row r="196" spans="1:14" ht="14.25">
      <c r="A196" s="281"/>
      <c r="B196" s="233"/>
      <c r="C196" s="234"/>
      <c r="D196" s="229"/>
      <c r="E196" s="229"/>
      <c r="F196" s="229"/>
      <c r="G196" s="229"/>
      <c r="H196" s="231"/>
      <c r="I196" s="228"/>
      <c r="J196" s="602"/>
      <c r="K196" s="282"/>
      <c r="M196" s="428"/>
      <c r="N196" s="429"/>
    </row>
    <row r="197" spans="1:14" ht="14.25">
      <c r="A197" s="288" t="s">
        <v>274</v>
      </c>
      <c r="B197" s="233"/>
      <c r="C197" s="234"/>
      <c r="D197" s="229"/>
      <c r="E197" s="229"/>
      <c r="F197" s="229"/>
      <c r="G197" s="229"/>
      <c r="H197" s="231"/>
      <c r="I197" s="228"/>
      <c r="J197" s="602"/>
      <c r="K197" s="282"/>
      <c r="M197" s="428"/>
      <c r="N197" s="429"/>
    </row>
    <row r="198" spans="1:14" ht="14.25">
      <c r="A198" s="288" t="s">
        <v>272</v>
      </c>
      <c r="B198" s="233"/>
      <c r="C198" s="234"/>
      <c r="D198" s="229"/>
      <c r="E198" s="229"/>
      <c r="F198" s="229"/>
      <c r="G198" s="229"/>
      <c r="H198" s="231"/>
      <c r="I198" s="228"/>
      <c r="J198" s="602"/>
      <c r="K198" s="282"/>
      <c r="M198" s="428"/>
      <c r="N198" s="429"/>
    </row>
    <row r="199" spans="1:14" ht="15" thickBot="1">
      <c r="A199" s="289" t="s">
        <v>273</v>
      </c>
      <c r="B199" s="290"/>
      <c r="C199" s="291"/>
      <c r="D199" s="292"/>
      <c r="E199" s="292"/>
      <c r="F199" s="292"/>
      <c r="G199" s="292"/>
      <c r="H199" s="294"/>
      <c r="I199" s="295"/>
      <c r="J199" s="603"/>
      <c r="K199" s="297"/>
      <c r="L199" s="409"/>
      <c r="M199" s="434"/>
      <c r="N199" s="435"/>
    </row>
    <row r="200" spans="6:10" ht="14.25">
      <c r="F200" s="211"/>
      <c r="G200" s="211"/>
      <c r="J200" s="604"/>
    </row>
    <row r="201" spans="6:10" ht="14.25">
      <c r="F201" s="211"/>
      <c r="G201" s="211"/>
      <c r="J201" s="604"/>
    </row>
    <row r="202" spans="6:10" ht="14.25">
      <c r="F202" s="211"/>
      <c r="G202" s="211"/>
      <c r="J202" s="604"/>
    </row>
    <row r="203" ht="14.25">
      <c r="J203" s="604"/>
    </row>
    <row r="204" ht="14.25">
      <c r="J204" s="604"/>
    </row>
  </sheetData>
  <sheetProtection/>
  <mergeCells count="2">
    <mergeCell ref="A189:C189"/>
    <mergeCell ref="A190:C19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Manager Connections</dc:creator>
  <cp:keywords/>
  <dc:description/>
  <cp:lastModifiedBy>Sibongile Nkane</cp:lastModifiedBy>
  <cp:lastPrinted>2017-07-05T13:24:57Z</cp:lastPrinted>
  <dcterms:created xsi:type="dcterms:W3CDTF">2002-01-23T13:38:03Z</dcterms:created>
  <dcterms:modified xsi:type="dcterms:W3CDTF">2022-05-23T13:44:01Z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